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3760" windowHeight="9915" tabRatio="773"/>
  </bookViews>
  <sheets>
    <sheet name="CALCULOS" sheetId="2" r:id="rId1"/>
    <sheet name="GEO Acción 1" sheetId="8" r:id="rId2"/>
    <sheet name="GEO Acción 2" sheetId="7" r:id="rId3"/>
    <sheet name="GEO Acción 3" sheetId="9" r:id="rId4"/>
    <sheet name="GEO Total" sheetId="11" r:id="rId5"/>
    <sheet name="GEA Acción 4" sheetId="14" r:id="rId6"/>
    <sheet name="GEA Acción 5" sheetId="15" r:id="rId7"/>
    <sheet name="GEA Acción 6" sheetId="21" r:id="rId8"/>
    <sheet name="GEA Acción 7" sheetId="22" r:id="rId9"/>
    <sheet name="GEA Acción 8" sheetId="23" r:id="rId10"/>
    <sheet name="GEA Acción 9" sheetId="24" r:id="rId11"/>
    <sheet name="GEA Acción 10" sheetId="25" r:id="rId12"/>
    <sheet name="AAE Acción 11" sheetId="10" r:id="rId13"/>
  </sheets>
  <externalReferences>
    <externalReference r:id="rId14"/>
    <externalReference r:id="rId15"/>
    <externalReference r:id="rId16"/>
  </externalReferences>
  <definedNames>
    <definedName name="_xlnm._FilterDatabase" localSheetId="12" hidden="1">'AAE Acción 11'!$C$30:$U$46</definedName>
    <definedName name="_xlnm._FilterDatabase" localSheetId="0" hidden="1">CALCULOS!$A$8:$S$8</definedName>
    <definedName name="SEDES">'[1]Nomb-sedes'!$C$3:$E$393</definedName>
  </definedNames>
  <calcPr calcId="145621"/>
</workbook>
</file>

<file path=xl/calcChain.xml><?xml version="1.0" encoding="utf-8"?>
<calcChain xmlns="http://schemas.openxmlformats.org/spreadsheetml/2006/main">
  <c r="Y32" i="10" l="1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Y31" i="10"/>
  <c r="V31" i="10"/>
  <c r="T32" i="10"/>
  <c r="U32" i="10" s="1"/>
  <c r="T33" i="10"/>
  <c r="U33" i="10" s="1"/>
  <c r="T34" i="10"/>
  <c r="U34" i="10" s="1"/>
  <c r="T35" i="10"/>
  <c r="U35" i="10" s="1"/>
  <c r="T36" i="10"/>
  <c r="U36" i="10" s="1"/>
  <c r="T37" i="10"/>
  <c r="U37" i="10" s="1"/>
  <c r="T38" i="10"/>
  <c r="U38" i="10" s="1"/>
  <c r="T39" i="10"/>
  <c r="U39" i="10" s="1"/>
  <c r="T40" i="10"/>
  <c r="U40" i="10" s="1"/>
  <c r="T41" i="10"/>
  <c r="U41" i="10" s="1"/>
  <c r="T42" i="10"/>
  <c r="U42" i="10" s="1"/>
  <c r="T43" i="10"/>
  <c r="U43" i="10" s="1"/>
  <c r="T44" i="10"/>
  <c r="U44" i="10" s="1"/>
  <c r="T45" i="10"/>
  <c r="U45" i="10" s="1"/>
  <c r="T46" i="10"/>
  <c r="U46" i="10" s="1"/>
  <c r="T31" i="10"/>
  <c r="T47" i="10" s="1"/>
  <c r="I25" i="10" s="1"/>
  <c r="Q32" i="10"/>
  <c r="R32" i="10" s="1"/>
  <c r="Q33" i="10"/>
  <c r="R33" i="10" s="1"/>
  <c r="Q34" i="10"/>
  <c r="R34" i="10" s="1"/>
  <c r="Q35" i="10"/>
  <c r="R35" i="10" s="1"/>
  <c r="Q36" i="10"/>
  <c r="R36" i="10" s="1"/>
  <c r="Q37" i="10"/>
  <c r="R37" i="10" s="1"/>
  <c r="Q38" i="10"/>
  <c r="R38" i="10" s="1"/>
  <c r="Q39" i="10"/>
  <c r="R39" i="10" s="1"/>
  <c r="Q40" i="10"/>
  <c r="R40" i="10" s="1"/>
  <c r="Q41" i="10"/>
  <c r="R41" i="10" s="1"/>
  <c r="Q42" i="10"/>
  <c r="R42" i="10" s="1"/>
  <c r="Q43" i="10"/>
  <c r="R43" i="10" s="1"/>
  <c r="Q44" i="10"/>
  <c r="R44" i="10" s="1"/>
  <c r="Q45" i="10"/>
  <c r="R45" i="10" s="1"/>
  <c r="Q46" i="10"/>
  <c r="R46" i="10" s="1"/>
  <c r="Q31" i="10"/>
  <c r="Q47" i="10" s="1"/>
  <c r="D25" i="10" s="1"/>
  <c r="O39" i="10"/>
  <c r="N32" i="10"/>
  <c r="O32" i="10" s="1"/>
  <c r="N33" i="10"/>
  <c r="O33" i="10" s="1"/>
  <c r="N34" i="10"/>
  <c r="O34" i="10" s="1"/>
  <c r="N35" i="10"/>
  <c r="O35" i="10" s="1"/>
  <c r="N36" i="10"/>
  <c r="O36" i="10" s="1"/>
  <c r="N37" i="10"/>
  <c r="O37" i="10" s="1"/>
  <c r="N38" i="10"/>
  <c r="O38" i="10" s="1"/>
  <c r="N39" i="10"/>
  <c r="N40" i="10"/>
  <c r="O40" i="10" s="1"/>
  <c r="N41" i="10"/>
  <c r="O41" i="10" s="1"/>
  <c r="N42" i="10"/>
  <c r="O42" i="10" s="1"/>
  <c r="N43" i="10"/>
  <c r="O43" i="10" s="1"/>
  <c r="N44" i="10"/>
  <c r="O44" i="10" s="1"/>
  <c r="N45" i="10"/>
  <c r="O45" i="10" s="1"/>
  <c r="N46" i="10"/>
  <c r="O46" i="10" s="1"/>
  <c r="N31" i="10"/>
  <c r="K32" i="10"/>
  <c r="L32" i="10" s="1"/>
  <c r="K33" i="10"/>
  <c r="L33" i="10" s="1"/>
  <c r="K34" i="10"/>
  <c r="L34" i="10" s="1"/>
  <c r="K35" i="10"/>
  <c r="L35" i="10" s="1"/>
  <c r="K36" i="10"/>
  <c r="L36" i="10" s="1"/>
  <c r="K37" i="10"/>
  <c r="L37" i="10" s="1"/>
  <c r="K38" i="10"/>
  <c r="L38" i="10" s="1"/>
  <c r="K39" i="10"/>
  <c r="L39" i="10" s="1"/>
  <c r="K40" i="10"/>
  <c r="L40" i="10" s="1"/>
  <c r="K41" i="10"/>
  <c r="L41" i="10" s="1"/>
  <c r="K42" i="10"/>
  <c r="L42" i="10" s="1"/>
  <c r="K43" i="10"/>
  <c r="L43" i="10" s="1"/>
  <c r="K44" i="10"/>
  <c r="L44" i="10" s="1"/>
  <c r="K45" i="10"/>
  <c r="L45" i="10" s="1"/>
  <c r="K46" i="10"/>
  <c r="L46" i="10" s="1"/>
  <c r="K31" i="10"/>
  <c r="H32" i="10"/>
  <c r="I32" i="10" s="1"/>
  <c r="H33" i="10"/>
  <c r="I33" i="10" s="1"/>
  <c r="H34" i="10"/>
  <c r="I34" i="10" s="1"/>
  <c r="H35" i="10"/>
  <c r="Z35" i="10" s="1"/>
  <c r="H36" i="10"/>
  <c r="I36" i="10" s="1"/>
  <c r="H37" i="10"/>
  <c r="I37" i="10" s="1"/>
  <c r="H38" i="10"/>
  <c r="I38" i="10" s="1"/>
  <c r="H39" i="10"/>
  <c r="Z39" i="10" s="1"/>
  <c r="H40" i="10"/>
  <c r="I40" i="10" s="1"/>
  <c r="H41" i="10"/>
  <c r="I41" i="10" s="1"/>
  <c r="H42" i="10"/>
  <c r="I42" i="10" s="1"/>
  <c r="H43" i="10"/>
  <c r="Z43" i="10" s="1"/>
  <c r="H44" i="10"/>
  <c r="I44" i="10" s="1"/>
  <c r="H45" i="10"/>
  <c r="I45" i="10" s="1"/>
  <c r="H46" i="10"/>
  <c r="I46" i="10" s="1"/>
  <c r="H31" i="10"/>
  <c r="I31" i="10" s="1"/>
  <c r="F38" i="10"/>
  <c r="X38" i="10" s="1"/>
  <c r="E32" i="10"/>
  <c r="W32" i="10" s="1"/>
  <c r="E33" i="10"/>
  <c r="F33" i="10" s="1"/>
  <c r="X33" i="10" s="1"/>
  <c r="E34" i="10"/>
  <c r="W34" i="10" s="1"/>
  <c r="E35" i="10"/>
  <c r="F35" i="10" s="1"/>
  <c r="E36" i="10"/>
  <c r="W36" i="10" s="1"/>
  <c r="E37" i="10"/>
  <c r="F37" i="10" s="1"/>
  <c r="X37" i="10" s="1"/>
  <c r="E38" i="10"/>
  <c r="W38" i="10" s="1"/>
  <c r="E39" i="10"/>
  <c r="F39" i="10" s="1"/>
  <c r="E40" i="10"/>
  <c r="W40" i="10" s="1"/>
  <c r="E41" i="10"/>
  <c r="W41" i="10" s="1"/>
  <c r="E42" i="10"/>
  <c r="W42" i="10" s="1"/>
  <c r="E43" i="10"/>
  <c r="F43" i="10" s="1"/>
  <c r="E44" i="10"/>
  <c r="W44" i="10" s="1"/>
  <c r="E45" i="10"/>
  <c r="F45" i="10" s="1"/>
  <c r="X45" i="10" s="1"/>
  <c r="E46" i="10"/>
  <c r="W46" i="10" s="1"/>
  <c r="E31" i="10"/>
  <c r="F31" i="10" s="1"/>
  <c r="I35" i="10" l="1"/>
  <c r="AA35" i="10" s="1"/>
  <c r="X43" i="10"/>
  <c r="X39" i="10"/>
  <c r="X35" i="10"/>
  <c r="F44" i="10"/>
  <c r="X44" i="10" s="1"/>
  <c r="N47" i="10"/>
  <c r="I24" i="10" s="1"/>
  <c r="U31" i="10"/>
  <c r="AA31" i="10" s="1"/>
  <c r="F42" i="10"/>
  <c r="X42" i="10" s="1"/>
  <c r="AA45" i="10"/>
  <c r="AA41" i="10"/>
  <c r="AA37" i="10"/>
  <c r="AA33" i="10"/>
  <c r="AA44" i="10"/>
  <c r="AA40" i="10"/>
  <c r="AA36" i="10"/>
  <c r="AA32" i="10"/>
  <c r="AA46" i="10"/>
  <c r="AA42" i="10"/>
  <c r="AA38" i="10"/>
  <c r="AA34" i="10"/>
  <c r="F32" i="10"/>
  <c r="X32" i="10" s="1"/>
  <c r="F46" i="10"/>
  <c r="X46" i="10" s="1"/>
  <c r="F41" i="10"/>
  <c r="X41" i="10" s="1"/>
  <c r="F36" i="10"/>
  <c r="X36" i="10" s="1"/>
  <c r="I43" i="10"/>
  <c r="AA43" i="10" s="1"/>
  <c r="O31" i="10"/>
  <c r="R31" i="10"/>
  <c r="W45" i="10"/>
  <c r="W37" i="10"/>
  <c r="W33" i="10"/>
  <c r="Z46" i="10"/>
  <c r="Z42" i="10"/>
  <c r="Z38" i="10"/>
  <c r="Z34" i="10"/>
  <c r="F40" i="10"/>
  <c r="X40" i="10" s="1"/>
  <c r="F34" i="10"/>
  <c r="X34" i="10" s="1"/>
  <c r="I39" i="10"/>
  <c r="AA39" i="10" s="1"/>
  <c r="Z45" i="10"/>
  <c r="Z41" i="10"/>
  <c r="Z37" i="10"/>
  <c r="Z33" i="10"/>
  <c r="Z31" i="10"/>
  <c r="W43" i="10"/>
  <c r="W39" i="10"/>
  <c r="W35" i="10"/>
  <c r="Z44" i="10"/>
  <c r="Z40" i="10"/>
  <c r="Z36" i="10"/>
  <c r="Z32" i="10"/>
  <c r="K47" i="10"/>
  <c r="D24" i="10" s="1"/>
  <c r="W31" i="10"/>
  <c r="H47" i="10"/>
  <c r="I23" i="10" s="1"/>
  <c r="I26" i="10" s="1"/>
  <c r="L31" i="10"/>
  <c r="X31" i="10" s="1"/>
  <c r="G28" i="21"/>
  <c r="F29" i="21"/>
  <c r="W47" i="10" l="1"/>
  <c r="Z47" i="10"/>
  <c r="H7" i="11"/>
  <c r="H8" i="11"/>
  <c r="H9" i="11"/>
  <c r="H6" i="11"/>
  <c r="G7" i="11"/>
  <c r="G8" i="11"/>
  <c r="G9" i="11"/>
  <c r="D56" i="11"/>
  <c r="C56" i="11"/>
  <c r="Y47" i="10" l="1"/>
  <c r="E47" i="10" l="1"/>
  <c r="D23" i="10" s="1"/>
  <c r="D26" i="10" s="1"/>
  <c r="AA47" i="10"/>
  <c r="G26" i="21"/>
  <c r="E29" i="21"/>
  <c r="V47" i="10" l="1"/>
  <c r="X47" i="10"/>
  <c r="F5" i="15"/>
  <c r="G8" i="21"/>
  <c r="D18" i="10"/>
  <c r="D22" i="2" s="1"/>
  <c r="C18" i="10"/>
  <c r="C23" i="2" s="1"/>
  <c r="S47" i="10"/>
  <c r="H25" i="10" s="1"/>
  <c r="M47" i="10"/>
  <c r="H24" i="10" s="1"/>
  <c r="G47" i="10"/>
  <c r="H23" i="10" s="1"/>
  <c r="H26" i="10" s="1"/>
  <c r="H23" i="2" l="1"/>
  <c r="I23" i="2"/>
  <c r="P47" i="10"/>
  <c r="C25" i="10" s="1"/>
  <c r="D47" i="10"/>
  <c r="C23" i="10" s="1"/>
  <c r="J47" i="10"/>
  <c r="C24" i="10" s="1"/>
  <c r="C26" i="10" l="1"/>
  <c r="R47" i="10"/>
  <c r="E25" i="10" s="1"/>
  <c r="U47" i="10"/>
  <c r="J25" i="10" s="1"/>
  <c r="L47" i="10"/>
  <c r="E24" i="10" s="1"/>
  <c r="I47" i="10"/>
  <c r="J23" i="10" s="1"/>
  <c r="O47" i="10"/>
  <c r="J24" i="10" s="1"/>
  <c r="F47" i="10"/>
  <c r="E23" i="10" s="1"/>
  <c r="E26" i="10" s="1"/>
  <c r="J26" i="10" l="1"/>
  <c r="D11" i="11"/>
  <c r="C11" i="11"/>
  <c r="E10" i="11"/>
  <c r="F10" i="11"/>
  <c r="E11" i="11" l="1"/>
  <c r="L51" i="25" l="1"/>
  <c r="K51" i="25"/>
  <c r="J51" i="25"/>
  <c r="I51" i="25"/>
  <c r="H51" i="25"/>
  <c r="G51" i="25"/>
  <c r="F51" i="25"/>
  <c r="E51" i="25"/>
  <c r="D51" i="25"/>
  <c r="C51" i="25"/>
  <c r="N49" i="25"/>
  <c r="M49" i="25"/>
  <c r="O49" i="25" s="1"/>
  <c r="N48" i="25"/>
  <c r="M48" i="25"/>
  <c r="N47" i="25"/>
  <c r="M47" i="25"/>
  <c r="N46" i="25"/>
  <c r="M46" i="25"/>
  <c r="N45" i="25"/>
  <c r="M45" i="25"/>
  <c r="O45" i="25" s="1"/>
  <c r="O44" i="25"/>
  <c r="N44" i="25"/>
  <c r="M44" i="25"/>
  <c r="N43" i="25"/>
  <c r="M43" i="25"/>
  <c r="O43" i="25" s="1"/>
  <c r="N42" i="25"/>
  <c r="M42" i="25"/>
  <c r="N41" i="25"/>
  <c r="M41" i="25"/>
  <c r="O41" i="25" s="1"/>
  <c r="N40" i="25"/>
  <c r="M40" i="25"/>
  <c r="N39" i="25"/>
  <c r="M39" i="25"/>
  <c r="O39" i="25" s="1"/>
  <c r="N38" i="25"/>
  <c r="N51" i="25" s="1"/>
  <c r="M38" i="25"/>
  <c r="M51" i="25" s="1"/>
  <c r="M29" i="25"/>
  <c r="K29" i="25"/>
  <c r="I29" i="25"/>
  <c r="G29" i="25"/>
  <c r="E29" i="25"/>
  <c r="N27" i="25"/>
  <c r="L27" i="25"/>
  <c r="J27" i="25"/>
  <c r="H27" i="25"/>
  <c r="F27" i="25"/>
  <c r="N26" i="25"/>
  <c r="L26" i="25"/>
  <c r="J26" i="25"/>
  <c r="H26" i="25"/>
  <c r="F26" i="25"/>
  <c r="N25" i="25"/>
  <c r="L25" i="25"/>
  <c r="J25" i="25"/>
  <c r="H25" i="25"/>
  <c r="F25" i="25"/>
  <c r="N24" i="25"/>
  <c r="L24" i="25"/>
  <c r="J24" i="25"/>
  <c r="H24" i="25"/>
  <c r="F24" i="25"/>
  <c r="N23" i="25"/>
  <c r="L23" i="25"/>
  <c r="J23" i="25"/>
  <c r="H23" i="25"/>
  <c r="F23" i="25"/>
  <c r="N22" i="25"/>
  <c r="L22" i="25"/>
  <c r="J22" i="25"/>
  <c r="H22" i="25"/>
  <c r="F22" i="25"/>
  <c r="N21" i="25"/>
  <c r="L21" i="25"/>
  <c r="J21" i="25"/>
  <c r="H21" i="25"/>
  <c r="F21" i="25"/>
  <c r="N20" i="25"/>
  <c r="L20" i="25"/>
  <c r="J20" i="25"/>
  <c r="H20" i="25"/>
  <c r="F20" i="25"/>
  <c r="N19" i="25"/>
  <c r="L19" i="25"/>
  <c r="J19" i="25"/>
  <c r="H19" i="25"/>
  <c r="F19" i="25"/>
  <c r="N18" i="25"/>
  <c r="L18" i="25"/>
  <c r="J18" i="25"/>
  <c r="H18" i="25"/>
  <c r="F18" i="25"/>
  <c r="N17" i="25"/>
  <c r="L17" i="25"/>
  <c r="J17" i="25"/>
  <c r="H17" i="25"/>
  <c r="F17" i="25"/>
  <c r="N16" i="25"/>
  <c r="L16" i="25"/>
  <c r="J16" i="25"/>
  <c r="H16" i="25"/>
  <c r="F16" i="25"/>
  <c r="N15" i="25"/>
  <c r="L15" i="25"/>
  <c r="J15" i="25"/>
  <c r="H15" i="25"/>
  <c r="F15" i="25"/>
  <c r="N14" i="25"/>
  <c r="L14" i="25"/>
  <c r="J14" i="25"/>
  <c r="H14" i="25"/>
  <c r="F14" i="25"/>
  <c r="N13" i="25"/>
  <c r="L13" i="25"/>
  <c r="J13" i="25"/>
  <c r="H13" i="25"/>
  <c r="F13" i="25"/>
  <c r="F6" i="24"/>
  <c r="G6" i="24" s="1"/>
  <c r="F5" i="24"/>
  <c r="G5" i="24" s="1"/>
  <c r="D30" i="24"/>
  <c r="C30" i="24"/>
  <c r="E9" i="24"/>
  <c r="G7" i="23"/>
  <c r="G11" i="23"/>
  <c r="F13" i="23"/>
  <c r="G13" i="23" s="1"/>
  <c r="F12" i="23"/>
  <c r="G12" i="23" s="1"/>
  <c r="F11" i="23"/>
  <c r="F10" i="23"/>
  <c r="G10" i="23" s="1"/>
  <c r="F9" i="23"/>
  <c r="G9" i="23" s="1"/>
  <c r="F8" i="23"/>
  <c r="G8" i="23" s="1"/>
  <c r="F7" i="23"/>
  <c r="F6" i="23"/>
  <c r="G6" i="23" s="1"/>
  <c r="F5" i="23"/>
  <c r="G5" i="23" s="1"/>
  <c r="D37" i="23"/>
  <c r="C37" i="23"/>
  <c r="C40" i="23" s="1"/>
  <c r="E16" i="23"/>
  <c r="E17" i="22"/>
  <c r="F14" i="22"/>
  <c r="G14" i="22" s="1"/>
  <c r="G13" i="22"/>
  <c r="F13" i="22"/>
  <c r="F12" i="22"/>
  <c r="G12" i="22" s="1"/>
  <c r="F11" i="22"/>
  <c r="G11" i="22" s="1"/>
  <c r="F10" i="22"/>
  <c r="G10" i="22" s="1"/>
  <c r="F9" i="22"/>
  <c r="G9" i="22" s="1"/>
  <c r="F8" i="22"/>
  <c r="G8" i="22" s="1"/>
  <c r="F7" i="22"/>
  <c r="G7" i="22" s="1"/>
  <c r="F6" i="22"/>
  <c r="G6" i="22" s="1"/>
  <c r="F5" i="22"/>
  <c r="G5" i="22" s="1"/>
  <c r="D38" i="22"/>
  <c r="C38" i="22"/>
  <c r="C41" i="22" s="1"/>
  <c r="O40" i="25" l="1"/>
  <c r="O47" i="25"/>
  <c r="O48" i="25"/>
  <c r="H29" i="25"/>
  <c r="G31" i="25" s="1"/>
  <c r="G32" i="25" s="1"/>
  <c r="O14" i="25"/>
  <c r="P14" i="25" s="1"/>
  <c r="O42" i="25"/>
  <c r="O46" i="25"/>
  <c r="O38" i="25"/>
  <c r="O51" i="25" s="1"/>
  <c r="J29" i="25"/>
  <c r="I31" i="25" s="1"/>
  <c r="I32" i="25" s="1"/>
  <c r="O18" i="25"/>
  <c r="P18" i="25" s="1"/>
  <c r="O22" i="25"/>
  <c r="P22" i="25" s="1"/>
  <c r="O26" i="25"/>
  <c r="P26" i="25" s="1"/>
  <c r="L29" i="25"/>
  <c r="K31" i="25" s="1"/>
  <c r="K32" i="25" s="1"/>
  <c r="O15" i="25"/>
  <c r="P15" i="25" s="1"/>
  <c r="O16" i="25"/>
  <c r="P16" i="25" s="1"/>
  <c r="O19" i="25"/>
  <c r="P19" i="25" s="1"/>
  <c r="O20" i="25"/>
  <c r="P20" i="25" s="1"/>
  <c r="O23" i="25"/>
  <c r="P23" i="25" s="1"/>
  <c r="O24" i="25"/>
  <c r="P24" i="25" s="1"/>
  <c r="O27" i="25"/>
  <c r="P27" i="25" s="1"/>
  <c r="F29" i="25"/>
  <c r="E31" i="25" s="1"/>
  <c r="E32" i="25" s="1"/>
  <c r="N29" i="25"/>
  <c r="M31" i="25" s="1"/>
  <c r="M32" i="25" s="1"/>
  <c r="O17" i="25"/>
  <c r="P17" i="25" s="1"/>
  <c r="O21" i="25"/>
  <c r="P21" i="25" s="1"/>
  <c r="O25" i="25"/>
  <c r="P25" i="25" s="1"/>
  <c r="O13" i="25"/>
  <c r="C33" i="24"/>
  <c r="F9" i="24"/>
  <c r="C32" i="24"/>
  <c r="G9" i="24"/>
  <c r="C39" i="23"/>
  <c r="F16" i="23"/>
  <c r="G16" i="23"/>
  <c r="G35" i="23"/>
  <c r="F28" i="23"/>
  <c r="F17" i="22"/>
  <c r="G17" i="22"/>
  <c r="C40" i="22"/>
  <c r="F20" i="24" l="1"/>
  <c r="G33" i="23"/>
  <c r="E27" i="23"/>
  <c r="F27" i="23"/>
  <c r="F28" i="22"/>
  <c r="P13" i="25"/>
  <c r="P29" i="25" s="1"/>
  <c r="O29" i="25"/>
  <c r="P31" i="25" s="1"/>
  <c r="R31" i="25" s="1"/>
  <c r="G28" i="24"/>
  <c r="G27" i="24"/>
  <c r="G26" i="24"/>
  <c r="G25" i="24"/>
  <c r="G24" i="24"/>
  <c r="G23" i="24"/>
  <c r="G22" i="24"/>
  <c r="G21" i="24"/>
  <c r="G20" i="24"/>
  <c r="G19" i="24"/>
  <c r="G18" i="24"/>
  <c r="G17" i="24"/>
  <c r="G10" i="24"/>
  <c r="C20" i="2" s="1"/>
  <c r="F28" i="24"/>
  <c r="F27" i="24"/>
  <c r="F26" i="24"/>
  <c r="F25" i="24"/>
  <c r="F24" i="24"/>
  <c r="F23" i="24"/>
  <c r="F22" i="24"/>
  <c r="F21" i="24"/>
  <c r="F19" i="24"/>
  <c r="F18" i="24"/>
  <c r="F17" i="24"/>
  <c r="H9" i="24"/>
  <c r="E21" i="24" s="1"/>
  <c r="E25" i="24"/>
  <c r="G24" i="23"/>
  <c r="G26" i="23"/>
  <c r="E28" i="23"/>
  <c r="H28" i="23" s="1"/>
  <c r="F32" i="23"/>
  <c r="G30" i="23"/>
  <c r="H16" i="23"/>
  <c r="E32" i="23" s="1"/>
  <c r="F33" i="23"/>
  <c r="G31" i="23"/>
  <c r="F24" i="23"/>
  <c r="F29" i="23"/>
  <c r="F35" i="23"/>
  <c r="G27" i="23"/>
  <c r="G32" i="23"/>
  <c r="F25" i="23"/>
  <c r="F31" i="23"/>
  <c r="G17" i="23"/>
  <c r="G28" i="23"/>
  <c r="G34" i="23"/>
  <c r="E31" i="23"/>
  <c r="H31" i="23" s="1"/>
  <c r="E35" i="23"/>
  <c r="H35" i="23" s="1"/>
  <c r="F26" i="23"/>
  <c r="F30" i="23"/>
  <c r="F34" i="23"/>
  <c r="G25" i="23"/>
  <c r="G29" i="23"/>
  <c r="H17" i="23"/>
  <c r="E25" i="23"/>
  <c r="E26" i="23"/>
  <c r="H26" i="23" s="1"/>
  <c r="E30" i="23"/>
  <c r="H30" i="23" s="1"/>
  <c r="G36" i="22"/>
  <c r="G35" i="22"/>
  <c r="G34" i="22"/>
  <c r="G33" i="22"/>
  <c r="G32" i="22"/>
  <c r="G31" i="22"/>
  <c r="G30" i="22"/>
  <c r="G29" i="22"/>
  <c r="G28" i="22"/>
  <c r="G27" i="22"/>
  <c r="G26" i="22"/>
  <c r="G25" i="22"/>
  <c r="G18" i="22"/>
  <c r="C18" i="2" s="1"/>
  <c r="F36" i="22"/>
  <c r="F35" i="22"/>
  <c r="F34" i="22"/>
  <c r="F33" i="22"/>
  <c r="F32" i="22"/>
  <c r="F31" i="22"/>
  <c r="F30" i="22"/>
  <c r="F29" i="22"/>
  <c r="F27" i="22"/>
  <c r="F26" i="22"/>
  <c r="F25" i="22"/>
  <c r="H17" i="22"/>
  <c r="E36" i="22" s="1"/>
  <c r="E29" i="22"/>
  <c r="E20" i="24" l="1"/>
  <c r="F37" i="23"/>
  <c r="C19" i="2"/>
  <c r="E28" i="22"/>
  <c r="H28" i="22" s="1"/>
  <c r="P32" i="25"/>
  <c r="R32" i="25"/>
  <c r="H25" i="24"/>
  <c r="H21" i="24"/>
  <c r="H10" i="24"/>
  <c r="E17" i="24"/>
  <c r="E22" i="24"/>
  <c r="H22" i="24" s="1"/>
  <c r="E26" i="24"/>
  <c r="H26" i="24" s="1"/>
  <c r="E18" i="24"/>
  <c r="H18" i="24" s="1"/>
  <c r="E19" i="24"/>
  <c r="H19" i="24" s="1"/>
  <c r="E23" i="24"/>
  <c r="H23" i="24" s="1"/>
  <c r="E27" i="24"/>
  <c r="H27" i="24" s="1"/>
  <c r="F30" i="24"/>
  <c r="H20" i="24"/>
  <c r="E24" i="24"/>
  <c r="H24" i="24" s="1"/>
  <c r="E28" i="24"/>
  <c r="H28" i="24" s="1"/>
  <c r="E33" i="23"/>
  <c r="H32" i="23"/>
  <c r="H27" i="23"/>
  <c r="E34" i="23"/>
  <c r="H34" i="23" s="1"/>
  <c r="E29" i="23"/>
  <c r="H29" i="23" s="1"/>
  <c r="H33" i="23"/>
  <c r="E24" i="23"/>
  <c r="H24" i="23" s="1"/>
  <c r="H25" i="23"/>
  <c r="E32" i="22"/>
  <c r="H32" i="22" s="1"/>
  <c r="E25" i="22"/>
  <c r="H25" i="22" s="1"/>
  <c r="E33" i="22"/>
  <c r="H33" i="22" s="1"/>
  <c r="H36" i="22"/>
  <c r="H29" i="22"/>
  <c r="H18" i="22"/>
  <c r="E26" i="22"/>
  <c r="H26" i="22" s="1"/>
  <c r="E30" i="22"/>
  <c r="H30" i="22" s="1"/>
  <c r="E34" i="22"/>
  <c r="H34" i="22" s="1"/>
  <c r="F38" i="22"/>
  <c r="E27" i="22"/>
  <c r="H27" i="22" s="1"/>
  <c r="E31" i="22"/>
  <c r="H31" i="22" s="1"/>
  <c r="E35" i="22"/>
  <c r="H35" i="22" s="1"/>
  <c r="R39" i="25" l="1"/>
  <c r="R43" i="25"/>
  <c r="R47" i="25"/>
  <c r="R40" i="25"/>
  <c r="R44" i="25"/>
  <c r="R48" i="25"/>
  <c r="R41" i="25"/>
  <c r="R45" i="25"/>
  <c r="R49" i="25"/>
  <c r="R42" i="25"/>
  <c r="R46" i="25"/>
  <c r="R38" i="25"/>
  <c r="Q39" i="25"/>
  <c r="Q43" i="25"/>
  <c r="Q47" i="25"/>
  <c r="C21" i="2"/>
  <c r="P42" i="25"/>
  <c r="P46" i="25"/>
  <c r="P38" i="25"/>
  <c r="Q40" i="25"/>
  <c r="Q44" i="25"/>
  <c r="Q48" i="25"/>
  <c r="P39" i="25"/>
  <c r="P43" i="25"/>
  <c r="P47" i="25"/>
  <c r="Q41" i="25"/>
  <c r="Q45" i="25"/>
  <c r="Q49" i="25"/>
  <c r="P40" i="25"/>
  <c r="P44" i="25"/>
  <c r="P48" i="25"/>
  <c r="Q42" i="25"/>
  <c r="Q46" i="25"/>
  <c r="Q38" i="25"/>
  <c r="P41" i="25"/>
  <c r="P45" i="25"/>
  <c r="P49" i="25"/>
  <c r="E30" i="24"/>
  <c r="G30" i="24" s="1"/>
  <c r="H17" i="24"/>
  <c r="E37" i="23"/>
  <c r="E38" i="22"/>
  <c r="G38" i="22" s="1"/>
  <c r="H30" i="24" l="1"/>
  <c r="G37" i="23"/>
  <c r="H37" i="23"/>
  <c r="H38" i="22"/>
  <c r="G5" i="21" l="1"/>
  <c r="F5" i="21"/>
  <c r="F15" i="21"/>
  <c r="G15" i="21" s="1"/>
  <c r="F14" i="21"/>
  <c r="G14" i="21" s="1"/>
  <c r="F13" i="21"/>
  <c r="G13" i="21" s="1"/>
  <c r="F12" i="21"/>
  <c r="G12" i="21" s="1"/>
  <c r="F11" i="21"/>
  <c r="G11" i="21" s="1"/>
  <c r="F10" i="21"/>
  <c r="G10" i="21" s="1"/>
  <c r="F9" i="21"/>
  <c r="G9" i="21" s="1"/>
  <c r="F8" i="21"/>
  <c r="F7" i="21"/>
  <c r="G7" i="21" s="1"/>
  <c r="F6" i="21"/>
  <c r="D39" i="21"/>
  <c r="C39" i="21"/>
  <c r="E18" i="21"/>
  <c r="C41" i="21" l="1"/>
  <c r="F18" i="21"/>
  <c r="G6" i="21"/>
  <c r="G18" i="21" s="1"/>
  <c r="C42" i="21"/>
  <c r="U48" i="14"/>
  <c r="U46" i="14"/>
  <c r="U45" i="14"/>
  <c r="U44" i="14"/>
  <c r="U43" i="14"/>
  <c r="U42" i="14"/>
  <c r="U41" i="14"/>
  <c r="U40" i="14"/>
  <c r="U39" i="14"/>
  <c r="U38" i="14"/>
  <c r="U37" i="14"/>
  <c r="U36" i="14"/>
  <c r="U35" i="14"/>
  <c r="U34" i="14"/>
  <c r="U2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6" i="14"/>
  <c r="S26" i="14"/>
  <c r="Q26" i="14"/>
  <c r="P26" i="14"/>
  <c r="O29" i="14" s="1"/>
  <c r="O26" i="14"/>
  <c r="M26" i="14"/>
  <c r="K26" i="14"/>
  <c r="I26" i="14"/>
  <c r="H26" i="14"/>
  <c r="G29" i="14" s="1"/>
  <c r="G26" i="14"/>
  <c r="S48" i="14"/>
  <c r="R48" i="14"/>
  <c r="Q50" i="14" s="1"/>
  <c r="Q48" i="14"/>
  <c r="O48" i="14"/>
  <c r="M48" i="14"/>
  <c r="K48" i="14"/>
  <c r="J48" i="14"/>
  <c r="I50" i="14" s="1"/>
  <c r="I48" i="14"/>
  <c r="G48" i="14"/>
  <c r="D22" i="8"/>
  <c r="D21" i="8"/>
  <c r="D69" i="14"/>
  <c r="C69" i="14"/>
  <c r="C72" i="14" s="1"/>
  <c r="C73" i="14" s="1"/>
  <c r="T46" i="14"/>
  <c r="R46" i="14"/>
  <c r="P46" i="14"/>
  <c r="N46" i="14"/>
  <c r="L46" i="14"/>
  <c r="J46" i="14"/>
  <c r="H46" i="14"/>
  <c r="F46" i="14"/>
  <c r="T45" i="14"/>
  <c r="R45" i="14"/>
  <c r="P45" i="14"/>
  <c r="N45" i="14"/>
  <c r="L45" i="14"/>
  <c r="J45" i="14"/>
  <c r="H45" i="14"/>
  <c r="F45" i="14"/>
  <c r="T44" i="14"/>
  <c r="R44" i="14"/>
  <c r="P44" i="14"/>
  <c r="N44" i="14"/>
  <c r="L44" i="14"/>
  <c r="J44" i="14"/>
  <c r="H44" i="14"/>
  <c r="F44" i="14"/>
  <c r="T43" i="14"/>
  <c r="R43" i="14"/>
  <c r="P43" i="14"/>
  <c r="N43" i="14"/>
  <c r="L43" i="14"/>
  <c r="J43" i="14"/>
  <c r="H43" i="14"/>
  <c r="F43" i="14"/>
  <c r="T42" i="14"/>
  <c r="R42" i="14"/>
  <c r="P42" i="14"/>
  <c r="N42" i="14"/>
  <c r="L42" i="14"/>
  <c r="J42" i="14"/>
  <c r="H42" i="14"/>
  <c r="F42" i="14"/>
  <c r="T41" i="14"/>
  <c r="R41" i="14"/>
  <c r="P41" i="14"/>
  <c r="N41" i="14"/>
  <c r="L41" i="14"/>
  <c r="J41" i="14"/>
  <c r="H41" i="14"/>
  <c r="F41" i="14"/>
  <c r="T40" i="14"/>
  <c r="R40" i="14"/>
  <c r="P40" i="14"/>
  <c r="N40" i="14"/>
  <c r="L40" i="14"/>
  <c r="J40" i="14"/>
  <c r="H40" i="14"/>
  <c r="F40" i="14"/>
  <c r="T39" i="14"/>
  <c r="R39" i="14"/>
  <c r="P39" i="14"/>
  <c r="N39" i="14"/>
  <c r="L39" i="14"/>
  <c r="J39" i="14"/>
  <c r="H39" i="14"/>
  <c r="F39" i="14"/>
  <c r="T38" i="14"/>
  <c r="R38" i="14"/>
  <c r="P38" i="14"/>
  <c r="N38" i="14"/>
  <c r="L38" i="14"/>
  <c r="J38" i="14"/>
  <c r="H38" i="14"/>
  <c r="F38" i="14"/>
  <c r="T37" i="14"/>
  <c r="R37" i="14"/>
  <c r="P37" i="14"/>
  <c r="N37" i="14"/>
  <c r="L37" i="14"/>
  <c r="J37" i="14"/>
  <c r="H37" i="14"/>
  <c r="F37" i="14"/>
  <c r="T36" i="14"/>
  <c r="R36" i="14"/>
  <c r="P36" i="14"/>
  <c r="N36" i="14"/>
  <c r="L36" i="14"/>
  <c r="J36" i="14"/>
  <c r="H36" i="14"/>
  <c r="F36" i="14"/>
  <c r="T35" i="14"/>
  <c r="R35" i="14"/>
  <c r="P35" i="14"/>
  <c r="N35" i="14"/>
  <c r="L35" i="14"/>
  <c r="J35" i="14"/>
  <c r="H35" i="14"/>
  <c r="T34" i="14"/>
  <c r="T48" i="14" s="1"/>
  <c r="S50" i="14" s="1"/>
  <c r="R34" i="14"/>
  <c r="P34" i="14"/>
  <c r="P48" i="14" s="1"/>
  <c r="O50" i="14" s="1"/>
  <c r="N34" i="14"/>
  <c r="N48" i="14" s="1"/>
  <c r="M50" i="14" s="1"/>
  <c r="L34" i="14"/>
  <c r="L48" i="14" s="1"/>
  <c r="K50" i="14" s="1"/>
  <c r="J34" i="14"/>
  <c r="H34" i="14"/>
  <c r="H48" i="14" s="1"/>
  <c r="G50" i="14" s="1"/>
  <c r="E34" i="14"/>
  <c r="E48" i="14" s="1"/>
  <c r="T24" i="14"/>
  <c r="R24" i="14"/>
  <c r="P24" i="14"/>
  <c r="N24" i="14"/>
  <c r="L24" i="14"/>
  <c r="J24" i="14"/>
  <c r="H24" i="14"/>
  <c r="F24" i="14"/>
  <c r="T23" i="14"/>
  <c r="R23" i="14"/>
  <c r="P23" i="14"/>
  <c r="N23" i="14"/>
  <c r="L23" i="14"/>
  <c r="J23" i="14"/>
  <c r="H23" i="14"/>
  <c r="F23" i="14"/>
  <c r="T22" i="14"/>
  <c r="R22" i="14"/>
  <c r="P22" i="14"/>
  <c r="N22" i="14"/>
  <c r="L22" i="14"/>
  <c r="J22" i="14"/>
  <c r="H22" i="14"/>
  <c r="F22" i="14"/>
  <c r="T21" i="14"/>
  <c r="R21" i="14"/>
  <c r="P21" i="14"/>
  <c r="N21" i="14"/>
  <c r="L21" i="14"/>
  <c r="J21" i="14"/>
  <c r="H21" i="14"/>
  <c r="F21" i="14"/>
  <c r="T20" i="14"/>
  <c r="R20" i="14"/>
  <c r="P20" i="14"/>
  <c r="N20" i="14"/>
  <c r="L20" i="14"/>
  <c r="J20" i="14"/>
  <c r="H20" i="14"/>
  <c r="F20" i="14"/>
  <c r="T19" i="14"/>
  <c r="R19" i="14"/>
  <c r="P19" i="14"/>
  <c r="N19" i="14"/>
  <c r="L19" i="14"/>
  <c r="J19" i="14"/>
  <c r="H19" i="14"/>
  <c r="F19" i="14"/>
  <c r="T18" i="14"/>
  <c r="R18" i="14"/>
  <c r="P18" i="14"/>
  <c r="N18" i="14"/>
  <c r="L18" i="14"/>
  <c r="J18" i="14"/>
  <c r="H18" i="14"/>
  <c r="F18" i="14"/>
  <c r="T17" i="14"/>
  <c r="R17" i="14"/>
  <c r="P17" i="14"/>
  <c r="N17" i="14"/>
  <c r="L17" i="14"/>
  <c r="J17" i="14"/>
  <c r="H17" i="14"/>
  <c r="F17" i="14"/>
  <c r="T16" i="14"/>
  <c r="R16" i="14"/>
  <c r="P16" i="14"/>
  <c r="N16" i="14"/>
  <c r="L16" i="14"/>
  <c r="J16" i="14"/>
  <c r="H16" i="14"/>
  <c r="F16" i="14"/>
  <c r="T15" i="14"/>
  <c r="R15" i="14"/>
  <c r="P15" i="14"/>
  <c r="N15" i="14"/>
  <c r="L15" i="14"/>
  <c r="J15" i="14"/>
  <c r="H15" i="14"/>
  <c r="F15" i="14"/>
  <c r="T14" i="14"/>
  <c r="R14" i="14"/>
  <c r="P14" i="14"/>
  <c r="N14" i="14"/>
  <c r="L14" i="14"/>
  <c r="J14" i="14"/>
  <c r="H14" i="14"/>
  <c r="F14" i="14"/>
  <c r="T13" i="14"/>
  <c r="R13" i="14"/>
  <c r="P13" i="14"/>
  <c r="N13" i="14"/>
  <c r="L13" i="14"/>
  <c r="J13" i="14"/>
  <c r="H13" i="14"/>
  <c r="F13" i="14"/>
  <c r="T12" i="14"/>
  <c r="R12" i="14"/>
  <c r="P12" i="14"/>
  <c r="N12" i="14"/>
  <c r="L12" i="14"/>
  <c r="J12" i="14"/>
  <c r="H12" i="14"/>
  <c r="F12" i="14"/>
  <c r="T11" i="14"/>
  <c r="R11" i="14"/>
  <c r="P11" i="14"/>
  <c r="N11" i="14"/>
  <c r="L11" i="14"/>
  <c r="J11" i="14"/>
  <c r="H11" i="14"/>
  <c r="F11" i="14"/>
  <c r="T10" i="14"/>
  <c r="R10" i="14"/>
  <c r="P10" i="14"/>
  <c r="N10" i="14"/>
  <c r="L10" i="14"/>
  <c r="J10" i="14"/>
  <c r="H10" i="14"/>
  <c r="F10" i="14"/>
  <c r="T9" i="14"/>
  <c r="R9" i="14"/>
  <c r="P9" i="14"/>
  <c r="N9" i="14"/>
  <c r="L9" i="14"/>
  <c r="J9" i="14"/>
  <c r="H9" i="14"/>
  <c r="F9" i="14"/>
  <c r="T8" i="14"/>
  <c r="R8" i="14"/>
  <c r="P8" i="14"/>
  <c r="N8" i="14"/>
  <c r="L8" i="14"/>
  <c r="J8" i="14"/>
  <c r="H8" i="14"/>
  <c r="F8" i="14"/>
  <c r="T7" i="14"/>
  <c r="R7" i="14"/>
  <c r="P7" i="14"/>
  <c r="N7" i="14"/>
  <c r="L7" i="14"/>
  <c r="J7" i="14"/>
  <c r="H7" i="14"/>
  <c r="F7" i="14"/>
  <c r="T6" i="14"/>
  <c r="T26" i="14" s="1"/>
  <c r="R6" i="14"/>
  <c r="R26" i="14" s="1"/>
  <c r="P6" i="14"/>
  <c r="N6" i="14"/>
  <c r="N26" i="14" s="1"/>
  <c r="L6" i="14"/>
  <c r="L26" i="14" s="1"/>
  <c r="J6" i="14"/>
  <c r="J26" i="14" s="1"/>
  <c r="H6" i="14"/>
  <c r="E6" i="14"/>
  <c r="F6" i="14" s="1"/>
  <c r="F26" i="14" s="1"/>
  <c r="G33" i="21" l="1"/>
  <c r="G37" i="21"/>
  <c r="G36" i="21"/>
  <c r="G35" i="21"/>
  <c r="G34" i="21"/>
  <c r="G32" i="21"/>
  <c r="G31" i="21"/>
  <c r="G30" i="21"/>
  <c r="G29" i="21"/>
  <c r="G27" i="21"/>
  <c r="G19" i="21"/>
  <c r="C17" i="2" s="1"/>
  <c r="F36" i="21"/>
  <c r="F34" i="21"/>
  <c r="F31" i="21"/>
  <c r="F27" i="21"/>
  <c r="F26" i="21"/>
  <c r="F32" i="21"/>
  <c r="F37" i="21"/>
  <c r="F35" i="21"/>
  <c r="F33" i="21"/>
  <c r="F30" i="21"/>
  <c r="F28" i="21"/>
  <c r="H18" i="21"/>
  <c r="E29" i="14"/>
  <c r="M29" i="14"/>
  <c r="I29" i="14"/>
  <c r="I30" i="14" s="1"/>
  <c r="Q29" i="14"/>
  <c r="K29" i="14"/>
  <c r="S29" i="14"/>
  <c r="E26" i="14"/>
  <c r="C71" i="14"/>
  <c r="G30" i="14"/>
  <c r="O30" i="14"/>
  <c r="O51" i="14"/>
  <c r="Q51" i="14"/>
  <c r="I51" i="14"/>
  <c r="G51" i="14"/>
  <c r="M51" i="14"/>
  <c r="V8" i="14"/>
  <c r="W8" i="14" s="1"/>
  <c r="V9" i="14"/>
  <c r="W9" i="14" s="1"/>
  <c r="V10" i="14"/>
  <c r="W10" i="14" s="1"/>
  <c r="V11" i="14"/>
  <c r="W11" i="14" s="1"/>
  <c r="V12" i="14"/>
  <c r="W12" i="14" s="1"/>
  <c r="V13" i="14"/>
  <c r="W13" i="14" s="1"/>
  <c r="V14" i="14"/>
  <c r="W14" i="14" s="1"/>
  <c r="V15" i="14"/>
  <c r="W15" i="14" s="1"/>
  <c r="V16" i="14"/>
  <c r="W16" i="14" s="1"/>
  <c r="V17" i="14"/>
  <c r="W17" i="14" s="1"/>
  <c r="V18" i="14"/>
  <c r="W18" i="14" s="1"/>
  <c r="V19" i="14"/>
  <c r="W19" i="14" s="1"/>
  <c r="V20" i="14"/>
  <c r="W20" i="14" s="1"/>
  <c r="V21" i="14"/>
  <c r="W21" i="14" s="1"/>
  <c r="V22" i="14"/>
  <c r="W22" i="14" s="1"/>
  <c r="V23" i="14"/>
  <c r="W23" i="14" s="1"/>
  <c r="V24" i="14"/>
  <c r="W24" i="14" s="1"/>
  <c r="F34" i="14"/>
  <c r="V46" i="14"/>
  <c r="W46" i="14" s="1"/>
  <c r="K30" i="14"/>
  <c r="S30" i="14"/>
  <c r="K51" i="14"/>
  <c r="S51" i="14"/>
  <c r="M30" i="14"/>
  <c r="V7" i="14"/>
  <c r="V35" i="14"/>
  <c r="W35" i="14" s="1"/>
  <c r="V36" i="14"/>
  <c r="W36" i="14" s="1"/>
  <c r="V37" i="14"/>
  <c r="W37" i="14" s="1"/>
  <c r="V38" i="14"/>
  <c r="W38" i="14" s="1"/>
  <c r="V39" i="14"/>
  <c r="W39" i="14" s="1"/>
  <c r="V40" i="14"/>
  <c r="W40" i="14" s="1"/>
  <c r="V41" i="14"/>
  <c r="W41" i="14" s="1"/>
  <c r="V42" i="14"/>
  <c r="W42" i="14" s="1"/>
  <c r="V43" i="14"/>
  <c r="W43" i="14" s="1"/>
  <c r="V44" i="14"/>
  <c r="W44" i="14" s="1"/>
  <c r="V45" i="14"/>
  <c r="W45" i="14" s="1"/>
  <c r="Q30" i="14"/>
  <c r="E30" i="14"/>
  <c r="V6" i="14"/>
  <c r="E35" i="21" l="1"/>
  <c r="H35" i="21" s="1"/>
  <c r="H19" i="21"/>
  <c r="E28" i="21"/>
  <c r="H28" i="21" s="1"/>
  <c r="E36" i="21"/>
  <c r="H36" i="21" s="1"/>
  <c r="E27" i="21"/>
  <c r="H27" i="21" s="1"/>
  <c r="E30" i="21"/>
  <c r="H30" i="21" s="1"/>
  <c r="E37" i="21"/>
  <c r="H37" i="21" s="1"/>
  <c r="E26" i="21"/>
  <c r="H29" i="21"/>
  <c r="F39" i="21"/>
  <c r="E33" i="21"/>
  <c r="H33" i="21" s="1"/>
  <c r="E32" i="21"/>
  <c r="H32" i="21" s="1"/>
  <c r="E31" i="21"/>
  <c r="H31" i="21" s="1"/>
  <c r="E34" i="21"/>
  <c r="H34" i="21" s="1"/>
  <c r="V34" i="14"/>
  <c r="F48" i="14"/>
  <c r="E50" i="14" s="1"/>
  <c r="E51" i="14" s="1"/>
  <c r="W7" i="14"/>
  <c r="V26" i="14"/>
  <c r="W29" i="14" s="1"/>
  <c r="W6" i="14"/>
  <c r="E39" i="21" l="1"/>
  <c r="G39" i="21" s="1"/>
  <c r="H26" i="21"/>
  <c r="W34" i="14"/>
  <c r="W48" i="14" s="1"/>
  <c r="V48" i="14"/>
  <c r="W50" i="14" s="1"/>
  <c r="G58" i="14" s="1"/>
  <c r="W26" i="14"/>
  <c r="Y29" i="14"/>
  <c r="E66" i="14" s="1"/>
  <c r="E61" i="14"/>
  <c r="G60" i="14"/>
  <c r="G65" i="14"/>
  <c r="G59" i="14"/>
  <c r="G66" i="14"/>
  <c r="F64" i="14"/>
  <c r="F60" i="14"/>
  <c r="F56" i="14"/>
  <c r="F65" i="14"/>
  <c r="F61" i="14"/>
  <c r="F57" i="14"/>
  <c r="F66" i="14"/>
  <c r="F62" i="14"/>
  <c r="F58" i="14"/>
  <c r="F67" i="14"/>
  <c r="F63" i="14"/>
  <c r="F59" i="14"/>
  <c r="W30" i="14"/>
  <c r="D41" i="15"/>
  <c r="C41" i="15"/>
  <c r="E20" i="15"/>
  <c r="C43" i="15" l="1"/>
  <c r="C44" i="15"/>
  <c r="H39" i="21"/>
  <c r="G62" i="14"/>
  <c r="G57" i="14"/>
  <c r="W51" i="14"/>
  <c r="G67" i="14"/>
  <c r="G63" i="14"/>
  <c r="G64" i="14"/>
  <c r="G56" i="14"/>
  <c r="G61" i="14"/>
  <c r="E65" i="14"/>
  <c r="E63" i="14"/>
  <c r="H63" i="14" s="1"/>
  <c r="E60" i="14"/>
  <c r="H60" i="14" s="1"/>
  <c r="E62" i="14"/>
  <c r="H62" i="14" s="1"/>
  <c r="E67" i="14"/>
  <c r="E57" i="14"/>
  <c r="H57" i="14" s="1"/>
  <c r="Y30" i="14"/>
  <c r="H61" i="14"/>
  <c r="H65" i="14"/>
  <c r="H66" i="14"/>
  <c r="H67" i="14"/>
  <c r="E56" i="14"/>
  <c r="E64" i="14"/>
  <c r="H64" i="14" s="1"/>
  <c r="E58" i="14"/>
  <c r="H58" i="14" s="1"/>
  <c r="E59" i="14"/>
  <c r="H59" i="14" s="1"/>
  <c r="F69" i="14"/>
  <c r="C15" i="2"/>
  <c r="D15" i="2" l="1"/>
  <c r="D14" i="2" s="1"/>
  <c r="G69" i="14"/>
  <c r="E69" i="14"/>
  <c r="H69" i="14" s="1"/>
  <c r="H56" i="14"/>
  <c r="G15" i="2"/>
  <c r="F15" i="2"/>
  <c r="E15" i="2"/>
  <c r="H15" i="2" l="1"/>
  <c r="F6" i="15"/>
  <c r="G6" i="15" s="1"/>
  <c r="F7" i="15"/>
  <c r="G7" i="15" s="1"/>
  <c r="F8" i="15"/>
  <c r="G8" i="15" s="1"/>
  <c r="F9" i="15"/>
  <c r="G9" i="15" s="1"/>
  <c r="F10" i="15"/>
  <c r="G10" i="15" s="1"/>
  <c r="F11" i="15"/>
  <c r="G11" i="15" s="1"/>
  <c r="F12" i="15"/>
  <c r="G12" i="15" s="1"/>
  <c r="F13" i="15"/>
  <c r="G13" i="15" s="1"/>
  <c r="F14" i="15"/>
  <c r="G14" i="15" s="1"/>
  <c r="F15" i="15"/>
  <c r="G15" i="15" s="1"/>
  <c r="F16" i="15"/>
  <c r="G16" i="15" s="1"/>
  <c r="F17" i="15"/>
  <c r="G17" i="15" s="1"/>
  <c r="G5" i="15"/>
  <c r="G20" i="15" l="1"/>
  <c r="F20" i="15"/>
  <c r="F35" i="15" l="1"/>
  <c r="G35" i="15"/>
  <c r="G30" i="15"/>
  <c r="G34" i="15"/>
  <c r="G39" i="15"/>
  <c r="F30" i="15"/>
  <c r="F39" i="15"/>
  <c r="G31" i="15"/>
  <c r="G36" i="15"/>
  <c r="G28" i="15"/>
  <c r="F32" i="15"/>
  <c r="F36" i="15"/>
  <c r="F28" i="15"/>
  <c r="G32" i="15"/>
  <c r="G37" i="15"/>
  <c r="F31" i="15"/>
  <c r="F33" i="15"/>
  <c r="F37" i="15"/>
  <c r="G38" i="15"/>
  <c r="F29" i="15"/>
  <c r="G29" i="15"/>
  <c r="F34" i="15"/>
  <c r="G33" i="15"/>
  <c r="F38" i="15"/>
  <c r="G21" i="15"/>
  <c r="C16" i="2" s="1"/>
  <c r="H20" i="15"/>
  <c r="E39" i="15" s="1"/>
  <c r="E35" i="15" l="1"/>
  <c r="G16" i="2"/>
  <c r="F16" i="2"/>
  <c r="F41" i="15"/>
  <c r="E30" i="15"/>
  <c r="H30" i="15" s="1"/>
  <c r="E29" i="15"/>
  <c r="H29" i="15" s="1"/>
  <c r="E34" i="15"/>
  <c r="H34" i="15" s="1"/>
  <c r="E37" i="15"/>
  <c r="H37" i="15" s="1"/>
  <c r="E36" i="15"/>
  <c r="H36" i="15" s="1"/>
  <c r="E31" i="15"/>
  <c r="H31" i="15" s="1"/>
  <c r="E32" i="15"/>
  <c r="H32" i="15" s="1"/>
  <c r="H39" i="15"/>
  <c r="H21" i="15"/>
  <c r="E38" i="15"/>
  <c r="H38" i="15" s="1"/>
  <c r="E33" i="15"/>
  <c r="H33" i="15" s="1"/>
  <c r="E28" i="15"/>
  <c r="H35" i="15"/>
  <c r="H28" i="15" l="1"/>
  <c r="E41" i="15"/>
  <c r="G41" i="15" s="1"/>
  <c r="G22" i="2"/>
  <c r="F22" i="2"/>
  <c r="E22" i="2"/>
  <c r="H14" i="2"/>
  <c r="C22" i="2"/>
  <c r="H22" i="2" s="1"/>
  <c r="H41" i="15" l="1"/>
  <c r="G26" i="7"/>
  <c r="G28" i="8" l="1"/>
  <c r="D13" i="2"/>
  <c r="C13" i="2"/>
  <c r="D12" i="2"/>
  <c r="C12" i="2"/>
  <c r="D11" i="2"/>
  <c r="C11" i="2"/>
  <c r="G11" i="2" s="1"/>
  <c r="D26" i="11"/>
  <c r="D27" i="11"/>
  <c r="D28" i="11"/>
  <c r="D29" i="11"/>
  <c r="D30" i="11"/>
  <c r="D31" i="11"/>
  <c r="D32" i="11"/>
  <c r="D33" i="11"/>
  <c r="D34" i="11"/>
  <c r="D35" i="11"/>
  <c r="D25" i="11"/>
  <c r="D24" i="11"/>
  <c r="C26" i="11"/>
  <c r="C27" i="11"/>
  <c r="C28" i="11"/>
  <c r="C29" i="11"/>
  <c r="C30" i="11"/>
  <c r="C31" i="11"/>
  <c r="C32" i="11"/>
  <c r="C33" i="11"/>
  <c r="C34" i="11"/>
  <c r="C35" i="11"/>
  <c r="C25" i="11"/>
  <c r="C24" i="11"/>
  <c r="C36" i="11" s="1"/>
  <c r="D36" i="11" l="1"/>
  <c r="H13" i="2"/>
  <c r="D10" i="2"/>
  <c r="D24" i="2" s="1"/>
  <c r="H12" i="2"/>
  <c r="C10" i="2"/>
  <c r="H11" i="2" l="1"/>
  <c r="H10" i="2" s="1"/>
  <c r="H24" i="2" s="1"/>
  <c r="J23" i="2" l="1"/>
  <c r="J22" i="2" s="1"/>
  <c r="K23" i="2"/>
  <c r="K22" i="2" s="1"/>
  <c r="I22" i="2"/>
  <c r="G13" i="2"/>
  <c r="K13" i="2" s="1"/>
  <c r="G12" i="2"/>
  <c r="F13" i="2"/>
  <c r="J13" i="2" s="1"/>
  <c r="F12" i="2"/>
  <c r="J12" i="2" s="1"/>
  <c r="F11" i="2"/>
  <c r="E13" i="2"/>
  <c r="I13" i="2" s="1"/>
  <c r="E12" i="2"/>
  <c r="E11" i="2"/>
  <c r="E21" i="2"/>
  <c r="I21" i="2" s="1"/>
  <c r="K12" i="2" l="1"/>
  <c r="G10" i="2"/>
  <c r="I11" i="2"/>
  <c r="E10" i="2"/>
  <c r="K11" i="2"/>
  <c r="K10" i="2" s="1"/>
  <c r="J11" i="2"/>
  <c r="J10" i="2" s="1"/>
  <c r="F10" i="2"/>
  <c r="F21" i="2"/>
  <c r="G21" i="2"/>
  <c r="I12" i="2"/>
  <c r="L12" i="2" s="1"/>
  <c r="L11" i="2" l="1"/>
  <c r="I10" i="2"/>
  <c r="K21" i="2"/>
  <c r="J21" i="2"/>
  <c r="L21" i="2" l="1"/>
  <c r="I15" i="2" l="1"/>
  <c r="J15" i="2" l="1"/>
  <c r="K15" i="2"/>
  <c r="M8" i="8" l="1"/>
  <c r="P8" i="8" s="1"/>
  <c r="M9" i="8"/>
  <c r="P9" i="8" s="1"/>
  <c r="M10" i="8"/>
  <c r="P10" i="8" s="1"/>
  <c r="M11" i="8"/>
  <c r="P11" i="8" s="1"/>
  <c r="M12" i="8"/>
  <c r="P12" i="8" s="1"/>
  <c r="M13" i="8"/>
  <c r="P13" i="8" s="1"/>
  <c r="M14" i="8"/>
  <c r="P14" i="8" s="1"/>
  <c r="M15" i="8"/>
  <c r="P15" i="8" s="1"/>
  <c r="M16" i="8"/>
  <c r="P16" i="8" s="1"/>
  <c r="M17" i="8"/>
  <c r="P17" i="8" s="1"/>
  <c r="M18" i="8"/>
  <c r="P18" i="8" s="1"/>
  <c r="M7" i="8"/>
  <c r="P7" i="8" s="1"/>
  <c r="F8" i="8"/>
  <c r="I8" i="8" s="1"/>
  <c r="F9" i="8"/>
  <c r="I9" i="8" s="1"/>
  <c r="F10" i="8"/>
  <c r="I10" i="8" s="1"/>
  <c r="F11" i="8"/>
  <c r="I11" i="8" s="1"/>
  <c r="F12" i="8"/>
  <c r="I12" i="8" s="1"/>
  <c r="F13" i="8"/>
  <c r="I13" i="8" s="1"/>
  <c r="F14" i="8"/>
  <c r="I14" i="8" s="1"/>
  <c r="F15" i="8"/>
  <c r="I15" i="8" s="1"/>
  <c r="F16" i="8"/>
  <c r="I16" i="8" s="1"/>
  <c r="F17" i="8"/>
  <c r="I17" i="8" s="1"/>
  <c r="F18" i="8"/>
  <c r="I18" i="8" s="1"/>
  <c r="F7" i="8"/>
  <c r="I7" i="8" s="1"/>
  <c r="O19" i="8" l="1"/>
  <c r="H19" i="8"/>
  <c r="P19" i="8" l="1"/>
  <c r="I19" i="8"/>
  <c r="N19" i="8" l="1"/>
  <c r="G19" i="8"/>
  <c r="K19" i="8" l="1"/>
  <c r="L19" i="8"/>
  <c r="J19" i="8"/>
  <c r="D19" i="8"/>
  <c r="E19" i="8"/>
  <c r="C19" i="8"/>
  <c r="D18" i="7"/>
  <c r="C18" i="7"/>
  <c r="M19" i="8" l="1"/>
  <c r="D6" i="11" s="1"/>
  <c r="F19" i="8"/>
  <c r="C6" i="11" s="1"/>
  <c r="C20" i="7"/>
  <c r="C7" i="11"/>
  <c r="D7" i="11"/>
  <c r="E6" i="11" l="1"/>
  <c r="E7" i="11"/>
  <c r="F7" i="11"/>
  <c r="C18" i="9" l="1"/>
  <c r="D18" i="9"/>
  <c r="C8" i="11" l="1"/>
  <c r="C9" i="11" s="1"/>
  <c r="C20" i="9"/>
  <c r="C21" i="9"/>
  <c r="D8" i="11"/>
  <c r="D9" i="11" l="1"/>
  <c r="E9" i="11" s="1"/>
  <c r="E8" i="11"/>
  <c r="F8" i="11"/>
  <c r="G6" i="11" l="1"/>
  <c r="C21" i="7"/>
  <c r="F9" i="11" l="1"/>
  <c r="F6" i="11" l="1"/>
  <c r="E20" i="2"/>
  <c r="E19" i="2"/>
  <c r="C26" i="2"/>
  <c r="M15" i="2" s="1"/>
  <c r="L13" i="2"/>
  <c r="L10" i="2" s="1"/>
  <c r="F19" i="2" l="1"/>
  <c r="I19" i="2"/>
  <c r="N19" i="2" s="1"/>
  <c r="F20" i="2"/>
  <c r="I20" i="2"/>
  <c r="M11" i="2"/>
  <c r="C14" i="2"/>
  <c r="C24" i="2" s="1"/>
  <c r="F18" i="2"/>
  <c r="G18" i="2"/>
  <c r="M21" i="2"/>
  <c r="N21" i="2"/>
  <c r="O21" i="2"/>
  <c r="P21" i="2"/>
  <c r="F17" i="2"/>
  <c r="G17" i="2"/>
  <c r="N12" i="2"/>
  <c r="G19" i="2"/>
  <c r="L15" i="2"/>
  <c r="M13" i="2"/>
  <c r="P23" i="2"/>
  <c r="P22" i="2" s="1"/>
  <c r="O13" i="2"/>
  <c r="E16" i="2"/>
  <c r="I16" i="2" s="1"/>
  <c r="M19" i="2"/>
  <c r="O11" i="2"/>
  <c r="N13" i="2"/>
  <c r="P13" i="2"/>
  <c r="O15" i="2"/>
  <c r="M16" i="2"/>
  <c r="M20" i="2"/>
  <c r="O12" i="2"/>
  <c r="M23" i="2"/>
  <c r="M22" i="2" s="1"/>
  <c r="M17" i="2"/>
  <c r="P11" i="2"/>
  <c r="N11" i="2"/>
  <c r="M12" i="2"/>
  <c r="N15" i="2"/>
  <c r="P15" i="2"/>
  <c r="N23" i="2"/>
  <c r="N22" i="2" s="1"/>
  <c r="O23" i="2"/>
  <c r="O22" i="2" s="1"/>
  <c r="E17" i="2"/>
  <c r="I17" i="2" s="1"/>
  <c r="G20" i="2"/>
  <c r="L23" i="2"/>
  <c r="L22" i="2" s="1"/>
  <c r="P12" i="2"/>
  <c r="E18" i="2"/>
  <c r="I18" i="2" s="1"/>
  <c r="N20" i="2"/>
  <c r="M18" i="2"/>
  <c r="F14" i="2" l="1"/>
  <c r="F24" i="2" s="1"/>
  <c r="M14" i="2"/>
  <c r="E14" i="2"/>
  <c r="E24" i="2" s="1"/>
  <c r="G14" i="2"/>
  <c r="G24" i="2" s="1"/>
  <c r="O10" i="2"/>
  <c r="M10" i="2"/>
  <c r="M24" i="2" s="1"/>
  <c r="P10" i="2"/>
  <c r="Q11" i="2"/>
  <c r="N10" i="2"/>
  <c r="Q23" i="2"/>
  <c r="Q22" i="2" s="1"/>
  <c r="Q21" i="2"/>
  <c r="K19" i="2"/>
  <c r="P19" i="2" s="1"/>
  <c r="J19" i="2"/>
  <c r="O19" i="2" s="1"/>
  <c r="Q12" i="2"/>
  <c r="Q13" i="2"/>
  <c r="J18" i="2"/>
  <c r="O18" i="2" s="1"/>
  <c r="K18" i="2"/>
  <c r="P18" i="2" s="1"/>
  <c r="N18" i="2"/>
  <c r="K20" i="2"/>
  <c r="P20" i="2" s="1"/>
  <c r="J20" i="2"/>
  <c r="O20" i="2" s="1"/>
  <c r="J16" i="2" l="1"/>
  <c r="I14" i="2"/>
  <c r="I24" i="2" s="1"/>
  <c r="K16" i="2"/>
  <c r="Q10" i="2"/>
  <c r="Q19" i="2"/>
  <c r="N16" i="2"/>
  <c r="L19" i="2"/>
  <c r="K17" i="2"/>
  <c r="P17" i="2" s="1"/>
  <c r="J17" i="2"/>
  <c r="O17" i="2" s="1"/>
  <c r="N17" i="2"/>
  <c r="Q20" i="2"/>
  <c r="Q18" i="2"/>
  <c r="L18" i="2"/>
  <c r="L20" i="2"/>
  <c r="L16" i="2" l="1"/>
  <c r="P16" i="2"/>
  <c r="P14" i="2" s="1"/>
  <c r="P24" i="2" s="1"/>
  <c r="K14" i="2"/>
  <c r="K24" i="2" s="1"/>
  <c r="N14" i="2"/>
  <c r="N24" i="2" s="1"/>
  <c r="O16" i="2"/>
  <c r="O14" i="2" s="1"/>
  <c r="O24" i="2" s="1"/>
  <c r="J14" i="2"/>
  <c r="J24" i="2" s="1"/>
  <c r="Q17" i="2"/>
  <c r="Q15" i="2"/>
  <c r="L17" i="2"/>
  <c r="L14" i="2" l="1"/>
  <c r="L24" i="2" s="1"/>
  <c r="Q16" i="2"/>
  <c r="Q14" i="2" s="1"/>
  <c r="Q24" i="2" l="1"/>
  <c r="R14" i="2" s="1"/>
  <c r="R22" i="2" l="1"/>
  <c r="R24" i="2"/>
  <c r="R10" i="2"/>
</calcChain>
</file>

<file path=xl/sharedStrings.xml><?xml version="1.0" encoding="utf-8"?>
<sst xmlns="http://schemas.openxmlformats.org/spreadsheetml/2006/main" count="739" uniqueCount="192">
  <si>
    <t>2015-2018</t>
  </si>
  <si>
    <t>Tibitoc</t>
  </si>
  <si>
    <t>San Rafael</t>
  </si>
  <si>
    <t>Columnas</t>
  </si>
  <si>
    <t>Ahorro</t>
  </si>
  <si>
    <t>kWh (activa)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</si>
  <si>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</si>
  <si>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</si>
  <si>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</si>
  <si>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</si>
  <si>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</si>
  <si>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</si>
  <si>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</si>
  <si>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</si>
  <si>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</si>
  <si>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</si>
  <si>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</si>
  <si>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</si>
  <si>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</si>
  <si>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TIBITOC 1</t>
  </si>
  <si>
    <t>TIBITOC 2</t>
  </si>
  <si>
    <t>TIBITOC 3</t>
  </si>
  <si>
    <t>EAB</t>
  </si>
  <si>
    <t>CERRO ANTENAS</t>
  </si>
  <si>
    <t>BAJO TEUSACA</t>
  </si>
  <si>
    <t>REDUCCIÓN 2014-2015</t>
  </si>
  <si>
    <t>SUBTOTAL</t>
  </si>
  <si>
    <t>Punto de Atención Comercial Av. Suba (Zona 1)</t>
  </si>
  <si>
    <t>Punto de Atención Comercial CLL 32 (Zona2)</t>
  </si>
  <si>
    <t>Punto de Atención San Benito (Zona 4)</t>
  </si>
  <si>
    <t>Punto de Atención Unisur (Zona 5)</t>
  </si>
  <si>
    <t>SEDE</t>
  </si>
  <si>
    <t>Punto de Atención Central de Operaciones (Zona 3)</t>
  </si>
  <si>
    <t>APROVECHAMIENTOS ALTERNATIVOS DE ENERGÍA (AAE)</t>
  </si>
  <si>
    <t>Estimado</t>
  </si>
  <si>
    <t>Real</t>
  </si>
  <si>
    <t>Lineamiento Dirección de Abastecimiento: Mantener el consumo específico de energía en [kWh/m3]</t>
  </si>
  <si>
    <t>TIBITOC 1 (152)</t>
  </si>
  <si>
    <t>TIBITOC 2 (148)</t>
  </si>
  <si>
    <t>TIBITOC 3 (149)</t>
  </si>
  <si>
    <t>|</t>
  </si>
  <si>
    <t>REDUCCION</t>
  </si>
  <si>
    <t>PARTICIPACIÓN 2014</t>
  </si>
  <si>
    <t>PARTICIPACIÓN 2015</t>
  </si>
  <si>
    <t>%</t>
  </si>
  <si>
    <t xml:space="preserve">TOTAL </t>
  </si>
  <si>
    <t>N°</t>
  </si>
  <si>
    <t>CÓDIGO</t>
  </si>
  <si>
    <t>LED</t>
  </si>
  <si>
    <t>Tubos Fluorescentes Tipo T8</t>
  </si>
  <si>
    <t>TF8</t>
  </si>
  <si>
    <t>Lámparas Fluorescentes Compactas</t>
  </si>
  <si>
    <t>LFC</t>
  </si>
  <si>
    <t>Lámparas Incandescentes Halógenas (DICROICA)</t>
  </si>
  <si>
    <t>LIH</t>
  </si>
  <si>
    <t>PISO 1</t>
  </si>
  <si>
    <t>PISO 2</t>
  </si>
  <si>
    <t>PISO 3</t>
  </si>
  <si>
    <t>PISO 4</t>
  </si>
  <si>
    <t>PISO 5</t>
  </si>
  <si>
    <t>PISO 6</t>
  </si>
  <si>
    <t>PISO 7</t>
  </si>
  <si>
    <t>Lámparas LED</t>
  </si>
  <si>
    <t>Tubos LED</t>
  </si>
  <si>
    <t>CANTIDAD</t>
  </si>
  <si>
    <t>CUENTAS</t>
  </si>
  <si>
    <t>0760819-8</t>
  </si>
  <si>
    <t>0439121-1</t>
  </si>
  <si>
    <t>2528458-2</t>
  </si>
  <si>
    <t>1493198-0</t>
  </si>
  <si>
    <t>1493196-6</t>
  </si>
  <si>
    <t>1493009-3</t>
  </si>
  <si>
    <t>1493007-9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</si>
  <si>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</si>
  <si>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</si>
  <si>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</si>
  <si>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</si>
  <si>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</si>
  <si>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</si>
  <si>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</si>
  <si>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</si>
  <si>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</si>
  <si>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</si>
  <si>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</si>
  <si>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</si>
  <si>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</t>
  </si>
  <si>
    <t>Tubos Fluorescentes Tipo T12</t>
  </si>
  <si>
    <t>TF12</t>
  </si>
  <si>
    <t xml:space="preserve">Lámparas de Halogenuros Metálicos </t>
  </si>
  <si>
    <t>LHM</t>
  </si>
  <si>
    <t>Lámparas de Sodio</t>
  </si>
  <si>
    <t>SOD</t>
  </si>
  <si>
    <t>Lámparas de Mercurio</t>
  </si>
  <si>
    <t>LM</t>
  </si>
  <si>
    <t>Lámparas Incandescentes de Filamento</t>
  </si>
  <si>
    <t>LI</t>
  </si>
  <si>
    <t>POTENCIA (W)</t>
  </si>
  <si>
    <t>Panel LED 60x60 cm</t>
  </si>
  <si>
    <t>Bala LED 6''</t>
  </si>
  <si>
    <t>Bala LED de 8''</t>
  </si>
  <si>
    <t>TIPO DE LUMINARIA</t>
  </si>
  <si>
    <t>ENERGÍA MENSUAL (kWh/MES)</t>
  </si>
  <si>
    <t>Lámparas Incandescentes de Filamento de Tungsteno</t>
  </si>
  <si>
    <t>Tubos Fluorescentes TIPO T12</t>
  </si>
  <si>
    <t>Lámparas Incandescentes</t>
  </si>
  <si>
    <t>Lámparas de Halogenuros Metálicos</t>
  </si>
  <si>
    <t xml:space="preserve">SOTANO </t>
  </si>
  <si>
    <t>% PARTICIPACIÓN POTENCIA POR ILUMINACIÓN</t>
  </si>
  <si>
    <t>CONSUMO DE ENERGÍA (kWh/MES)</t>
  </si>
  <si>
    <t>CONSUMO TOTAL ENERGÍA (kWh/AÑO)</t>
  </si>
  <si>
    <t>POTENCIA UNIDAD (W)</t>
  </si>
  <si>
    <t>% REDUCCION</t>
  </si>
  <si>
    <t>CONSUMO DE ENERGIA TOTAL (kWh/AÑO)</t>
  </si>
  <si>
    <t xml:space="preserve">ENERGIA MENSUAL ESTIMADA (kWh/MES) 
REDUCCION DEL 35% </t>
  </si>
  <si>
    <t>PROYECCION AÑO</t>
  </si>
  <si>
    <t>AREA</t>
  </si>
  <si>
    <t xml:space="preserve">ACCION </t>
  </si>
  <si>
    <t xml:space="preserve">META DE REDUCCION: </t>
  </si>
  <si>
    <t>LED (1 W x 3)</t>
  </si>
  <si>
    <t>Bala LED 5"</t>
  </si>
  <si>
    <t>Bala LED 8"</t>
  </si>
  <si>
    <t>PROYECCION</t>
  </si>
  <si>
    <t>% PARTICIPACIÓN ILUMINACIÓN</t>
  </si>
  <si>
    <t xml:space="preserve"> % REDUCCION POR ILUMINACION: </t>
  </si>
  <si>
    <t>CANTIDAD TOTAL</t>
  </si>
  <si>
    <t>SUBCENTRAL DE OPERACIONES USAQUEN (CUENTA CODENSA: 0762438-6)</t>
  </si>
  <si>
    <t>EDIFICIO DE LA CENTRAL DE OPERACIONES CENTRO NARIÑO (CUENTA EMGESA: 142)</t>
  </si>
  <si>
    <t>COLUMNAS (CUENTA EMGESA: 202)</t>
  </si>
  <si>
    <t>SAN RAFAEL (CUENTA EMGESA: 143)</t>
  </si>
  <si>
    <t>CENTRO DE CONTROL MODELIA (CUENTA CODENSA: 2522444-7)</t>
  </si>
  <si>
    <t>SERVICIO MEDICO CENTRO NARIÑO (CUENTA CODENSA: 1104517-6)</t>
  </si>
  <si>
    <t>SUPER CADE FONTIBON (CUENTA CODENSA: 2695849-7)</t>
  </si>
  <si>
    <t>PUNTOS DE ATENCION COMERCIAL</t>
  </si>
  <si>
    <t>ZONA 1</t>
  </si>
  <si>
    <t>ZONA 2</t>
  </si>
  <si>
    <t>ZONA 3</t>
  </si>
  <si>
    <t>ZONA 4</t>
  </si>
  <si>
    <t>ZONA 5</t>
  </si>
  <si>
    <t>Tubos Fluorescentes TIPO T5</t>
  </si>
  <si>
    <t>TF5</t>
  </si>
  <si>
    <t>Lámparas LED (DICROICA)</t>
  </si>
  <si>
    <t>Tubos Fluorescentes TIPO T8</t>
  </si>
  <si>
    <t>LOT</t>
  </si>
  <si>
    <t>POTENCIA TOTAL (W)</t>
  </si>
  <si>
    <r>
      <t>Emisiones (tCO</t>
    </r>
    <r>
      <rPr>
        <vertAlign val="subscript"/>
        <sz val="10"/>
        <rFont val="Calibri Light"/>
        <family val="2"/>
      </rPr>
      <t>2e</t>
    </r>
    <r>
      <rPr>
        <sz val="10"/>
        <rFont val="Calibri Light"/>
        <family val="2"/>
      </rPr>
      <t>)</t>
    </r>
  </si>
  <si>
    <t>TOTAL TIBITOC, SAN RAFAEL, COLUMNAS</t>
  </si>
  <si>
    <t>Reducción en el consumo total de energía eléctrica 2014 vs 2015</t>
  </si>
  <si>
    <t>Aulas</t>
  </si>
  <si>
    <t>Zona Central Talleres</t>
  </si>
  <si>
    <t>Total</t>
  </si>
  <si>
    <t>CONSUMO kWh/Mes</t>
  </si>
  <si>
    <t>Tubo LED T8</t>
  </si>
  <si>
    <t>Bala LED</t>
  </si>
  <si>
    <t>Lámpara LED</t>
  </si>
  <si>
    <t xml:space="preserve">Reflector LED </t>
  </si>
  <si>
    <t>Panel LED 60x60</t>
  </si>
  <si>
    <t>Bulbo LED</t>
  </si>
  <si>
    <t>Lámparas Incandescentes Halógenas (Dicroica)</t>
  </si>
  <si>
    <t>COLEGIO RAMÓN B. JIMENO (CUENTA CODENSA: 0939974-5)</t>
  </si>
  <si>
    <t xml:space="preserve">CONSUMO DE ENERGIA </t>
  </si>
  <si>
    <t>CONSUMO DE ENERGIA</t>
  </si>
  <si>
    <t>ADMINISTRATIVA</t>
  </si>
  <si>
    <t>Administrativa</t>
  </si>
  <si>
    <t>AULAS</t>
  </si>
  <si>
    <t>ZONA CENTRAL - TALLERES</t>
  </si>
  <si>
    <t>TOTAL CONSUMO EAB</t>
  </si>
  <si>
    <t>CONSUMO ENERGIA (kWh/año)</t>
  </si>
  <si>
    <t>REDUCCION CONSUMO ENERGIA (kWh/año)</t>
  </si>
  <si>
    <t>PESO EN META DE REDUCCION</t>
  </si>
  <si>
    <r>
      <t>REDUCCION EMISIONES GEI (tCO</t>
    </r>
    <r>
      <rPr>
        <b/>
        <vertAlign val="subscript"/>
        <sz val="10"/>
        <color theme="1"/>
        <rFont val="Calibri Light"/>
        <family val="2"/>
      </rPr>
      <t>2e</t>
    </r>
    <r>
      <rPr>
        <b/>
        <sz val="10"/>
        <color theme="1"/>
        <rFont val="Calibri Light"/>
        <family val="2"/>
      </rPr>
      <t>)</t>
    </r>
  </si>
  <si>
    <r>
      <t>Factor de emisión UPME (tCO</t>
    </r>
    <r>
      <rPr>
        <vertAlign val="subscript"/>
        <sz val="10"/>
        <color theme="1"/>
        <rFont val="Calibri Light"/>
        <family val="2"/>
      </rPr>
      <t>2e</t>
    </r>
    <r>
      <rPr>
        <sz val="10"/>
        <color theme="1"/>
        <rFont val="Calibri Light"/>
        <family val="2"/>
      </rPr>
      <t>/kWh)</t>
    </r>
  </si>
  <si>
    <t xml:space="preserve">GESTIÓN ENERGÉTICA OPERATIVA (GEO) </t>
  </si>
  <si>
    <t xml:space="preserve">GESTIÓN ENERGÉTICA ADMINISTRATIVA (GEA) </t>
  </si>
  <si>
    <t>Cambio del sistema de iluminación fluorescente por LED en el edificio principal de la sede Central de Operaciones centro Nariño.
Ahorro energético anual por iluminación: 35%</t>
  </si>
  <si>
    <t xml:space="preserve">Optimización del tiempo de mantenimiento del túnel de Chingaza para reducir el requerimiento de bombeo en la Planta Tibitoc (solo se considera el consumo de las estaciones de bombeo 1, 2 y 3)
Ahorro energético anual: 5% </t>
  </si>
  <si>
    <t>Optimización del tiempo de mantenimiento del túnel de Chingaza para reducir el requerimiento de bombeo en la estación San Rafael.
Ahorro energético anual: 8%</t>
  </si>
  <si>
    <t>Optimización de la secuencia de operación de las unidades de bombeo de la estación Columnas.
Ahorro energético anual: 8%</t>
  </si>
  <si>
    <t>Cambio del sistema de iluminación fluorescente por LED en la sede Subcentral de Operaciones Usaquén.
Ahorro energético anual por iluminación: 35%</t>
  </si>
  <si>
    <t>Cambio del sistema de iluminación fluorescente por LED en la sede Subcentral de Operaciones Santa Lucía.
Ahorro energético anual por iluminación: 35%</t>
  </si>
  <si>
    <t>Cambio del sistema de iluminación fluorescente por LED en la sede Centro de Control Modelia.
Ahorro energético anual por iluminación: 35%</t>
  </si>
  <si>
    <t>Cambio del sistema de iluminación fluorescente por LED en la sede Servicio Médico Centro Nariño.
Ahorro energético anual por iluminación: 35%</t>
  </si>
  <si>
    <t>Cambio del sistema de iluminación fluorescente por LED en la sede Super CADE Fontibón. 
Ahorro energético anual por iluminación: 35%</t>
  </si>
  <si>
    <t>Cambio del sistema de iluminación fluorescente por LED en las sedes donde funcionan los 5 puntos de atención comercial.
Ahorro energético anual por iluminación: 35%</t>
  </si>
  <si>
    <t>Sistema de generación solar fotovoltaico en el Colegio Ramón B. Jimeno y Casa Cenagua.
Ahorro energético anual: 35%</t>
  </si>
  <si>
    <t xml:space="preserve">ACCIONES </t>
  </si>
  <si>
    <t>SUBCENTRAL DE OPERACIONES SANTA LUCIA (CUENTA CODENSA: 0763885-4 / 3566234-6)</t>
  </si>
  <si>
    <t>COMPLEJO TIBITOC (CUENTAS EMGESA: 152 / 148 / 149 )</t>
  </si>
  <si>
    <t>TOTAL CUENTAS EMGESA: 152 / 148 / 149 / 143 / 202</t>
  </si>
  <si>
    <t>CANTIDAD LUMINARIAS</t>
  </si>
  <si>
    <t>POTENCIA ILUMINACION (W)</t>
  </si>
  <si>
    <t>POTENCIA</t>
  </si>
  <si>
    <t>CONSUMO ENERGIA (KWh/mes)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</si>
</sst>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"/>
    <numFmt numFmtId="167" formatCode="0.0%"/>
  </numFmts>
  <fonts count="14" x14ac:knownFonts="1"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</font>
    <font>
      <sz val="10"/>
      <color theme="1"/>
      <name val="Calibri Light"/>
      <family val="2"/>
    </font>
    <font>
      <sz val="8"/>
      <color theme="1"/>
      <name val="Segoe UI Light"/>
      <family val="2"/>
    </font>
    <font>
      <b/>
      <sz val="10"/>
      <color theme="1"/>
      <name val="Calibri Light"/>
      <family val="2"/>
    </font>
    <font>
      <sz val="10"/>
      <name val="Arial"/>
      <family val="2"/>
    </font>
    <font>
      <sz val="10"/>
      <color rgb="FF000000"/>
      <name val="Calibri Light"/>
      <family val="2"/>
    </font>
    <font>
      <sz val="10"/>
      <name val="Calibri Light"/>
      <family val="2"/>
    </font>
    <font>
      <vertAlign val="subscript"/>
      <sz val="10"/>
      <name val="Calibri Light"/>
      <family val="2"/>
    </font>
    <font>
      <sz val="9"/>
      <color rgb="FF000000"/>
      <name val="Calibri Light"/>
      <family val="2"/>
    </font>
    <font>
      <b/>
      <sz val="10"/>
      <color rgb="FF000000"/>
      <name val="Calibri Light"/>
      <family val="2"/>
    </font>
    <font>
      <b/>
      <vertAlign val="subscript"/>
      <sz val="10"/>
      <color theme="1"/>
      <name val="Calibri Light"/>
      <family val="2"/>
    </font>
    <font>
      <vertAlign val="subscript"/>
      <sz val="10"/>
      <color theme="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6D9F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</cellStyleXfs>
  <cellXfs count="376">
    <xf numFmtId="0" fontId="0" fillId="0" borderId="0" xfId="0"/>
    <xf numFmtId="167" fontId="0" fillId="0" borderId="0" xfId="2" applyNumberFormat="1" applyFont="1"/>
    <xf numFmtId="164" fontId="0" fillId="0" borderId="0" xfId="1" applyNumberFormat="1" applyFont="1"/>
    <xf numFmtId="9" fontId="0" fillId="0" borderId="0" xfId="2" applyFont="1"/>
    <xf numFmtId="3" fontId="0" fillId="0" borderId="0" xfId="0" applyNumberFormat="1"/>
    <xf numFmtId="0" fontId="2" fillId="0" borderId="5" xfId="0" applyFont="1" applyBorder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0" fillId="0" borderId="1" xfId="0" applyBorder="1"/>
    <xf numFmtId="0" fontId="0" fillId="0" borderId="24" xfId="0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6" xfId="0" applyNumberFormat="1" applyBorder="1"/>
    <xf numFmtId="3" fontId="0" fillId="0" borderId="9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0" fontId="5" fillId="0" borderId="13" xfId="0" applyFont="1" applyBorder="1" applyAlignment="1">
      <alignment horizontal="center"/>
    </xf>
    <xf numFmtId="3" fontId="0" fillId="0" borderId="2" xfId="0" applyNumberForma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7" xfId="0" applyNumberFormat="1" applyBorder="1"/>
    <xf numFmtId="9" fontId="0" fillId="0" borderId="11" xfId="2" applyFont="1" applyBorder="1"/>
    <xf numFmtId="167" fontId="0" fillId="0" borderId="11" xfId="2" applyNumberFormat="1" applyFont="1" applyBorder="1"/>
    <xf numFmtId="167" fontId="0" fillId="0" borderId="12" xfId="2" applyNumberFormat="1" applyFont="1" applyBorder="1"/>
    <xf numFmtId="9" fontId="0" fillId="0" borderId="10" xfId="2" applyFont="1" applyBorder="1"/>
    <xf numFmtId="0" fontId="0" fillId="0" borderId="0" xfId="0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0" xfId="0" applyFont="1"/>
    <xf numFmtId="0" fontId="0" fillId="0" borderId="0" xfId="0" applyBorder="1" applyAlignment="1">
      <alignment horizontal="right"/>
    </xf>
    <xf numFmtId="0" fontId="2" fillId="0" borderId="0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3" fontId="0" fillId="0" borderId="10" xfId="0" applyNumberFormat="1" applyBorder="1" applyAlignment="1">
      <alignment horizontal="right"/>
    </xf>
    <xf numFmtId="3" fontId="0" fillId="0" borderId="11" xfId="0" applyNumberFormat="1" applyBorder="1" applyAlignment="1">
      <alignment horizontal="right"/>
    </xf>
    <xf numFmtId="3" fontId="2" fillId="0" borderId="11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0" fillId="0" borderId="20" xfId="0" applyBorder="1"/>
    <xf numFmtId="3" fontId="0" fillId="0" borderId="0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0" fontId="0" fillId="0" borderId="0" xfId="0" applyAlignment="1">
      <alignment horizontal="center"/>
    </xf>
    <xf numFmtId="3" fontId="0" fillId="0" borderId="20" xfId="0" applyNumberFormat="1" applyBorder="1"/>
    <xf numFmtId="3" fontId="0" fillId="0" borderId="8" xfId="0" applyNumberForma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2" fillId="0" borderId="11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5" fillId="0" borderId="6" xfId="0" applyFont="1" applyBorder="1" applyAlignment="1"/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Fill="1" applyBorder="1"/>
    <xf numFmtId="3" fontId="0" fillId="0" borderId="10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0" xfId="0" applyNumberFormat="1" applyBorder="1" applyAlignment="1">
      <alignment horizontal="right"/>
    </xf>
    <xf numFmtId="3" fontId="0" fillId="0" borderId="12" xfId="0" applyNumberFormat="1" applyBorder="1" applyAlignment="1">
      <alignment horizontal="right"/>
    </xf>
    <xf numFmtId="3" fontId="0" fillId="0" borderId="13" xfId="0" applyNumberFormat="1" applyBorder="1"/>
    <xf numFmtId="3" fontId="0" fillId="0" borderId="14" xfId="0" applyNumberFormat="1" applyBorder="1"/>
    <xf numFmtId="9" fontId="0" fillId="0" borderId="0" xfId="0" applyNumberFormat="1"/>
    <xf numFmtId="9" fontId="0" fillId="0" borderId="10" xfId="2" applyFont="1" applyBorder="1" applyAlignment="1">
      <alignment horizontal="center"/>
    </xf>
    <xf numFmtId="9" fontId="0" fillId="0" borderId="11" xfId="2" applyFont="1" applyBorder="1" applyAlignment="1">
      <alignment horizontal="center"/>
    </xf>
    <xf numFmtId="9" fontId="0" fillId="0" borderId="12" xfId="2" applyFont="1" applyBorder="1" applyAlignment="1">
      <alignment horizontal="center"/>
    </xf>
    <xf numFmtId="3" fontId="2" fillId="0" borderId="13" xfId="0" applyNumberFormat="1" applyFont="1" applyBorder="1" applyAlignment="1">
      <alignment horizontal="center" vertical="center"/>
    </xf>
    <xf numFmtId="9" fontId="0" fillId="0" borderId="13" xfId="2" applyFont="1" applyFill="1" applyBorder="1" applyAlignment="1">
      <alignment horizontal="center"/>
    </xf>
    <xf numFmtId="9" fontId="0" fillId="0" borderId="13" xfId="2" applyFont="1" applyBorder="1" applyAlignment="1">
      <alignment horizontal="center"/>
    </xf>
    <xf numFmtId="0" fontId="2" fillId="0" borderId="14" xfId="0" applyFont="1" applyBorder="1" applyAlignment="1">
      <alignment horizontal="right"/>
    </xf>
    <xf numFmtId="0" fontId="2" fillId="0" borderId="16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13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" borderId="13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0" borderId="32" xfId="0" applyFont="1" applyBorder="1"/>
    <xf numFmtId="164" fontId="0" fillId="0" borderId="23" xfId="1" applyNumberFormat="1" applyFont="1" applyBorder="1"/>
    <xf numFmtId="164" fontId="0" fillId="0" borderId="1" xfId="1" applyNumberFormat="1" applyFont="1" applyBorder="1"/>
    <xf numFmtId="164" fontId="0" fillId="0" borderId="24" xfId="1" applyNumberFormat="1" applyFont="1" applyBorder="1"/>
    <xf numFmtId="0" fontId="0" fillId="0" borderId="33" xfId="0" applyFont="1" applyBorder="1"/>
    <xf numFmtId="0" fontId="0" fillId="0" borderId="34" xfId="0" applyFont="1" applyBorder="1"/>
    <xf numFmtId="164" fontId="0" fillId="0" borderId="25" xfId="0" applyNumberFormat="1" applyFont="1" applyBorder="1"/>
    <xf numFmtId="164" fontId="0" fillId="0" borderId="27" xfId="0" applyNumberFormat="1" applyFont="1" applyBorder="1"/>
    <xf numFmtId="164" fontId="0" fillId="0" borderId="27" xfId="1" applyNumberFormat="1" applyFont="1" applyBorder="1"/>
    <xf numFmtId="164" fontId="0" fillId="0" borderId="28" xfId="1" applyNumberFormat="1" applyFont="1" applyBorder="1"/>
    <xf numFmtId="164" fontId="0" fillId="0" borderId="0" xfId="0" applyNumberFormat="1" applyFont="1"/>
    <xf numFmtId="43" fontId="0" fillId="0" borderId="0" xfId="1" applyFont="1"/>
    <xf numFmtId="43" fontId="0" fillId="0" borderId="0" xfId="0" applyNumberFormat="1" applyFont="1"/>
    <xf numFmtId="10" fontId="0" fillId="0" borderId="0" xfId="2" applyNumberFormat="1" applyFont="1"/>
    <xf numFmtId="17" fontId="0" fillId="0" borderId="0" xfId="0" applyNumberFormat="1" applyFont="1"/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2" borderId="1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4" fontId="0" fillId="0" borderId="26" xfId="1" applyNumberFormat="1" applyFont="1" applyBorder="1"/>
    <xf numFmtId="0" fontId="0" fillId="2" borderId="13" xfId="0" applyFont="1" applyFill="1" applyBorder="1" applyAlignment="1">
      <alignment horizontal="center"/>
    </xf>
    <xf numFmtId="164" fontId="0" fillId="0" borderId="18" xfId="1" applyNumberFormat="1" applyFont="1" applyBorder="1"/>
    <xf numFmtId="164" fontId="0" fillId="0" borderId="29" xfId="1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0" fillId="3" borderId="36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167" fontId="8" fillId="0" borderId="0" xfId="2" applyNumberFormat="1" applyFont="1"/>
    <xf numFmtId="17" fontId="0" fillId="0" borderId="33" xfId="0" applyNumberFormat="1" applyFont="1" applyBorder="1"/>
    <xf numFmtId="17" fontId="0" fillId="0" borderId="34" xfId="0" applyNumberFormat="1" applyFont="1" applyBorder="1"/>
    <xf numFmtId="164" fontId="0" fillId="0" borderId="33" xfId="1" applyNumberFormat="1" applyFont="1" applyBorder="1"/>
    <xf numFmtId="164" fontId="0" fillId="0" borderId="34" xfId="1" applyNumberFormat="1" applyFont="1" applyBorder="1"/>
    <xf numFmtId="17" fontId="0" fillId="0" borderId="37" xfId="0" applyNumberFormat="1" applyFont="1" applyBorder="1"/>
    <xf numFmtId="164" fontId="0" fillId="0" borderId="37" xfId="1" applyNumberFormat="1" applyFont="1" applyBorder="1"/>
    <xf numFmtId="164" fontId="0" fillId="0" borderId="33" xfId="1" applyNumberFormat="1" applyFont="1" applyFill="1" applyBorder="1"/>
    <xf numFmtId="0" fontId="0" fillId="0" borderId="37" xfId="0" applyFont="1" applyBorder="1"/>
    <xf numFmtId="9" fontId="0" fillId="0" borderId="0" xfId="0" applyNumberFormat="1" applyFont="1"/>
    <xf numFmtId="0" fontId="8" fillId="0" borderId="0" xfId="0" applyFont="1" applyBorder="1"/>
    <xf numFmtId="164" fontId="8" fillId="0" borderId="0" xfId="0" applyNumberFormat="1" applyFont="1" applyBorder="1"/>
    <xf numFmtId="0" fontId="0" fillId="0" borderId="11" xfId="0" applyFont="1" applyBorder="1"/>
    <xf numFmtId="164" fontId="0" fillId="0" borderId="11" xfId="1" applyNumberFormat="1" applyFont="1" applyBorder="1"/>
    <xf numFmtId="164" fontId="8" fillId="0" borderId="12" xfId="1" applyNumberFormat="1" applyFont="1" applyBorder="1"/>
    <xf numFmtId="9" fontId="0" fillId="0" borderId="0" xfId="2" applyFont="1" applyAlignment="1">
      <alignment horizontal="center"/>
    </xf>
    <xf numFmtId="9" fontId="0" fillId="0" borderId="0" xfId="2" applyNumberFormat="1" applyFont="1" applyBorder="1" applyAlignment="1">
      <alignment horizontal="center"/>
    </xf>
    <xf numFmtId="9" fontId="0" fillId="0" borderId="0" xfId="2" applyNumberFormat="1" applyFont="1" applyAlignment="1">
      <alignment horizontal="center"/>
    </xf>
    <xf numFmtId="0" fontId="0" fillId="0" borderId="34" xfId="0" applyFont="1" applyFill="1" applyBorder="1"/>
    <xf numFmtId="164" fontId="0" fillId="0" borderId="32" xfId="0" applyNumberFormat="1" applyFont="1" applyBorder="1"/>
    <xf numFmtId="164" fontId="0" fillId="0" borderId="33" xfId="0" applyNumberFormat="1" applyFont="1" applyBorder="1"/>
    <xf numFmtId="164" fontId="0" fillId="0" borderId="34" xfId="0" applyNumberFormat="1" applyFont="1" applyBorder="1"/>
    <xf numFmtId="0" fontId="0" fillId="0" borderId="11" xfId="0" applyFill="1" applyBorder="1"/>
    <xf numFmtId="0" fontId="0" fillId="0" borderId="11" xfId="0" applyFill="1" applyBorder="1" applyAlignment="1">
      <alignment horizontal="right"/>
    </xf>
    <xf numFmtId="0" fontId="0" fillId="2" borderId="13" xfId="0" applyFont="1" applyFill="1" applyBorder="1" applyAlignment="1">
      <alignment horizontal="center" vertical="center" wrapText="1"/>
    </xf>
    <xf numFmtId="3" fontId="0" fillId="2" borderId="13" xfId="0" applyNumberFormat="1" applyFill="1" applyBorder="1"/>
    <xf numFmtId="9" fontId="0" fillId="0" borderId="0" xfId="2" applyNumberFormat="1" applyFont="1"/>
    <xf numFmtId="1" fontId="0" fillId="0" borderId="0" xfId="0" applyNumberFormat="1"/>
    <xf numFmtId="9" fontId="0" fillId="0" borderId="4" xfId="2" applyFont="1" applyFill="1" applyBorder="1" applyAlignment="1">
      <alignment horizontal="center"/>
    </xf>
    <xf numFmtId="9" fontId="0" fillId="0" borderId="6" xfId="2" applyFont="1" applyFill="1" applyBorder="1" applyAlignment="1">
      <alignment horizontal="center"/>
    </xf>
    <xf numFmtId="9" fontId="0" fillId="0" borderId="9" xfId="2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9" fontId="0" fillId="0" borderId="2" xfId="2" applyFont="1" applyFill="1" applyBorder="1" applyAlignment="1">
      <alignment horizontal="center"/>
    </xf>
    <xf numFmtId="9" fontId="0" fillId="0" borderId="5" xfId="2" applyFont="1" applyFill="1" applyBorder="1" applyAlignment="1">
      <alignment horizontal="center"/>
    </xf>
    <xf numFmtId="9" fontId="0" fillId="0" borderId="7" xfId="2" applyFont="1" applyFill="1" applyBorder="1" applyAlignment="1">
      <alignment horizontal="center"/>
    </xf>
    <xf numFmtId="1" fontId="0" fillId="0" borderId="20" xfId="0" applyNumberFormat="1" applyBorder="1"/>
    <xf numFmtId="13" fontId="0" fillId="0" borderId="0" xfId="2" applyNumberFormat="1" applyFont="1"/>
    <xf numFmtId="167" fontId="0" fillId="0" borderId="0" xfId="0" applyNumberFormat="1"/>
    <xf numFmtId="0" fontId="0" fillId="0" borderId="0" xfId="0" applyFill="1" applyBorder="1" applyAlignment="1">
      <alignment vertical="center" wrapText="1"/>
    </xf>
    <xf numFmtId="9" fontId="0" fillId="0" borderId="0" xfId="2" applyFont="1" applyFill="1" applyBorder="1" applyAlignment="1">
      <alignment horizontal="center"/>
    </xf>
    <xf numFmtId="167" fontId="0" fillId="0" borderId="0" xfId="0" applyNumberFormat="1" applyFont="1"/>
    <xf numFmtId="0" fontId="2" fillId="0" borderId="0" xfId="0" applyFont="1" applyBorder="1" applyAlignment="1">
      <alignment horizontal="right"/>
    </xf>
    <xf numFmtId="1" fontId="0" fillId="0" borderId="0" xfId="0" applyNumberFormat="1" applyBorder="1"/>
    <xf numFmtId="0" fontId="0" fillId="0" borderId="2" xfId="0" applyBorder="1" applyAlignment="1">
      <alignment horizontal="right"/>
    </xf>
    <xf numFmtId="0" fontId="0" fillId="0" borderId="5" xfId="0" applyBorder="1" applyAlignment="1">
      <alignment horizontal="right"/>
    </xf>
    <xf numFmtId="0" fontId="2" fillId="0" borderId="7" xfId="0" applyFont="1" applyBorder="1" applyAlignment="1">
      <alignment horizontal="right" vertical="center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0" fontId="2" fillId="0" borderId="6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0" fillId="2" borderId="16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right"/>
    </xf>
    <xf numFmtId="0" fontId="0" fillId="0" borderId="5" xfId="0" applyFill="1" applyBorder="1" applyAlignment="1">
      <alignment vertical="center" wrapText="1"/>
    </xf>
    <xf numFmtId="9" fontId="0" fillId="0" borderId="0" xfId="0" applyNumberFormat="1" applyFill="1" applyBorder="1"/>
    <xf numFmtId="0" fontId="4" fillId="0" borderId="38" xfId="0" applyFont="1" applyBorder="1" applyAlignment="1">
      <alignment horizontal="center" vertical="center"/>
    </xf>
    <xf numFmtId="0" fontId="0" fillId="0" borderId="39" xfId="0" applyBorder="1"/>
    <xf numFmtId="0" fontId="0" fillId="0" borderId="40" xfId="0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0" borderId="10" xfId="0" applyBorder="1" applyAlignment="1">
      <alignment horizontal="left"/>
    </xf>
    <xf numFmtId="3" fontId="0" fillId="0" borderId="3" xfId="0" applyNumberFormat="1" applyBorder="1"/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11" xfId="4" applyFont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2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3" fontId="0" fillId="0" borderId="0" xfId="0" applyNumberFormat="1" applyBorder="1" applyAlignment="1"/>
    <xf numFmtId="167" fontId="0" fillId="0" borderId="11" xfId="2" applyNumberFormat="1" applyFont="1" applyFill="1" applyBorder="1" applyAlignment="1">
      <alignment horizontal="center" vertical="center"/>
    </xf>
    <xf numFmtId="167" fontId="0" fillId="0" borderId="10" xfId="2" applyNumberFormat="1" applyFont="1" applyFill="1" applyBorder="1" applyAlignment="1">
      <alignment horizontal="center" vertical="center"/>
    </xf>
    <xf numFmtId="167" fontId="0" fillId="0" borderId="12" xfId="2" applyNumberFormat="1" applyFont="1" applyFill="1" applyBorder="1" applyAlignment="1">
      <alignment horizontal="center" vertical="center"/>
    </xf>
    <xf numFmtId="0" fontId="0" fillId="0" borderId="14" xfId="0" applyBorder="1"/>
    <xf numFmtId="167" fontId="0" fillId="0" borderId="13" xfId="0" applyNumberFormat="1" applyBorder="1"/>
    <xf numFmtId="167" fontId="0" fillId="0" borderId="2" xfId="2" applyNumberFormat="1" applyFont="1" applyFill="1" applyBorder="1" applyAlignment="1">
      <alignment horizontal="center" vertical="center"/>
    </xf>
    <xf numFmtId="167" fontId="0" fillId="0" borderId="5" xfId="2" applyNumberFormat="1" applyFont="1" applyFill="1" applyBorder="1" applyAlignment="1">
      <alignment horizontal="center" vertical="center"/>
    </xf>
    <xf numFmtId="167" fontId="0" fillId="0" borderId="7" xfId="2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" fontId="0" fillId="0" borderId="30" xfId="0" applyNumberFormat="1" applyFill="1" applyBorder="1"/>
    <xf numFmtId="0" fontId="0" fillId="0" borderId="10" xfId="0" applyFont="1" applyBorder="1"/>
    <xf numFmtId="164" fontId="0" fillId="0" borderId="10" xfId="1" applyNumberFormat="1" applyFont="1" applyBorder="1"/>
    <xf numFmtId="0" fontId="8" fillId="0" borderId="7" xfId="0" applyFont="1" applyBorder="1"/>
    <xf numFmtId="164" fontId="0" fillId="0" borderId="0" xfId="1" applyNumberFormat="1" applyFont="1" applyBorder="1"/>
    <xf numFmtId="0" fontId="8" fillId="0" borderId="2" xfId="0" applyFont="1" applyBorder="1"/>
    <xf numFmtId="164" fontId="8" fillId="0" borderId="10" xfId="1" applyNumberFormat="1" applyFont="1" applyBorder="1"/>
    <xf numFmtId="164" fontId="8" fillId="0" borderId="10" xfId="1" applyNumberFormat="1" applyFont="1" applyFill="1" applyBorder="1"/>
    <xf numFmtId="9" fontId="8" fillId="0" borderId="10" xfId="2" applyFont="1" applyBorder="1"/>
    <xf numFmtId="0" fontId="5" fillId="0" borderId="0" xfId="0" applyFont="1" applyBorder="1" applyAlignment="1">
      <alignment horizontal="left"/>
    </xf>
    <xf numFmtId="0" fontId="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center" wrapText="1"/>
    </xf>
    <xf numFmtId="166" fontId="0" fillId="0" borderId="0" xfId="0" applyNumberFormat="1" applyFont="1"/>
    <xf numFmtId="0" fontId="0" fillId="0" borderId="9" xfId="0" applyFont="1" applyBorder="1" applyAlignment="1">
      <alignment horizontal="center" vertical="center" wrapText="1"/>
    </xf>
    <xf numFmtId="3" fontId="0" fillId="0" borderId="9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/>
    <xf numFmtId="1" fontId="0" fillId="0" borderId="4" xfId="0" applyNumberFormat="1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4" xfId="0" applyFont="1" applyBorder="1"/>
    <xf numFmtId="0" fontId="0" fillId="0" borderId="5" xfId="0" applyFont="1" applyBorder="1"/>
    <xf numFmtId="1" fontId="0" fillId="0" borderId="6" xfId="0" applyNumberFormat="1" applyFont="1" applyBorder="1"/>
    <xf numFmtId="0" fontId="0" fillId="0" borderId="6" xfId="0" applyFont="1" applyBorder="1"/>
    <xf numFmtId="0" fontId="0" fillId="0" borderId="0" xfId="0" applyFont="1" applyFill="1" applyBorder="1"/>
    <xf numFmtId="0" fontId="0" fillId="0" borderId="5" xfId="0" applyFont="1" applyFill="1" applyBorder="1"/>
    <xf numFmtId="0" fontId="0" fillId="0" borderId="8" xfId="0" applyFont="1" applyBorder="1"/>
    <xf numFmtId="1" fontId="0" fillId="0" borderId="9" xfId="0" applyNumberFormat="1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4" xfId="0" applyFont="1" applyBorder="1"/>
    <xf numFmtId="1" fontId="0" fillId="0" borderId="15" xfId="0" applyNumberFormat="1" applyFont="1" applyBorder="1"/>
    <xf numFmtId="1" fontId="0" fillId="0" borderId="16" xfId="0" applyNumberFormat="1" applyFont="1" applyBorder="1"/>
    <xf numFmtId="0" fontId="0" fillId="0" borderId="15" xfId="0" applyFont="1" applyBorder="1"/>
    <xf numFmtId="0" fontId="7" fillId="0" borderId="12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/>
    </xf>
    <xf numFmtId="0" fontId="0" fillId="2" borderId="32" xfId="0" applyFont="1" applyFill="1" applyBorder="1" applyAlignment="1">
      <alignment horizont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6" applyFont="1" applyBorder="1" applyAlignment="1">
      <alignment horizontal="left" vertical="center"/>
    </xf>
    <xf numFmtId="0" fontId="2" fillId="0" borderId="5" xfId="4" applyFont="1" applyBorder="1" applyAlignment="1">
      <alignment horizontal="left" vertical="center"/>
    </xf>
    <xf numFmtId="0" fontId="10" fillId="0" borderId="5" xfId="4" applyFont="1" applyBorder="1" applyAlignment="1">
      <alignment horizontal="left" vertical="center"/>
    </xf>
    <xf numFmtId="0" fontId="2" fillId="0" borderId="5" xfId="0" applyFont="1" applyFill="1" applyBorder="1" applyAlignment="1">
      <alignment horizontal="left"/>
    </xf>
    <xf numFmtId="0" fontId="2" fillId="0" borderId="7" xfId="0" applyFont="1" applyBorder="1" applyAlignment="1">
      <alignment horizontal="left"/>
    </xf>
    <xf numFmtId="0" fontId="0" fillId="0" borderId="0" xfId="0" applyFont="1" applyBorder="1" applyAlignment="1">
      <alignment horizontal="right" vertical="center" wrapText="1"/>
    </xf>
    <xf numFmtId="3" fontId="8" fillId="0" borderId="0" xfId="0" applyNumberFormat="1" applyFont="1" applyBorder="1"/>
    <xf numFmtId="3" fontId="8" fillId="0" borderId="30" xfId="0" applyNumberFormat="1" applyFont="1" applyBorder="1"/>
    <xf numFmtId="0" fontId="7" fillId="4" borderId="16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right" vertical="center"/>
    </xf>
    <xf numFmtId="0" fontId="0" fillId="0" borderId="11" xfId="0" applyFont="1" applyBorder="1" applyAlignment="1">
      <alignment horizontal="right" vertical="center"/>
    </xf>
    <xf numFmtId="0" fontId="0" fillId="0" borderId="12" xfId="0" applyFont="1" applyBorder="1" applyAlignment="1">
      <alignment horizontal="right" vertic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 vertical="center"/>
    </xf>
    <xf numFmtId="1" fontId="0" fillId="0" borderId="0" xfId="0" applyNumberFormat="1" applyFont="1" applyBorder="1"/>
    <xf numFmtId="0" fontId="7" fillId="4" borderId="10" xfId="0" applyFont="1" applyFill="1" applyBorder="1" applyAlignment="1">
      <alignment horizontal="center" vertical="center" wrapText="1"/>
    </xf>
    <xf numFmtId="164" fontId="0" fillId="0" borderId="6" xfId="0" applyNumberFormat="1" applyBorder="1"/>
    <xf numFmtId="0" fontId="0" fillId="0" borderId="0" xfId="0" applyFont="1" applyAlignment="1">
      <alignment vertical="center"/>
    </xf>
    <xf numFmtId="1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167" fontId="0" fillId="0" borderId="0" xfId="2" applyNumberFormat="1" applyFont="1" applyAlignment="1">
      <alignment vertical="center"/>
    </xf>
    <xf numFmtId="9" fontId="0" fillId="0" borderId="0" xfId="2" applyFont="1" applyAlignment="1">
      <alignment vertical="center"/>
    </xf>
    <xf numFmtId="0" fontId="0" fillId="0" borderId="0" xfId="0" applyFont="1" applyAlignment="1">
      <alignment horizontal="center" vertical="center"/>
    </xf>
    <xf numFmtId="0" fontId="5" fillId="3" borderId="14" xfId="0" applyFont="1" applyFill="1" applyBorder="1" applyAlignment="1">
      <alignment vertical="center"/>
    </xf>
    <xf numFmtId="164" fontId="0" fillId="3" borderId="21" xfId="0" applyNumberFormat="1" applyFont="1" applyFill="1" applyBorder="1" applyAlignment="1">
      <alignment vertical="center"/>
    </xf>
    <xf numFmtId="167" fontId="0" fillId="3" borderId="22" xfId="2" applyNumberFormat="1" applyFont="1" applyFill="1" applyBorder="1" applyAlignment="1">
      <alignment vertical="center"/>
    </xf>
    <xf numFmtId="0" fontId="0" fillId="0" borderId="41" xfId="0" applyFont="1" applyFill="1" applyBorder="1" applyAlignment="1">
      <alignment vertical="center" wrapText="1"/>
    </xf>
    <xf numFmtId="164" fontId="0" fillId="0" borderId="18" xfId="1" applyNumberFormat="1" applyFont="1" applyFill="1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164" fontId="0" fillId="0" borderId="18" xfId="0" applyNumberFormat="1" applyFont="1" applyFill="1" applyBorder="1" applyAlignment="1">
      <alignment vertical="center"/>
    </xf>
    <xf numFmtId="0" fontId="0" fillId="0" borderId="17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0" fontId="0" fillId="0" borderId="19" xfId="0" applyFont="1" applyFill="1" applyBorder="1" applyAlignment="1">
      <alignment vertical="center" wrapText="1"/>
    </xf>
    <xf numFmtId="164" fontId="0" fillId="0" borderId="19" xfId="1" applyNumberFormat="1" applyFont="1" applyFill="1" applyBorder="1" applyAlignment="1">
      <alignment vertical="center"/>
    </xf>
    <xf numFmtId="164" fontId="0" fillId="0" borderId="19" xfId="1" applyNumberFormat="1" applyFont="1" applyBorder="1" applyAlignment="1">
      <alignment vertical="center"/>
    </xf>
    <xf numFmtId="164" fontId="0" fillId="0" borderId="19" xfId="0" applyNumberFormat="1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164" fontId="0" fillId="3" borderId="22" xfId="0" applyNumberFormat="1" applyFont="1" applyFill="1" applyBorder="1" applyAlignment="1">
      <alignment vertical="center"/>
    </xf>
    <xf numFmtId="165" fontId="0" fillId="0" borderId="18" xfId="1" applyNumberFormat="1" applyFont="1" applyFill="1" applyBorder="1" applyAlignment="1">
      <alignment vertical="center"/>
    </xf>
    <xf numFmtId="165" fontId="0" fillId="0" borderId="1" xfId="1" applyNumberFormat="1" applyFont="1" applyFill="1" applyBorder="1" applyAlignment="1">
      <alignment vertical="center"/>
    </xf>
    <xf numFmtId="165" fontId="0" fillId="0" borderId="1" xfId="0" applyNumberFormat="1" applyFont="1" applyFill="1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9" fontId="0" fillId="3" borderId="22" xfId="2" applyNumberFormat="1" applyFont="1" applyFill="1" applyBorder="1" applyAlignment="1">
      <alignment vertical="center"/>
    </xf>
    <xf numFmtId="164" fontId="0" fillId="0" borderId="0" xfId="1" applyNumberFormat="1" applyFont="1" applyAlignment="1">
      <alignment vertical="center"/>
    </xf>
    <xf numFmtId="164" fontId="0" fillId="0" borderId="0" xfId="1" applyNumberFormat="1" applyFont="1" applyFill="1" applyAlignment="1">
      <alignment vertical="center"/>
    </xf>
    <xf numFmtId="164" fontId="0" fillId="0" borderId="0" xfId="1" applyNumberFormat="1" applyFont="1" applyFill="1" applyAlignment="1">
      <alignment vertical="center" wrapText="1"/>
    </xf>
    <xf numFmtId="0" fontId="0" fillId="0" borderId="18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2" xfId="0" applyFont="1" applyBorder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/>
    </xf>
    <xf numFmtId="0" fontId="0" fillId="2" borderId="35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/>
    </xf>
    <xf numFmtId="0" fontId="0" fillId="3" borderId="20" xfId="0" applyFont="1" applyFill="1" applyBorder="1" applyAlignment="1">
      <alignment horizontal="center"/>
    </xf>
    <xf numFmtId="0" fontId="0" fillId="3" borderId="35" xfId="0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9" xfId="0" applyNumberFormat="1" applyBorder="1" applyAlignment="1">
      <alignment horizontal="right"/>
    </xf>
    <xf numFmtId="0" fontId="0" fillId="2" borderId="15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right" vertical="center" wrapText="1"/>
    </xf>
    <xf numFmtId="0" fontId="0" fillId="0" borderId="4" xfId="0" applyFont="1" applyBorder="1" applyAlignment="1">
      <alignment horizontal="right" vertical="center" wrapText="1"/>
    </xf>
    <xf numFmtId="0" fontId="0" fillId="0" borderId="7" xfId="0" applyFont="1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3" fontId="0" fillId="0" borderId="8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2" borderId="14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</cellXfs>
  <cellStyles count="8">
    <cellStyle name="Millares" xfId="1" builtinId="3"/>
    <cellStyle name="Millares 2" xfId="7"/>
    <cellStyle name="Millares 2 2" xfId="3"/>
    <cellStyle name="Millares 4" xfId="5"/>
    <cellStyle name="Normal" xfId="0" builtinId="0"/>
    <cellStyle name="Normal 12 2" xfId="6"/>
    <cellStyle name="Normal 2 2" xfId="4"/>
    <cellStyle name="Porcentaje" xfId="2" builtinId="5"/>
  </cellStyles>
  <dxfs count="0"/>
  <tableStyles count="0" defaultTableStyle="TableStyleMedium2" defaultPivotStyle="PivotStyleLight16"/>
  <colors>
    <mruColors>
      <color rgb="FFFFD72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2014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cat>
            <c:strRef>
              <c:f>'GEO Acción 1'!$B$7:$B$18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 Acción 1'!$F$7:$F$18</c:f>
              <c:numCache>
                <c:formatCode>_(* #,##0_);_(* \(#,##0\);_(* "-"??_);_(@_)</c:formatCode>
                <c:ptCount val="12"/>
                <c:pt idx="0">
                  <c:v>6575127.9000000004</c:v>
                </c:pt>
                <c:pt idx="1">
                  <c:v>8485145.0999999996</c:v>
                </c:pt>
                <c:pt idx="2">
                  <c:v>9366303.8999999985</c:v>
                </c:pt>
                <c:pt idx="3">
                  <c:v>7165416.5999999996</c:v>
                </c:pt>
                <c:pt idx="4">
                  <c:v>5867211</c:v>
                </c:pt>
                <c:pt idx="5">
                  <c:v>5905428.5999999996</c:v>
                </c:pt>
                <c:pt idx="6">
                  <c:v>6874344.2999999998</c:v>
                </c:pt>
                <c:pt idx="7">
                  <c:v>7197587.7000000002</c:v>
                </c:pt>
                <c:pt idx="8">
                  <c:v>8194561.2000000002</c:v>
                </c:pt>
                <c:pt idx="9">
                  <c:v>7164173.7000000002</c:v>
                </c:pt>
                <c:pt idx="10">
                  <c:v>6350351.4000000004</c:v>
                </c:pt>
                <c:pt idx="11">
                  <c:v>6496295.2000000002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EE7-4DB9-8C0F-0FCDCFD2F410}"/>
            </c:ext>
          </c:extLst>
        </c:ser>
        <c:ser>
          <c:idx val="1"/>
          <c:order val="1"/>
          <c:tx>
            <c:v>2015</c:v>
          </c:tx>
          <c:spPr>
            <a:ln w="1905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val>
            <c:numRef>
              <c:f>'GEO Acción 1'!$M$7:$M$18</c:f>
              <c:numCache>
                <c:formatCode>_(* #,##0_);_(* \(#,##0\);_(* "-"??_);_(@_)</c:formatCode>
                <c:ptCount val="12"/>
                <c:pt idx="0">
                  <c:v>5268375.5999999996</c:v>
                </c:pt>
                <c:pt idx="1">
                  <c:v>4351035.5999999996</c:v>
                </c:pt>
                <c:pt idx="2">
                  <c:v>4568733</c:v>
                </c:pt>
                <c:pt idx="3">
                  <c:v>3748334.4</c:v>
                </c:pt>
                <c:pt idx="4">
                  <c:v>4365987.2</c:v>
                </c:pt>
                <c:pt idx="5">
                  <c:v>4438801.2</c:v>
                </c:pt>
                <c:pt idx="6">
                  <c:v>6309741.2999999998</c:v>
                </c:pt>
                <c:pt idx="7">
                  <c:v>7501080</c:v>
                </c:pt>
                <c:pt idx="8">
                  <c:v>8697095.6999999993</c:v>
                </c:pt>
                <c:pt idx="9">
                  <c:v>7192727.5999999996</c:v>
                </c:pt>
                <c:pt idx="10">
                  <c:v>6394524.9000000004</c:v>
                </c:pt>
                <c:pt idx="11">
                  <c:v>4683897.8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EE7-4DB9-8C0F-0FCDCFD2F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18400"/>
        <c:axId val="84520320"/>
      </c:lineChart>
      <c:catAx>
        <c:axId val="84518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84520320"/>
        <c:crosses val="autoZero"/>
        <c:auto val="1"/>
        <c:lblAlgn val="ctr"/>
        <c:lblOffset val="100"/>
        <c:noMultiLvlLbl val="0"/>
      </c:catAx>
      <c:valAx>
        <c:axId val="8452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8451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 Acción 7'!$C$24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'GEA Acción 7'!$B$25:$B$36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7'!$C$25:$C$36</c:f>
              <c:numCache>
                <c:formatCode>#,##0</c:formatCode>
                <c:ptCount val="12"/>
                <c:pt idx="0">
                  <c:v>46500</c:v>
                </c:pt>
                <c:pt idx="1">
                  <c:v>39600</c:v>
                </c:pt>
                <c:pt idx="2">
                  <c:v>37200</c:v>
                </c:pt>
                <c:pt idx="3">
                  <c:v>0</c:v>
                </c:pt>
                <c:pt idx="4">
                  <c:v>34800</c:v>
                </c:pt>
                <c:pt idx="5">
                  <c:v>37500</c:v>
                </c:pt>
                <c:pt idx="6">
                  <c:v>38700</c:v>
                </c:pt>
                <c:pt idx="7">
                  <c:v>42600</c:v>
                </c:pt>
                <c:pt idx="8">
                  <c:v>43800</c:v>
                </c:pt>
                <c:pt idx="9">
                  <c:v>42900</c:v>
                </c:pt>
                <c:pt idx="10">
                  <c:v>48000</c:v>
                </c:pt>
                <c:pt idx="11">
                  <c:v>42300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29-4676-973F-DD5ECF57973F}"/>
            </c:ext>
          </c:extLst>
        </c:ser>
        <c:ser>
          <c:idx val="1"/>
          <c:order val="1"/>
          <c:tx>
            <c:strRef>
              <c:f>'GEA Acción 7'!$D$24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'GEA Acción 7'!$B$25:$B$36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7'!$D$25:$D$36</c:f>
              <c:numCache>
                <c:formatCode>#,##0</c:formatCode>
                <c:ptCount val="12"/>
                <c:pt idx="0">
                  <c:v>38082</c:v>
                </c:pt>
                <c:pt idx="1">
                  <c:v>41100</c:v>
                </c:pt>
                <c:pt idx="2">
                  <c:v>47400</c:v>
                </c:pt>
                <c:pt idx="3">
                  <c:v>40200</c:v>
                </c:pt>
                <c:pt idx="4">
                  <c:v>42900</c:v>
                </c:pt>
                <c:pt idx="5">
                  <c:v>47100</c:v>
                </c:pt>
                <c:pt idx="6">
                  <c:v>41400</c:v>
                </c:pt>
                <c:pt idx="7">
                  <c:v>42900</c:v>
                </c:pt>
                <c:pt idx="8">
                  <c:v>47100</c:v>
                </c:pt>
                <c:pt idx="9">
                  <c:v>44400</c:v>
                </c:pt>
                <c:pt idx="10">
                  <c:v>42900</c:v>
                </c:pt>
                <c:pt idx="11">
                  <c:v>51900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9-4676-973F-DD5ECF57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92793856"/>
        <c:axId val="92795648"/>
      </c:lineChart>
      <c:catAx>
        <c:axId val="9279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795648"/>
        <c:crosses val="autoZero"/>
        <c:auto val="1"/>
        <c:lblAlgn val="ctr"/>
        <c:lblOffset val="100"/>
        <c:noMultiLvlLbl val="0"/>
      </c:catAx>
      <c:valAx>
        <c:axId val="9279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en-US"/>
                  <a:t>kWh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793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 Acción 8'!$C$23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'GEA Acción 8'!$B$24:$B$35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8'!$C$24:$C$35</c:f>
              <c:numCache>
                <c:formatCode>#,##0</c:formatCode>
                <c:ptCount val="12"/>
                <c:pt idx="0">
                  <c:v>9040</c:v>
                </c:pt>
                <c:pt idx="1">
                  <c:v>7600</c:v>
                </c:pt>
                <c:pt idx="2">
                  <c:v>7200</c:v>
                </c:pt>
                <c:pt idx="3">
                  <c:v>0</c:v>
                </c:pt>
                <c:pt idx="4">
                  <c:v>13440</c:v>
                </c:pt>
                <c:pt idx="5">
                  <c:v>8000</c:v>
                </c:pt>
                <c:pt idx="6">
                  <c:v>7200</c:v>
                </c:pt>
                <c:pt idx="7">
                  <c:v>7360</c:v>
                </c:pt>
                <c:pt idx="8">
                  <c:v>8000</c:v>
                </c:pt>
                <c:pt idx="9">
                  <c:v>7600</c:v>
                </c:pt>
                <c:pt idx="10">
                  <c:v>7520</c:v>
                </c:pt>
                <c:pt idx="11">
                  <c:v>8400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29-4676-973F-DD5ECF57973F}"/>
            </c:ext>
          </c:extLst>
        </c:ser>
        <c:ser>
          <c:idx val="1"/>
          <c:order val="1"/>
          <c:tx>
            <c:strRef>
              <c:f>'GEA Acción 8'!$D$23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'GEA Acción 8'!$B$24:$B$35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8'!$D$24:$D$35</c:f>
              <c:numCache>
                <c:formatCode>#,##0</c:formatCode>
                <c:ptCount val="12"/>
                <c:pt idx="0">
                  <c:v>7200</c:v>
                </c:pt>
                <c:pt idx="1">
                  <c:v>9760</c:v>
                </c:pt>
                <c:pt idx="2">
                  <c:v>7760</c:v>
                </c:pt>
                <c:pt idx="3">
                  <c:v>7520</c:v>
                </c:pt>
                <c:pt idx="4">
                  <c:v>8800</c:v>
                </c:pt>
                <c:pt idx="5">
                  <c:v>8640</c:v>
                </c:pt>
                <c:pt idx="6">
                  <c:v>8080</c:v>
                </c:pt>
                <c:pt idx="7">
                  <c:v>8000</c:v>
                </c:pt>
                <c:pt idx="8">
                  <c:v>8480</c:v>
                </c:pt>
                <c:pt idx="9">
                  <c:v>8400</c:v>
                </c:pt>
                <c:pt idx="10">
                  <c:v>8240</c:v>
                </c:pt>
                <c:pt idx="11">
                  <c:v>8720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9-4676-973F-DD5ECF57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91601920"/>
        <c:axId val="91607808"/>
      </c:lineChart>
      <c:catAx>
        <c:axId val="9160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1607808"/>
        <c:crosses val="autoZero"/>
        <c:auto val="1"/>
        <c:lblAlgn val="ctr"/>
        <c:lblOffset val="100"/>
        <c:noMultiLvlLbl val="0"/>
      </c:catAx>
      <c:valAx>
        <c:axId val="916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en-US"/>
                  <a:t>kWh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160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 Acción 9'!$C$16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'GEA Acción 9'!$B$17:$B$28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9'!$C$17:$C$28</c:f>
              <c:numCache>
                <c:formatCode>#,##0</c:formatCode>
                <c:ptCount val="12"/>
                <c:pt idx="0">
                  <c:v>5440</c:v>
                </c:pt>
                <c:pt idx="1">
                  <c:v>5040</c:v>
                </c:pt>
                <c:pt idx="2">
                  <c:v>5040</c:v>
                </c:pt>
                <c:pt idx="3">
                  <c:v>0</c:v>
                </c:pt>
                <c:pt idx="4">
                  <c:v>5920</c:v>
                </c:pt>
                <c:pt idx="5">
                  <c:v>4880</c:v>
                </c:pt>
                <c:pt idx="6">
                  <c:v>5360</c:v>
                </c:pt>
                <c:pt idx="7">
                  <c:v>4640</c:v>
                </c:pt>
                <c:pt idx="8">
                  <c:v>5440</c:v>
                </c:pt>
                <c:pt idx="9">
                  <c:v>4880</c:v>
                </c:pt>
                <c:pt idx="10">
                  <c:v>4960</c:v>
                </c:pt>
                <c:pt idx="11">
                  <c:v>4480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29-4676-973F-DD5ECF57973F}"/>
            </c:ext>
          </c:extLst>
        </c:ser>
        <c:ser>
          <c:idx val="1"/>
          <c:order val="1"/>
          <c:tx>
            <c:strRef>
              <c:f>'GEA Acción 9'!$D$16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'GEA Acción 9'!$B$17:$B$28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9'!$D$17:$D$28</c:f>
              <c:numCache>
                <c:formatCode>#,##0</c:formatCode>
                <c:ptCount val="12"/>
                <c:pt idx="0">
                  <c:v>4800</c:v>
                </c:pt>
                <c:pt idx="1">
                  <c:v>4800</c:v>
                </c:pt>
                <c:pt idx="2">
                  <c:v>5760</c:v>
                </c:pt>
                <c:pt idx="3">
                  <c:v>5600</c:v>
                </c:pt>
                <c:pt idx="4">
                  <c:v>5040</c:v>
                </c:pt>
                <c:pt idx="5">
                  <c:v>5280</c:v>
                </c:pt>
                <c:pt idx="6">
                  <c:v>5200</c:v>
                </c:pt>
                <c:pt idx="7">
                  <c:v>5120</c:v>
                </c:pt>
                <c:pt idx="8">
                  <c:v>5280</c:v>
                </c:pt>
                <c:pt idx="9">
                  <c:v>5840</c:v>
                </c:pt>
                <c:pt idx="10">
                  <c:v>5200</c:v>
                </c:pt>
                <c:pt idx="11">
                  <c:v>5200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9-4676-973F-DD5ECF57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91814912"/>
        <c:axId val="92873472"/>
      </c:lineChart>
      <c:catAx>
        <c:axId val="918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873472"/>
        <c:crosses val="autoZero"/>
        <c:auto val="1"/>
        <c:lblAlgn val="ctr"/>
        <c:lblOffset val="100"/>
        <c:noMultiLvlLbl val="0"/>
      </c:catAx>
      <c:valAx>
        <c:axId val="9287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en-US"/>
                  <a:t>kWh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181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 Acción 10'!$M$37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'GEA Acción 10'!$B$38:$B$49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10'!$M$38:$M$49</c:f>
              <c:numCache>
                <c:formatCode>#,##0</c:formatCode>
                <c:ptCount val="12"/>
                <c:pt idx="0">
                  <c:v>223381.6</c:v>
                </c:pt>
                <c:pt idx="1">
                  <c:v>207909.6</c:v>
                </c:pt>
                <c:pt idx="2">
                  <c:v>225162.4</c:v>
                </c:pt>
                <c:pt idx="3">
                  <c:v>208538.3</c:v>
                </c:pt>
                <c:pt idx="4">
                  <c:v>211345.8</c:v>
                </c:pt>
                <c:pt idx="5">
                  <c:v>201048.6</c:v>
                </c:pt>
                <c:pt idx="6">
                  <c:v>213057.3</c:v>
                </c:pt>
                <c:pt idx="7">
                  <c:v>200602.2</c:v>
                </c:pt>
                <c:pt idx="8">
                  <c:v>205122.4</c:v>
                </c:pt>
                <c:pt idx="9">
                  <c:v>209955</c:v>
                </c:pt>
                <c:pt idx="10">
                  <c:v>197078.39999999999</c:v>
                </c:pt>
                <c:pt idx="11">
                  <c:v>195951.5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29-4676-973F-DD5ECF57973F}"/>
            </c:ext>
          </c:extLst>
        </c:ser>
        <c:ser>
          <c:idx val="1"/>
          <c:order val="1"/>
          <c:tx>
            <c:strRef>
              <c:f>'GEA Acción 10'!$N$37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'GEA Acción 10'!$B$38:$B$49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10'!$N$38:$N$49</c:f>
              <c:numCache>
                <c:formatCode>#,##0</c:formatCode>
                <c:ptCount val="12"/>
                <c:pt idx="0">
                  <c:v>192990.2</c:v>
                </c:pt>
                <c:pt idx="1">
                  <c:v>179389</c:v>
                </c:pt>
                <c:pt idx="2">
                  <c:v>198163.1</c:v>
                </c:pt>
                <c:pt idx="3">
                  <c:v>185195.2</c:v>
                </c:pt>
                <c:pt idx="4">
                  <c:v>191610.1</c:v>
                </c:pt>
                <c:pt idx="5">
                  <c:v>186821.9</c:v>
                </c:pt>
                <c:pt idx="6">
                  <c:v>197800</c:v>
                </c:pt>
                <c:pt idx="7">
                  <c:v>194815.7</c:v>
                </c:pt>
                <c:pt idx="8">
                  <c:v>196542.2</c:v>
                </c:pt>
                <c:pt idx="9">
                  <c:v>199416</c:v>
                </c:pt>
                <c:pt idx="10">
                  <c:v>185950</c:v>
                </c:pt>
                <c:pt idx="11">
                  <c:v>187976.4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9-4676-973F-DD5ECF57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92929024"/>
        <c:axId val="93262592"/>
      </c:lineChart>
      <c:catAx>
        <c:axId val="9292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3262592"/>
        <c:crosses val="autoZero"/>
        <c:auto val="1"/>
        <c:lblAlgn val="ctr"/>
        <c:lblOffset val="100"/>
        <c:noMultiLvlLbl val="0"/>
      </c:catAx>
      <c:valAx>
        <c:axId val="9326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92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dLbls>
            <c:dLbl>
              <c:idx val="3"/>
              <c:layout>
                <c:manualLayout>
                  <c:x val="-2.8021147061945188E-2"/>
                  <c:y val="2.1904700618153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2.8021147061945067E-2"/>
                  <c:y val="-7.57754095834699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chemeClr val="accent1">
                        <a:lumMod val="75000"/>
                      </a:schemeClr>
                    </a:solidFill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'AAE Acción 11'!$B$6:$B$17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'AAE Acción 11'!$C$6:$C$17</c:f>
              <c:numCache>
                <c:formatCode>_(* #,##0_);_(* \(#,##0\);_(* "-"??_);_(@_)</c:formatCode>
                <c:ptCount val="12"/>
                <c:pt idx="0">
                  <c:v>6000</c:v>
                </c:pt>
                <c:pt idx="1">
                  <c:v>7280</c:v>
                </c:pt>
                <c:pt idx="2">
                  <c:v>7440</c:v>
                </c:pt>
                <c:pt idx="3">
                  <c:v>1040</c:v>
                </c:pt>
                <c:pt idx="4">
                  <c:v>4960</c:v>
                </c:pt>
                <c:pt idx="5">
                  <c:v>5040</c:v>
                </c:pt>
                <c:pt idx="6">
                  <c:v>3920</c:v>
                </c:pt>
                <c:pt idx="7">
                  <c:v>2640</c:v>
                </c:pt>
                <c:pt idx="8">
                  <c:v>3040</c:v>
                </c:pt>
                <c:pt idx="9">
                  <c:v>2640</c:v>
                </c:pt>
                <c:pt idx="10">
                  <c:v>3280</c:v>
                </c:pt>
                <c:pt idx="11">
                  <c:v>2400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dLbls>
            <c:dLbl>
              <c:idx val="3"/>
              <c:layout>
                <c:manualLayout>
                  <c:x val="-2.680460220515838E-2"/>
                  <c:y val="-2.31745420507746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C00000"/>
                    </a:solidFill>
                  </a:defRPr>
                </a:pPr>
                <a:endParaRPr lang="es-CO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'AAE Acción 11'!$B$6:$B$17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'AAE Acción 11'!$D$6:$D$17</c:f>
              <c:numCache>
                <c:formatCode>_(* #,##0_);_(* \(#,##0\);_(* "-"??_);_(@_)</c:formatCode>
                <c:ptCount val="12"/>
                <c:pt idx="0">
                  <c:v>1920</c:v>
                </c:pt>
                <c:pt idx="1">
                  <c:v>2800</c:v>
                </c:pt>
                <c:pt idx="2">
                  <c:v>3200</c:v>
                </c:pt>
                <c:pt idx="3">
                  <c:v>2800</c:v>
                </c:pt>
                <c:pt idx="4">
                  <c:v>2560</c:v>
                </c:pt>
                <c:pt idx="5">
                  <c:v>2800</c:v>
                </c:pt>
                <c:pt idx="6">
                  <c:v>2560</c:v>
                </c:pt>
                <c:pt idx="7">
                  <c:v>2960</c:v>
                </c:pt>
                <c:pt idx="8">
                  <c:v>2560</c:v>
                </c:pt>
                <c:pt idx="9">
                  <c:v>2560</c:v>
                </c:pt>
                <c:pt idx="10">
                  <c:v>3040</c:v>
                </c:pt>
                <c:pt idx="11">
                  <c:v>2720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0620928"/>
        <c:axId val="100630912"/>
      </c:lineChart>
      <c:catAx>
        <c:axId val="100620928"/>
        <c:scaling>
          <c:orientation val="minMax"/>
        </c:scaling>
        <c:delete val="0"/>
        <c:axPos val="b"/>
        <c:majorTickMark val="none"/>
        <c:minorTickMark val="none"/>
        <c:tickLblPos val="nextTo"/>
        <c:crossAx val="100630912"/>
        <c:crosses val="autoZero"/>
        <c:auto val="1"/>
        <c:lblAlgn val="ctr"/>
        <c:lblOffset val="100"/>
        <c:noMultiLvlLbl val="0"/>
      </c:catAx>
      <c:valAx>
        <c:axId val="10063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kWh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10062092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2014</c:v>
          </c:tx>
          <c:spPr>
            <a:ln w="19050"/>
          </c:spPr>
          <c:marker>
            <c:symbol val="circle"/>
            <c:size val="4"/>
          </c:marker>
          <c:cat>
            <c:strRef>
              <c:f>'GEO Acción 2'!$B$6:$B$17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 Acción 2'!$C$6:$C$17</c:f>
              <c:numCache>
                <c:formatCode>_(* #,##0_);_(* \(#,##0\);_(* "-"??_);_(@_)</c:formatCode>
                <c:ptCount val="12"/>
                <c:pt idx="0">
                  <c:v>3666400</c:v>
                </c:pt>
                <c:pt idx="1">
                  <c:v>3501800</c:v>
                </c:pt>
                <c:pt idx="2">
                  <c:v>4782640</c:v>
                </c:pt>
                <c:pt idx="3">
                  <c:v>2577280</c:v>
                </c:pt>
                <c:pt idx="4">
                  <c:v>1582800</c:v>
                </c:pt>
                <c:pt idx="5">
                  <c:v>3382240</c:v>
                </c:pt>
                <c:pt idx="6">
                  <c:v>3429760</c:v>
                </c:pt>
                <c:pt idx="7">
                  <c:v>3960880</c:v>
                </c:pt>
                <c:pt idx="8">
                  <c:v>4429640</c:v>
                </c:pt>
                <c:pt idx="9">
                  <c:v>1563160</c:v>
                </c:pt>
                <c:pt idx="10">
                  <c:v>372880</c:v>
                </c:pt>
                <c:pt idx="11">
                  <c:v>697040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C86-4627-A2BC-6B70DCFE9690}"/>
            </c:ext>
          </c:extLst>
        </c:ser>
        <c:ser>
          <c:idx val="1"/>
          <c:order val="1"/>
          <c:tx>
            <c:v>2015</c:v>
          </c:tx>
          <c:spPr>
            <a:ln w="19050"/>
          </c:spPr>
          <c:marker>
            <c:symbol val="circle"/>
            <c:size val="5"/>
          </c:marker>
          <c:val>
            <c:numRef>
              <c:f>'GEO Acción 2'!$D$6:$D$17</c:f>
              <c:numCache>
                <c:formatCode>_(* #,##0_);_(* \(#,##0\);_(* "-"??_);_(@_)</c:formatCode>
                <c:ptCount val="12"/>
                <c:pt idx="0">
                  <c:v>1192560</c:v>
                </c:pt>
                <c:pt idx="1">
                  <c:v>1560640</c:v>
                </c:pt>
                <c:pt idx="2">
                  <c:v>1385440</c:v>
                </c:pt>
                <c:pt idx="3">
                  <c:v>1857600</c:v>
                </c:pt>
                <c:pt idx="4">
                  <c:v>1826520</c:v>
                </c:pt>
                <c:pt idx="5">
                  <c:v>2232760</c:v>
                </c:pt>
                <c:pt idx="6">
                  <c:v>3519040</c:v>
                </c:pt>
                <c:pt idx="7">
                  <c:v>4408920</c:v>
                </c:pt>
                <c:pt idx="8">
                  <c:v>4943280</c:v>
                </c:pt>
                <c:pt idx="9">
                  <c:v>644400</c:v>
                </c:pt>
                <c:pt idx="10">
                  <c:v>287040</c:v>
                </c:pt>
                <c:pt idx="11">
                  <c:v>324520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86-4627-A2BC-6B70DCFE9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238336"/>
        <c:axId val="86239872"/>
      </c:lineChart>
      <c:catAx>
        <c:axId val="8623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239872"/>
        <c:crosses val="autoZero"/>
        <c:auto val="1"/>
        <c:lblAlgn val="ctr"/>
        <c:lblOffset val="100"/>
        <c:noMultiLvlLbl val="0"/>
      </c:catAx>
      <c:valAx>
        <c:axId val="86239872"/>
        <c:scaling>
          <c:orientation val="minMax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 w="9525">
            <a:noFill/>
          </a:ln>
        </c:spPr>
        <c:crossAx val="8623833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'GEO Acción 3'!$C$5</c:f>
              <c:strCache>
                <c:ptCount val="1"/>
                <c:pt idx="0">
                  <c:v>2014</c:v>
                </c:pt>
              </c:strCache>
            </c:strRef>
          </c:tx>
          <c:spPr>
            <a:ln w="19050"/>
          </c:spPr>
          <c:marker>
            <c:symbol val="circle"/>
            <c:size val="4"/>
          </c:marker>
          <c:cat>
            <c:strRef>
              <c:f>'GEO Acción 3'!$B$6:$B$17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 Acción 3'!$C$6:$C$17</c:f>
              <c:numCache>
                <c:formatCode>_(* #,##0_);_(* \(#,##0\);_(* "-"??_);_(@_)</c:formatCode>
                <c:ptCount val="12"/>
                <c:pt idx="0">
                  <c:v>322754.90000000002</c:v>
                </c:pt>
                <c:pt idx="1">
                  <c:v>325898.93</c:v>
                </c:pt>
                <c:pt idx="2">
                  <c:v>336108.58</c:v>
                </c:pt>
                <c:pt idx="3">
                  <c:v>359637.7</c:v>
                </c:pt>
                <c:pt idx="4">
                  <c:v>404459.65</c:v>
                </c:pt>
                <c:pt idx="5">
                  <c:v>387266.55</c:v>
                </c:pt>
                <c:pt idx="6">
                  <c:v>396793.15</c:v>
                </c:pt>
                <c:pt idx="7">
                  <c:v>408401.68</c:v>
                </c:pt>
                <c:pt idx="8">
                  <c:v>391761.95</c:v>
                </c:pt>
                <c:pt idx="9">
                  <c:v>388200.4</c:v>
                </c:pt>
                <c:pt idx="10">
                  <c:v>365244.6</c:v>
                </c:pt>
                <c:pt idx="11">
                  <c:v>385341.85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C86-4627-A2BC-6B70DCFE9690}"/>
            </c:ext>
          </c:extLst>
        </c:ser>
        <c:ser>
          <c:idx val="1"/>
          <c:order val="1"/>
          <c:tx>
            <c:strRef>
              <c:f>'GEO Acción 3'!$D$5</c:f>
              <c:strCache>
                <c:ptCount val="1"/>
                <c:pt idx="0">
                  <c:v>2015</c:v>
                </c:pt>
              </c:strCache>
            </c:strRef>
          </c:tx>
          <c:spPr>
            <a:ln w="19050"/>
          </c:spPr>
          <c:marker>
            <c:symbol val="circle"/>
            <c:size val="5"/>
          </c:marker>
          <c:cat>
            <c:strRef>
              <c:f>'GEO Acción 3'!$B$6:$B$17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 Acción 3'!$D$6:$D$17</c:f>
              <c:numCache>
                <c:formatCode>_(* #,##0_);_(* \(#,##0\);_(* "-"??_);_(@_)</c:formatCode>
                <c:ptCount val="12"/>
                <c:pt idx="0">
                  <c:v>371683.23</c:v>
                </c:pt>
                <c:pt idx="1">
                  <c:v>330452.75</c:v>
                </c:pt>
                <c:pt idx="2">
                  <c:v>328304.8</c:v>
                </c:pt>
                <c:pt idx="3">
                  <c:v>305586.5</c:v>
                </c:pt>
                <c:pt idx="4">
                  <c:v>324234.53000000003</c:v>
                </c:pt>
                <c:pt idx="5">
                  <c:v>349835.6</c:v>
                </c:pt>
                <c:pt idx="6">
                  <c:v>395854.55</c:v>
                </c:pt>
                <c:pt idx="7">
                  <c:v>392122.95</c:v>
                </c:pt>
                <c:pt idx="8">
                  <c:v>327899.05</c:v>
                </c:pt>
                <c:pt idx="9">
                  <c:v>329329.38</c:v>
                </c:pt>
                <c:pt idx="10">
                  <c:v>313923.7</c:v>
                </c:pt>
                <c:pt idx="11">
                  <c:v>333649.98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86-4627-A2BC-6B70DCFE9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155648"/>
        <c:axId val="86157184"/>
      </c:lineChart>
      <c:catAx>
        <c:axId val="8615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157184"/>
        <c:crosses val="autoZero"/>
        <c:auto val="1"/>
        <c:lblAlgn val="ctr"/>
        <c:lblOffset val="100"/>
        <c:noMultiLvlLbl val="0"/>
      </c:catAx>
      <c:valAx>
        <c:axId val="86157184"/>
        <c:scaling>
          <c:orientation val="minMax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 w="9525">
            <a:noFill/>
          </a:ln>
        </c:spPr>
        <c:crossAx val="8615564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2014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'GEO Total'!$B$24:$B$35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 Total'!$C$24:$C$35</c:f>
              <c:numCache>
                <c:formatCode>_(* #,##0_);_(* \(#,##0\);_(* "-"??_);_(@_)</c:formatCode>
                <c:ptCount val="12"/>
                <c:pt idx="0">
                  <c:v>10564282.800000001</c:v>
                </c:pt>
                <c:pt idx="1">
                  <c:v>12312844.029999999</c:v>
                </c:pt>
                <c:pt idx="2">
                  <c:v>14485052.479999999</c:v>
                </c:pt>
                <c:pt idx="3">
                  <c:v>10102334.299999999</c:v>
                </c:pt>
                <c:pt idx="4">
                  <c:v>7854470.6500000004</c:v>
                </c:pt>
                <c:pt idx="5">
                  <c:v>9674935.1500000004</c:v>
                </c:pt>
                <c:pt idx="6">
                  <c:v>10700897.450000001</c:v>
                </c:pt>
                <c:pt idx="7">
                  <c:v>11566869.379999999</c:v>
                </c:pt>
                <c:pt idx="8">
                  <c:v>13015963.149999999</c:v>
                </c:pt>
                <c:pt idx="9">
                  <c:v>9115534.0999999996</c:v>
                </c:pt>
                <c:pt idx="10">
                  <c:v>7088476</c:v>
                </c:pt>
                <c:pt idx="11">
                  <c:v>7578677.0499999998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29-4676-973F-DD5ECF57973F}"/>
            </c:ext>
          </c:extLst>
        </c:ser>
        <c:ser>
          <c:idx val="1"/>
          <c:order val="1"/>
          <c:tx>
            <c:v>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'GEO Total'!$B$24:$B$35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 Total'!$D$24:$D$35</c:f>
              <c:numCache>
                <c:formatCode>_(* #,##0_);_(* \(#,##0\);_(* "-"??_);_(@_)</c:formatCode>
                <c:ptCount val="12"/>
                <c:pt idx="0">
                  <c:v>6832618.8300000001</c:v>
                </c:pt>
                <c:pt idx="1">
                  <c:v>6242128.3499999996</c:v>
                </c:pt>
                <c:pt idx="2">
                  <c:v>6282477.7999999998</c:v>
                </c:pt>
                <c:pt idx="3">
                  <c:v>5911520.9000000004</c:v>
                </c:pt>
                <c:pt idx="4">
                  <c:v>6516741.7300000004</c:v>
                </c:pt>
                <c:pt idx="5">
                  <c:v>7021396.7999999998</c:v>
                </c:pt>
                <c:pt idx="6">
                  <c:v>10224635.850000001</c:v>
                </c:pt>
                <c:pt idx="7">
                  <c:v>12302122.949999999</c:v>
                </c:pt>
                <c:pt idx="8">
                  <c:v>13968274.75</c:v>
                </c:pt>
                <c:pt idx="9">
                  <c:v>8166456.9799999995</c:v>
                </c:pt>
                <c:pt idx="10">
                  <c:v>6995488.6000000006</c:v>
                </c:pt>
                <c:pt idx="11">
                  <c:v>5342067.7799999993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9-4676-973F-DD5ECF57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91881472"/>
        <c:axId val="91883008"/>
      </c:lineChart>
      <c:catAx>
        <c:axId val="9188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1883008"/>
        <c:crosses val="autoZero"/>
        <c:auto val="1"/>
        <c:lblAlgn val="ctr"/>
        <c:lblOffset val="100"/>
        <c:noMultiLvlLbl val="0"/>
      </c:catAx>
      <c:valAx>
        <c:axId val="9188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en-US"/>
                  <a:t>kWh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188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'[2]GEO Total'!$A$1</c:f>
              <c:strCache>
                <c:ptCount val="1"/>
                <c:pt idx="0">
                  <c:v>Consumo Energía </c:v>
                </c:pt>
              </c:strCache>
            </c:strRef>
          </c:tx>
          <c:invertIfNegative val="0"/>
          <c:cat>
            <c:numRef>
              <c:f>'[2]GEO Total'!$B$2:$C$2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'[2]GEO Total'!$B$7:$C$7</c:f>
              <c:numCache>
                <c:formatCode>General</c:formatCode>
                <c:ptCount val="2"/>
                <c:pt idx="0">
                  <c:v>170979467.00000021</c:v>
                </c:pt>
                <c:pt idx="1">
                  <c:v>148034773.32999998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cat>
            <c:numRef>
              <c:f>'[2]GEO Total'!$B$2:$C$2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'[2]GEO Total'!$B$8:$C$8</c:f>
              <c:numCache>
                <c:formatCode>General</c:formatCode>
                <c:ptCount val="2"/>
                <c:pt idx="0">
                  <c:v>34024.913933000047</c:v>
                </c:pt>
                <c:pt idx="1">
                  <c:v>29458.919892669997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100"/>
        <c:axId val="91928448"/>
        <c:axId val="91929984"/>
      </c:barChart>
      <c:barChart>
        <c:barDir val="col"/>
        <c:grouping val="clustered"/>
        <c:varyColors val="0"/>
        <c:ser>
          <c:idx val="2"/>
          <c:order val="2"/>
          <c:tx>
            <c:v>Emisiones</c:v>
          </c:tx>
          <c:invertIfNegative val="0"/>
          <c:cat>
            <c:numRef>
              <c:f>'[2]GEO Total'!$B$2:$C$2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'[2]GEO Total'!$B$8:$C$8</c:f>
              <c:numCache>
                <c:formatCode>General</c:formatCode>
                <c:ptCount val="2"/>
                <c:pt idx="0">
                  <c:v>34024.913933000047</c:v>
                </c:pt>
                <c:pt idx="1">
                  <c:v>29458.919892669997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100"/>
        <c:axId val="91938176"/>
        <c:axId val="91936256"/>
      </c:barChart>
      <c:catAx>
        <c:axId val="9192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1929984"/>
        <c:crosses val="autoZero"/>
        <c:auto val="1"/>
        <c:lblAlgn val="ctr"/>
        <c:lblOffset val="100"/>
        <c:noMultiLvlLbl val="0"/>
      </c:catAx>
      <c:valAx>
        <c:axId val="9192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1"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r>
                  <a:rPr lang="es-CO" b="1">
                    <a:solidFill>
                      <a:schemeClr val="tx2">
                        <a:lumMod val="60000"/>
                        <a:lumOff val="40000"/>
                      </a:schemeClr>
                    </a:solidFill>
                  </a:rPr>
                  <a:t>kWh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CO"/>
          </a:p>
        </c:txPr>
        <c:crossAx val="91928448"/>
        <c:crosses val="autoZero"/>
        <c:crossBetween val="between"/>
      </c:valAx>
      <c:valAx>
        <c:axId val="919362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="1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r>
                  <a:rPr lang="es-CO" b="1">
                    <a:solidFill>
                      <a:schemeClr val="accent3">
                        <a:lumMod val="75000"/>
                      </a:schemeClr>
                    </a:solidFill>
                  </a:rPr>
                  <a:t>tCO</a:t>
                </a:r>
                <a:r>
                  <a:rPr lang="es-CO" b="1" baseline="-25000">
                    <a:solidFill>
                      <a:schemeClr val="accent3">
                        <a:lumMod val="75000"/>
                      </a:schemeClr>
                    </a:solidFill>
                  </a:rPr>
                  <a:t>2e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CO"/>
          </a:p>
        </c:txPr>
        <c:crossAx val="91938176"/>
        <c:crosses val="max"/>
        <c:crossBetween val="between"/>
      </c:valAx>
      <c:catAx>
        <c:axId val="91938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1936256"/>
        <c:crosses val="autoZero"/>
        <c:auto val="1"/>
        <c:lblAlgn val="ctr"/>
        <c:lblOffset val="100"/>
        <c:noMultiLvlLbl val="0"/>
      </c:catAx>
    </c:plotArea>
    <c:legend>
      <c:legendPos val="t"/>
      <c:legendEntry>
        <c:idx val="1"/>
        <c:delete val="1"/>
      </c:legendEntry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'GEO Total'!$C$43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'[3]GEO Total'!$A$49:$A$60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 Total'!$C$44:$C$55</c:f>
              <c:numCache>
                <c:formatCode>#,##0</c:formatCode>
                <c:ptCount val="12"/>
                <c:pt idx="0">
                  <c:v>14722544.859999999</c:v>
                </c:pt>
                <c:pt idx="1">
                  <c:v>15798000.939999998</c:v>
                </c:pt>
                <c:pt idx="2">
                  <c:v>18506888.52</c:v>
                </c:pt>
                <c:pt idx="3">
                  <c:v>13571809.390000001</c:v>
                </c:pt>
                <c:pt idx="4">
                  <c:v>12041365.34</c:v>
                </c:pt>
                <c:pt idx="5">
                  <c:v>13601340.299999997</c:v>
                </c:pt>
                <c:pt idx="6">
                  <c:v>14653178.520000001</c:v>
                </c:pt>
                <c:pt idx="7">
                  <c:v>15269654.479999999</c:v>
                </c:pt>
                <c:pt idx="8">
                  <c:v>16924548.120000005</c:v>
                </c:pt>
                <c:pt idx="9">
                  <c:v>13209404.630000001</c:v>
                </c:pt>
                <c:pt idx="10">
                  <c:v>11059831.899999999</c:v>
                </c:pt>
                <c:pt idx="11">
                  <c:v>11620900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'GEO Total'!$D$43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strRef>
              <c:f>'[3]GEO Total'!$A$49:$A$60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 Total'!$D$44:$D$55</c:f>
              <c:numCache>
                <c:formatCode>_(* #,##0_);_(* \(#,##0\);_(* "-"??_);_(@_)</c:formatCode>
                <c:ptCount val="12"/>
                <c:pt idx="0">
                  <c:v>10623570.390000002</c:v>
                </c:pt>
                <c:pt idx="1">
                  <c:v>9855516.7000000011</c:v>
                </c:pt>
                <c:pt idx="2">
                  <c:v>10357531.960000001</c:v>
                </c:pt>
                <c:pt idx="3">
                  <c:v>9820393.4899999984</c:v>
                </c:pt>
                <c:pt idx="4">
                  <c:v>10276170.969999999</c:v>
                </c:pt>
                <c:pt idx="5">
                  <c:v>10873758.460000003</c:v>
                </c:pt>
                <c:pt idx="6">
                  <c:v>14355224.119999999</c:v>
                </c:pt>
                <c:pt idx="7">
                  <c:v>16310063.959999999</c:v>
                </c:pt>
                <c:pt idx="8">
                  <c:v>17696067</c:v>
                </c:pt>
                <c:pt idx="9">
                  <c:v>12346511.220000003</c:v>
                </c:pt>
                <c:pt idx="10">
                  <c:v>12094069.85</c:v>
                </c:pt>
                <c:pt idx="11">
                  <c:v>9454122.8299999982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91972736"/>
        <c:axId val="91974272"/>
      </c:lineChart>
      <c:catAx>
        <c:axId val="9197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1974272"/>
        <c:crosses val="autoZero"/>
        <c:auto val="1"/>
        <c:lblAlgn val="ctr"/>
        <c:lblOffset val="100"/>
        <c:noMultiLvlLbl val="0"/>
      </c:catAx>
      <c:valAx>
        <c:axId val="919742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kWh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91972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>
          <a:solidFill>
            <a:schemeClr val="tx1">
              <a:lumMod val="75000"/>
              <a:lumOff val="25000"/>
            </a:schemeClr>
          </a:solidFill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 Acción 4'!$C$55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'GEA Acción 4'!$B$56:$B$67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4'!$C$56:$C$67</c:f>
              <c:numCache>
                <c:formatCode>#,##0</c:formatCode>
                <c:ptCount val="12"/>
                <c:pt idx="0">
                  <c:v>215648.6</c:v>
                </c:pt>
                <c:pt idx="1">
                  <c:v>201333.6</c:v>
                </c:pt>
                <c:pt idx="2">
                  <c:v>219127.4</c:v>
                </c:pt>
                <c:pt idx="3">
                  <c:v>205888.3</c:v>
                </c:pt>
                <c:pt idx="4">
                  <c:v>204544.8</c:v>
                </c:pt>
                <c:pt idx="5">
                  <c:v>194727.6</c:v>
                </c:pt>
                <c:pt idx="6">
                  <c:v>206816.3</c:v>
                </c:pt>
                <c:pt idx="7">
                  <c:v>194138.2</c:v>
                </c:pt>
                <c:pt idx="8">
                  <c:v>198791.4</c:v>
                </c:pt>
                <c:pt idx="9">
                  <c:v>203999</c:v>
                </c:pt>
                <c:pt idx="10">
                  <c:v>191077.4</c:v>
                </c:pt>
                <c:pt idx="11">
                  <c:v>190064.5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29-4676-973F-DD5ECF57973F}"/>
            </c:ext>
          </c:extLst>
        </c:ser>
        <c:ser>
          <c:idx val="1"/>
          <c:order val="1"/>
          <c:tx>
            <c:strRef>
              <c:f>'GEA Acción 4'!$D$55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'GEA Acción 4'!$B$56:$B$67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4'!$D$56:$D$67</c:f>
              <c:numCache>
                <c:formatCode>#,##0</c:formatCode>
                <c:ptCount val="12"/>
                <c:pt idx="0">
                  <c:v>186426.2</c:v>
                </c:pt>
                <c:pt idx="1">
                  <c:v>172867</c:v>
                </c:pt>
                <c:pt idx="2">
                  <c:v>192068.1</c:v>
                </c:pt>
                <c:pt idx="3">
                  <c:v>179532.2</c:v>
                </c:pt>
                <c:pt idx="4">
                  <c:v>185553.1</c:v>
                </c:pt>
                <c:pt idx="5">
                  <c:v>180669.9</c:v>
                </c:pt>
                <c:pt idx="6">
                  <c:v>192491</c:v>
                </c:pt>
                <c:pt idx="7">
                  <c:v>189143.7</c:v>
                </c:pt>
                <c:pt idx="8">
                  <c:v>190776.2</c:v>
                </c:pt>
                <c:pt idx="9">
                  <c:v>193989</c:v>
                </c:pt>
                <c:pt idx="10">
                  <c:v>180606</c:v>
                </c:pt>
                <c:pt idx="11">
                  <c:v>182342.39999999999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9-4676-973F-DD5ECF57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92634112"/>
        <c:axId val="92635904"/>
      </c:lineChart>
      <c:catAx>
        <c:axId val="9263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635904"/>
        <c:crosses val="autoZero"/>
        <c:auto val="1"/>
        <c:lblAlgn val="ctr"/>
        <c:lblOffset val="100"/>
        <c:noMultiLvlLbl val="0"/>
      </c:catAx>
      <c:valAx>
        <c:axId val="9263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63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 Acción 5'!$C$27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'GEA Acción 5'!$B$28:$B$39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5'!$C$28:$C$39</c:f>
              <c:numCache>
                <c:formatCode>#,##0</c:formatCode>
                <c:ptCount val="12"/>
                <c:pt idx="0">
                  <c:v>32000</c:v>
                </c:pt>
                <c:pt idx="1">
                  <c:v>24000</c:v>
                </c:pt>
                <c:pt idx="2">
                  <c:v>24000</c:v>
                </c:pt>
                <c:pt idx="3">
                  <c:v>0</c:v>
                </c:pt>
                <c:pt idx="4">
                  <c:v>32000</c:v>
                </c:pt>
                <c:pt idx="5">
                  <c:v>32000</c:v>
                </c:pt>
                <c:pt idx="6">
                  <c:v>16000</c:v>
                </c:pt>
                <c:pt idx="7">
                  <c:v>32000</c:v>
                </c:pt>
                <c:pt idx="8">
                  <c:v>16000</c:v>
                </c:pt>
                <c:pt idx="9">
                  <c:v>24000</c:v>
                </c:pt>
                <c:pt idx="10">
                  <c:v>24000</c:v>
                </c:pt>
                <c:pt idx="11">
                  <c:v>24000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29-4676-973F-DD5ECF57973F}"/>
            </c:ext>
          </c:extLst>
        </c:ser>
        <c:ser>
          <c:idx val="1"/>
          <c:order val="1"/>
          <c:tx>
            <c:strRef>
              <c:f>'GEA Acción 5'!$D$27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'GEA Acción 5'!$B$28:$B$39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5'!$D$28:$D$39</c:f>
              <c:numCache>
                <c:formatCode>#,##0</c:formatCode>
                <c:ptCount val="12"/>
                <c:pt idx="0">
                  <c:v>24000</c:v>
                </c:pt>
                <c:pt idx="1">
                  <c:v>24000</c:v>
                </c:pt>
                <c:pt idx="2">
                  <c:v>16000</c:v>
                </c:pt>
                <c:pt idx="3">
                  <c:v>24370</c:v>
                </c:pt>
                <c:pt idx="4">
                  <c:v>22780</c:v>
                </c:pt>
                <c:pt idx="5">
                  <c:v>56000</c:v>
                </c:pt>
                <c:pt idx="6">
                  <c:v>8000</c:v>
                </c:pt>
                <c:pt idx="7">
                  <c:v>0</c:v>
                </c:pt>
                <c:pt idx="8">
                  <c:v>24000</c:v>
                </c:pt>
                <c:pt idx="9">
                  <c:v>24000</c:v>
                </c:pt>
                <c:pt idx="10">
                  <c:v>27260</c:v>
                </c:pt>
                <c:pt idx="11">
                  <c:v>19016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9-4676-973F-DD5ECF57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92834816"/>
        <c:axId val="92857088"/>
      </c:lineChart>
      <c:catAx>
        <c:axId val="9283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857088"/>
        <c:crosses val="autoZero"/>
        <c:auto val="1"/>
        <c:lblAlgn val="ctr"/>
        <c:lblOffset val="100"/>
        <c:noMultiLvlLbl val="0"/>
      </c:catAx>
      <c:valAx>
        <c:axId val="9285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en-US"/>
                  <a:t>kWh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83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 Acción 6'!$C$25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'GEA Acción 6'!$B$26:$B$37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6'!$C$26:$C$37</c:f>
              <c:numCache>
                <c:formatCode>#,##0</c:formatCode>
                <c:ptCount val="12"/>
                <c:pt idx="0">
                  <c:v>16180</c:v>
                </c:pt>
                <c:pt idx="1">
                  <c:v>13980</c:v>
                </c:pt>
                <c:pt idx="2">
                  <c:v>14800</c:v>
                </c:pt>
                <c:pt idx="3">
                  <c:v>0</c:v>
                </c:pt>
                <c:pt idx="4">
                  <c:v>23060</c:v>
                </c:pt>
                <c:pt idx="5">
                  <c:v>15340</c:v>
                </c:pt>
                <c:pt idx="6">
                  <c:v>15360</c:v>
                </c:pt>
                <c:pt idx="7">
                  <c:v>16432</c:v>
                </c:pt>
                <c:pt idx="8">
                  <c:v>21776</c:v>
                </c:pt>
                <c:pt idx="9">
                  <c:v>14320</c:v>
                </c:pt>
                <c:pt idx="10">
                  <c:v>14180</c:v>
                </c:pt>
                <c:pt idx="11">
                  <c:v>15500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29-4676-973F-DD5ECF57973F}"/>
            </c:ext>
          </c:extLst>
        </c:ser>
        <c:ser>
          <c:idx val="1"/>
          <c:order val="1"/>
          <c:tx>
            <c:strRef>
              <c:f>'GEA Acción 6'!$D$25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'GEA Acción 6'!$B$26:$B$37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 Acción 6'!$D$26:$D$37</c:f>
              <c:numCache>
                <c:formatCode>#,##0</c:formatCode>
                <c:ptCount val="12"/>
                <c:pt idx="0">
                  <c:v>16100</c:v>
                </c:pt>
                <c:pt idx="1">
                  <c:v>17000</c:v>
                </c:pt>
                <c:pt idx="2">
                  <c:v>0</c:v>
                </c:pt>
                <c:pt idx="3">
                  <c:v>15720</c:v>
                </c:pt>
                <c:pt idx="4">
                  <c:v>13880</c:v>
                </c:pt>
                <c:pt idx="5">
                  <c:v>15120</c:v>
                </c:pt>
                <c:pt idx="6">
                  <c:v>15440</c:v>
                </c:pt>
                <c:pt idx="7">
                  <c:v>15040</c:v>
                </c:pt>
                <c:pt idx="8">
                  <c:v>14660</c:v>
                </c:pt>
                <c:pt idx="9">
                  <c:v>16240</c:v>
                </c:pt>
                <c:pt idx="10">
                  <c:v>14600</c:v>
                </c:pt>
                <c:pt idx="11">
                  <c:v>17920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9-4676-973F-DD5ECF57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92707840"/>
        <c:axId val="92717824"/>
      </c:lineChart>
      <c:catAx>
        <c:axId val="9270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717824"/>
        <c:crosses val="autoZero"/>
        <c:auto val="1"/>
        <c:lblAlgn val="ctr"/>
        <c:lblOffset val="100"/>
        <c:noMultiLvlLbl val="0"/>
      </c:catAx>
      <c:valAx>
        <c:axId val="9271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 Semilight" panose="020B0402040204020203" pitchFamily="34" charset="0"/>
                    <a:ea typeface="+mn-ea"/>
                    <a:cs typeface="Segoe UI Semilight" panose="020B0402040204020203" pitchFamily="34" charset="0"/>
                  </a:defRPr>
                </a:pPr>
                <a:r>
                  <a:rPr lang="en-US"/>
                  <a:t>kWh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Semilight" panose="020B0402040204020203" pitchFamily="34" charset="0"/>
                <a:ea typeface="+mn-ea"/>
                <a:cs typeface="Segoe UI Semilight" panose="020B0402040204020203" pitchFamily="34" charset="0"/>
              </a:defRPr>
            </a:pPr>
            <a:endParaRPr lang="es-CO"/>
          </a:p>
        </c:txPr>
        <c:crossAx val="92707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 Semilight" panose="020B0402040204020203" pitchFamily="34" charset="0"/>
              <a:ea typeface="+mn-ea"/>
              <a:cs typeface="Segoe UI Semilight" panose="020B0402040204020203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66675</xdr:rowOff>
    </xdr:from>
    <xdr:to>
      <xdr:col>1</xdr:col>
      <xdr:colOff>4648200</xdr:colOff>
      <xdr:row>5</xdr:row>
      <xdr:rowOff>9525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66675"/>
          <a:ext cx="44862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21</xdr:row>
      <xdr:rowOff>0</xdr:rowOff>
    </xdr:from>
    <xdr:to>
      <xdr:col>15</xdr:col>
      <xdr:colOff>700088</xdr:colOff>
      <xdr:row>36</xdr:row>
      <xdr:rowOff>114300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15</xdr:col>
      <xdr:colOff>700088</xdr:colOff>
      <xdr:row>29</xdr:row>
      <xdr:rowOff>114300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34</xdr:row>
      <xdr:rowOff>9525</xdr:rowOff>
    </xdr:from>
    <xdr:to>
      <xdr:col>25</xdr:col>
      <xdr:colOff>709613</xdr:colOff>
      <xdr:row>51</xdr:row>
      <xdr:rowOff>47625</xdr:rowOff>
    </xdr:to>
    <xdr:graphicFrame macro="">
      <xdr:nvGraphicFramePr>
        <xdr:cNvPr id="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4</xdr:row>
      <xdr:rowOff>19050</xdr:rowOff>
    </xdr:from>
    <xdr:to>
      <xdr:col>12</xdr:col>
      <xdr:colOff>514350</xdr:colOff>
      <xdr:row>17</xdr:row>
      <xdr:rowOff>161925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25399</xdr:colOff>
      <xdr:row>22</xdr:row>
      <xdr:rowOff>6351</xdr:rowOff>
    </xdr:from>
    <xdr:to>
      <xdr:col>15</xdr:col>
      <xdr:colOff>34924</xdr:colOff>
      <xdr:row>39</xdr:row>
      <xdr:rowOff>176740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748241</xdr:colOff>
      <xdr:row>2</xdr:row>
      <xdr:rowOff>31750</xdr:rowOff>
    </xdr:from>
    <xdr:to>
      <xdr:col>13</xdr:col>
      <xdr:colOff>462491</xdr:colOff>
      <xdr:row>19</xdr:row>
      <xdr:rowOff>146579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759883</xdr:colOff>
      <xdr:row>3</xdr:row>
      <xdr:rowOff>161926</xdr:rowOff>
    </xdr:from>
    <xdr:to>
      <xdr:col>13</xdr:col>
      <xdr:colOff>540808</xdr:colOff>
      <xdr:row>19</xdr:row>
      <xdr:rowOff>42334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20</xdr:row>
      <xdr:rowOff>166687</xdr:rowOff>
    </xdr:from>
    <xdr:to>
      <xdr:col>11</xdr:col>
      <xdr:colOff>704850</xdr:colOff>
      <xdr:row>35</xdr:row>
      <xdr:rowOff>138112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</xdr:colOff>
      <xdr:row>2</xdr:row>
      <xdr:rowOff>28575</xdr:rowOff>
    </xdr:from>
    <xdr:to>
      <xdr:col>15</xdr:col>
      <xdr:colOff>47625</xdr:colOff>
      <xdr:row>18</xdr:row>
      <xdr:rowOff>123825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41</xdr:row>
      <xdr:rowOff>33338</xdr:rowOff>
    </xdr:from>
    <xdr:to>
      <xdr:col>11</xdr:col>
      <xdr:colOff>104775</xdr:colOff>
      <xdr:row>56</xdr:row>
      <xdr:rowOff>66676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53</xdr:row>
      <xdr:rowOff>9526</xdr:rowOff>
    </xdr:from>
    <xdr:to>
      <xdr:col>17</xdr:col>
      <xdr:colOff>490538</xdr:colOff>
      <xdr:row>68</xdr:row>
      <xdr:rowOff>142876</xdr:rowOff>
    </xdr:to>
    <xdr:graphicFrame macro="">
      <xdr:nvGraphicFramePr>
        <xdr:cNvPr id="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25</xdr:row>
      <xdr:rowOff>38100</xdr:rowOff>
    </xdr:from>
    <xdr:to>
      <xdr:col>15</xdr:col>
      <xdr:colOff>719138</xdr:colOff>
      <xdr:row>40</xdr:row>
      <xdr:rowOff>133350</xdr:rowOff>
    </xdr:to>
    <xdr:graphicFrame macro="">
      <xdr:nvGraphicFramePr>
        <xdr:cNvPr id="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23</xdr:row>
      <xdr:rowOff>28576</xdr:rowOff>
    </xdr:from>
    <xdr:to>
      <xdr:col>15</xdr:col>
      <xdr:colOff>709613</xdr:colOff>
      <xdr:row>38</xdr:row>
      <xdr:rowOff>142876</xdr:rowOff>
    </xdr:to>
    <xdr:graphicFrame macro="">
      <xdr:nvGraphicFramePr>
        <xdr:cNvPr id="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22</xdr:row>
      <xdr:rowOff>0</xdr:rowOff>
    </xdr:from>
    <xdr:to>
      <xdr:col>15</xdr:col>
      <xdr:colOff>700088</xdr:colOff>
      <xdr:row>37</xdr:row>
      <xdr:rowOff>114300</xdr:rowOff>
    </xdr:to>
    <xdr:graphicFrame macro="">
      <xdr:nvGraphicFramePr>
        <xdr:cNvPr id="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krodriguezf\OneDrive\EAB\Consumo%20energ&#237;a\Hist&#243;ricos-consumo-energ&#237;a-el&#233;ctrica-EA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rrespondencia\2016\OFICIOS%20COMPARTIDOS\KATHERINE%20RODRIGUEZ\GEI\Acciones%20de%20reducci&#243;n%20de%20GEI%20EAB%20ESP%202015-2018_26-04-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iones%20de%20reducci&#243;n%20de%20GEI%20EAB%20ESP%202015-2018_26-04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lass-cuentas"/>
      <sheetName val="CECOS"/>
      <sheetName val="Nomb-sedes"/>
      <sheetName val="ConsEECuentasDep2014"/>
    </sheetNames>
    <sheetDataSet>
      <sheetData sheetId="0"/>
      <sheetData sheetId="1"/>
      <sheetData sheetId="2"/>
      <sheetData sheetId="3">
        <row r="3">
          <cell r="C3" t="str">
            <v>2055076-0</v>
          </cell>
          <cell r="D3" t="str">
            <v>Complejo Santa Ana</v>
          </cell>
          <cell r="E3" t="str">
            <v>CANCHA TENIS</v>
          </cell>
        </row>
        <row r="4">
          <cell r="C4" t="str">
            <v>0402781-2</v>
          </cell>
          <cell r="D4" t="str">
            <v>Casa Betty</v>
          </cell>
          <cell r="E4" t="str">
            <v>CASA BETTY</v>
          </cell>
        </row>
        <row r="5">
          <cell r="C5" t="str">
            <v>0939974-5</v>
          </cell>
          <cell r="D5" t="str">
            <v xml:space="preserve">Complejo San Diego </v>
          </cell>
          <cell r="E5" t="str">
            <v>COLEGIO RAMON B. JIMENO - TALLERES</v>
          </cell>
        </row>
        <row r="6">
          <cell r="C6" t="str">
            <v>0762442-1</v>
          </cell>
          <cell r="D6" t="str">
            <v>Complejo Santa Ana</v>
          </cell>
          <cell r="E6" t="str">
            <v>LA AGUADITA - TANQUE SANTA ANA</v>
          </cell>
        </row>
        <row r="7">
          <cell r="C7" t="str">
            <v>1104517-6</v>
          </cell>
          <cell r="D7" t="str">
            <v>Servicio Medico Centro Nariño</v>
          </cell>
          <cell r="E7" t="str">
            <v>SERVICIO MEDICO CENTRAL</v>
          </cell>
        </row>
        <row r="8">
          <cell r="C8" t="str">
            <v>0402763-2</v>
          </cell>
          <cell r="D8" t="str">
            <v>Casa Ineco</v>
          </cell>
          <cell r="E8" t="str">
            <v>DIRECCION SALUD EDIFICIO INECO piso 1</v>
          </cell>
        </row>
        <row r="9">
          <cell r="C9" t="str">
            <v>0402775-3</v>
          </cell>
          <cell r="D9" t="str">
            <v>Casa Nueva</v>
          </cell>
          <cell r="E9" t="str">
            <v>CASA EN ARRIENDO</v>
          </cell>
        </row>
        <row r="10">
          <cell r="C10" t="str">
            <v>2486062-4</v>
          </cell>
          <cell r="D10" t="str">
            <v>Bodega de Archivo Central 1</v>
          </cell>
          <cell r="E10" t="str">
            <v>BODEGA ARRIENDO SINDICATO</v>
          </cell>
        </row>
        <row r="11">
          <cell r="C11" t="str">
            <v>0398476-0</v>
          </cell>
          <cell r="D11" t="str">
            <v>Bodegas de Archivo Américas</v>
          </cell>
          <cell r="E11" t="str">
            <v>BODEGA  Calle 13 No. 47-00 L - 12</v>
          </cell>
        </row>
        <row r="12">
          <cell r="C12" t="str">
            <v>2409781-1</v>
          </cell>
          <cell r="D12" t="str">
            <v>Bodegas de Archivo Américas</v>
          </cell>
          <cell r="E12" t="str">
            <v xml:space="preserve">BODEGA  Calle 13 No. 47-00 </v>
          </cell>
        </row>
        <row r="13">
          <cell r="C13" t="str">
            <v>2409703-9</v>
          </cell>
          <cell r="D13" t="str">
            <v>Bodegas de Archivo Américas</v>
          </cell>
          <cell r="E13" t="str">
            <v>BODEGA  Calle 13 No. 47-12</v>
          </cell>
        </row>
        <row r="14">
          <cell r="C14" t="str">
            <v>0398478-4</v>
          </cell>
          <cell r="D14" t="str">
            <v>Bodegas de Archivo Américas</v>
          </cell>
          <cell r="E14" t="str">
            <v>BODEGA  Calle 13 No. 47-28 L - 40</v>
          </cell>
        </row>
        <row r="15">
          <cell r="C15" t="str">
            <v>0398477-2</v>
          </cell>
          <cell r="D15" t="str">
            <v>Bodegas de Archivo Américas</v>
          </cell>
          <cell r="E15" t="str">
            <v>BODEGA  Calle 13 No. 47-14 L - 26</v>
          </cell>
        </row>
        <row r="16">
          <cell r="C16" t="str">
            <v>2706076-6</v>
          </cell>
          <cell r="D16" t="str">
            <v>Centro de Atención Comercial Las Américas</v>
          </cell>
          <cell r="E16" t="str">
            <v>EDIFICIO KR 46 No. 20C-34</v>
          </cell>
        </row>
        <row r="17">
          <cell r="C17" t="str">
            <v>0764531-8</v>
          </cell>
          <cell r="D17" t="str">
            <v xml:space="preserve">Bodega La Diana </v>
          </cell>
          <cell r="E17" t="str">
            <v>BODEGA LA DIANA</v>
          </cell>
        </row>
        <row r="18">
          <cell r="C18" t="str">
            <v>0762212-8</v>
          </cell>
          <cell r="D18" t="str">
            <v>Bodega Fontibón</v>
          </cell>
          <cell r="E18" t="str">
            <v>BODEGAS FONTIBON</v>
          </cell>
        </row>
        <row r="19">
          <cell r="C19" t="str">
            <v>1408484-2</v>
          </cell>
          <cell r="D19" t="str">
            <v xml:space="preserve">CADE La Gaitana </v>
          </cell>
          <cell r="E19" t="str">
            <v xml:space="preserve">CADE LA GAITANA </v>
          </cell>
        </row>
        <row r="20">
          <cell r="C20" t="str">
            <v>0764382-3</v>
          </cell>
          <cell r="D20" t="str">
            <v>Cerro Chozica</v>
          </cell>
          <cell r="E20" t="str">
            <v>CERRO CHOZICA</v>
          </cell>
        </row>
        <row r="21">
          <cell r="C21" t="str">
            <v>0764057-4</v>
          </cell>
          <cell r="D21" t="str">
            <v>Cerro La Popa</v>
          </cell>
          <cell r="E21" t="str">
            <v>CERRO LA POPA</v>
          </cell>
        </row>
        <row r="22">
          <cell r="C22" t="str">
            <v>2545484-8</v>
          </cell>
          <cell r="D22" t="str">
            <v>Planta Tibitoc</v>
          </cell>
          <cell r="E22" t="str">
            <v>CERRO LAS ANTENAS</v>
          </cell>
        </row>
        <row r="23">
          <cell r="C23" t="str">
            <v>0763885-4</v>
          </cell>
          <cell r="D23" t="str">
            <v>Subcentral de Operaciones Santa Lucia</v>
          </cell>
          <cell r="E23" t="str">
            <v>SUBCENTRAL SANTA LUCIA</v>
          </cell>
        </row>
        <row r="24">
          <cell r="C24" t="str">
            <v>0762438-6</v>
          </cell>
          <cell r="D24" t="str">
            <v>Subcentral de Operaciones Usaquén Oriental</v>
          </cell>
          <cell r="E24" t="str">
            <v>USAQUEN</v>
          </cell>
        </row>
        <row r="25">
          <cell r="C25" t="str">
            <v>2538511-0</v>
          </cell>
          <cell r="D25" t="str">
            <v>Cerro Cascavita</v>
          </cell>
          <cell r="E25" t="str">
            <v>CERRO CASCAVITA - CORREGIMIENTO DE PASQUILLA</v>
          </cell>
        </row>
        <row r="26">
          <cell r="C26" t="str">
            <v>3075747-3</v>
          </cell>
          <cell r="D26" t="str">
            <v>Punto de Venta de Agua a Carrotanques Fontibón</v>
          </cell>
          <cell r="E26" t="str">
            <v>CARROTANQUES FONTIBON</v>
          </cell>
        </row>
        <row r="27">
          <cell r="C27" t="str">
            <v>3132317-0</v>
          </cell>
          <cell r="D27" t="str">
            <v>Predio Gibraltar</v>
          </cell>
          <cell r="E27" t="str">
            <v>LOTE GIBRALTAR</v>
          </cell>
        </row>
        <row r="28">
          <cell r="C28" t="str">
            <v>3605433-0</v>
          </cell>
          <cell r="D28" t="str">
            <v>Complejo San Rafael</v>
          </cell>
          <cell r="E28" t="str">
            <v>CERRO SAMPER</v>
          </cell>
        </row>
        <row r="29">
          <cell r="C29" t="str">
            <v>3566234-6</v>
          </cell>
          <cell r="D29" t="str">
            <v>Subcentral de Operaciones Santa Lucia</v>
          </cell>
          <cell r="E29" t="str">
            <v>EDIFICIO SANTA LUCIA</v>
          </cell>
        </row>
        <row r="30">
          <cell r="C30" t="str">
            <v>2528458-2</v>
          </cell>
          <cell r="D30" t="str">
            <v>Punto de Atención San Benito (Zona 4)</v>
          </cell>
          <cell r="E30" t="str">
            <v>CARRERA 19 C No. 55 SUR - 72</v>
          </cell>
        </row>
        <row r="31">
          <cell r="C31" t="str">
            <v>0763670-5</v>
          </cell>
          <cell r="D31" t="str">
            <v>Estación Acueducto Jalisco</v>
          </cell>
          <cell r="E31" t="str">
            <v>JALISCO</v>
          </cell>
        </row>
        <row r="32">
          <cell r="C32" t="str">
            <v>0763844-4</v>
          </cell>
          <cell r="D32" t="str">
            <v>Estación Acueducto Monteblanco</v>
          </cell>
          <cell r="E32" t="str">
            <v>MONTEBLANCO</v>
          </cell>
        </row>
        <row r="33">
          <cell r="C33" t="str">
            <v>0994755-0</v>
          </cell>
          <cell r="D33" t="str">
            <v>Estación Acueducto Paraíso 2</v>
          </cell>
          <cell r="E33" t="str">
            <v>PARAISO 2</v>
          </cell>
        </row>
        <row r="34">
          <cell r="C34" t="str">
            <v>0881150-2</v>
          </cell>
          <cell r="D34" t="str">
            <v>Estación Acueducto Pardo Rubio 2</v>
          </cell>
          <cell r="E34" t="str">
            <v>PARDO RUBIO 2</v>
          </cell>
        </row>
        <row r="35">
          <cell r="C35" t="str">
            <v>2447098-6</v>
          </cell>
          <cell r="D35" t="str">
            <v>Estación Acueducto Piedra Herrada</v>
          </cell>
          <cell r="E35" t="str">
            <v>BOMBEO PIEDRA HERRADA</v>
          </cell>
        </row>
        <row r="36">
          <cell r="C36" t="str">
            <v>0764043-9</v>
          </cell>
          <cell r="D36" t="str">
            <v>Estación Acueducto El Uval</v>
          </cell>
          <cell r="E36" t="str">
            <v>UVAL</v>
          </cell>
        </row>
        <row r="37">
          <cell r="C37" t="str">
            <v>2597916-3</v>
          </cell>
          <cell r="D37" t="str">
            <v>Estación Acueducto El Refugio</v>
          </cell>
          <cell r="E37" t="str">
            <v>EL REFUGIO - USME BOMBEO PROVISIONAL</v>
          </cell>
        </row>
        <row r="38">
          <cell r="C38" t="str">
            <v>2227514-8</v>
          </cell>
          <cell r="D38" t="str">
            <v>Estación Alcantarillado Pluvial La Alameda</v>
          </cell>
          <cell r="E38" t="str">
            <v>ALAMEDA FONTIBON</v>
          </cell>
        </row>
        <row r="39">
          <cell r="C39" t="str">
            <v>1734232-2</v>
          </cell>
          <cell r="D39" t="str">
            <v>Estación Alcantarillado Sanitario Britalia</v>
          </cell>
          <cell r="E39" t="str">
            <v>BRITALIA</v>
          </cell>
        </row>
        <row r="40">
          <cell r="C40" t="str">
            <v>2424080-0</v>
          </cell>
          <cell r="D40" t="str">
            <v>Estación Alcantarillado Sanitario Cartagenita Manzanares</v>
          </cell>
          <cell r="E40" t="str">
            <v>CARTAGENITA MANZANARES</v>
          </cell>
        </row>
        <row r="41">
          <cell r="C41" t="str">
            <v>1504033-4</v>
          </cell>
          <cell r="D41" t="str">
            <v>Estación Alcantarillado Sanitario Castilla</v>
          </cell>
          <cell r="E41" t="str">
            <v>CASTILLA</v>
          </cell>
        </row>
        <row r="42">
          <cell r="C42" t="str">
            <v>2137569-4</v>
          </cell>
          <cell r="D42" t="str">
            <v>Estación Alcantarillado Sanitario El Recreo</v>
          </cell>
          <cell r="E42" t="str">
            <v>CIUDADELA EL RECREO</v>
          </cell>
        </row>
        <row r="43">
          <cell r="C43" t="str">
            <v>2116341-9</v>
          </cell>
          <cell r="D43" t="str">
            <v>Estación Alcantarillado Sanitario Lisboa</v>
          </cell>
          <cell r="E43" t="str">
            <v>LISBOA</v>
          </cell>
        </row>
        <row r="44">
          <cell r="C44" t="str">
            <v>1714584-1</v>
          </cell>
          <cell r="D44" t="str">
            <v>Estación Alcantarillado Pluvial Navarra</v>
          </cell>
          <cell r="E44" t="str">
            <v>NAVARRA</v>
          </cell>
        </row>
        <row r="45">
          <cell r="C45" t="str">
            <v>2366335-6</v>
          </cell>
          <cell r="D45" t="str">
            <v>Estación Alcantarillado Pluvial Bilbao (Cafam)</v>
          </cell>
          <cell r="E45" t="str">
            <v>CAFAM</v>
          </cell>
        </row>
        <row r="46">
          <cell r="C46" t="str">
            <v>2763923-8</v>
          </cell>
          <cell r="D46" t="str">
            <v>Válvula DRMA Tocancipá-Gachancipá</v>
          </cell>
          <cell r="E46" t="str">
            <v>VALVULA DE ACUEDUCTO</v>
          </cell>
        </row>
        <row r="47">
          <cell r="C47" t="str">
            <v>2696450-7</v>
          </cell>
          <cell r="D47" t="str">
            <v>El Porvenir</v>
          </cell>
          <cell r="E47" t="str">
            <v>PORVENIR</v>
          </cell>
        </row>
        <row r="48">
          <cell r="C48" t="str">
            <v>1714571-8</v>
          </cell>
          <cell r="D48" t="str">
            <v>Estación Alcantarrillado Pluvial La Rivera</v>
          </cell>
          <cell r="E48" t="str">
            <v>RIVERA</v>
          </cell>
        </row>
        <row r="49">
          <cell r="C49" t="str">
            <v>2770092-0</v>
          </cell>
          <cell r="D49" t="str">
            <v>Pondaje Estación Fontanar</v>
          </cell>
          <cell r="E49" t="str">
            <v>PONDAJE ESTACION FONTANAR</v>
          </cell>
        </row>
        <row r="50">
          <cell r="C50" t="str">
            <v>2113141-2</v>
          </cell>
          <cell r="D50" t="str">
            <v>Estación Alcantarillado Sanitario Xochimilco</v>
          </cell>
          <cell r="E50" t="str">
            <v>XOCHIMILCO</v>
          </cell>
        </row>
        <row r="51">
          <cell r="C51" t="str">
            <v>3303464-4</v>
          </cell>
          <cell r="D51" t="str">
            <v>Pozo D Interceptor Fucha Tunjuelo</v>
          </cell>
          <cell r="E51" t="str">
            <v>POZO D</v>
          </cell>
        </row>
        <row r="52">
          <cell r="C52" t="str">
            <v>3286266-0</v>
          </cell>
          <cell r="D52" t="str">
            <v>Pozo K Interceptor Fucha Tunjuelo</v>
          </cell>
          <cell r="E52" t="str">
            <v>POZO K</v>
          </cell>
        </row>
        <row r="53">
          <cell r="C53" t="str">
            <v>3286268-4</v>
          </cell>
          <cell r="D53" t="str">
            <v>Pozo E Interceptor Fucha Tunjuelo</v>
          </cell>
          <cell r="E53" t="str">
            <v>POZO E</v>
          </cell>
        </row>
        <row r="54">
          <cell r="C54" t="str">
            <v>2657589-1</v>
          </cell>
          <cell r="D54" t="str">
            <v>Estación Alcantarillado Pluvial Transmilenio</v>
          </cell>
          <cell r="E54" t="str">
            <v>TRANSMILENIO NQS</v>
          </cell>
        </row>
        <row r="55">
          <cell r="C55" t="str">
            <v>3406059-1</v>
          </cell>
          <cell r="D55" t="str">
            <v>Macromedidor 303370 La Felicidad Sur</v>
          </cell>
          <cell r="E55" t="str">
            <v>LA FELICIDAD</v>
          </cell>
        </row>
        <row r="56">
          <cell r="C56" t="str">
            <v>3271436-2</v>
          </cell>
          <cell r="D56" t="str">
            <v>Estación Alcantarillado Sanitario Monteblanco</v>
          </cell>
          <cell r="E56" t="str">
            <v>MONTEBLANCO RESIDUALES</v>
          </cell>
        </row>
        <row r="57">
          <cell r="C57" t="str">
            <v>3196505-5</v>
          </cell>
          <cell r="D57" t="str">
            <v>Pozo B Interceptor Fucha Tunjuelo</v>
          </cell>
          <cell r="E57" t="str">
            <v>POZO B</v>
          </cell>
        </row>
        <row r="58">
          <cell r="C58" t="str">
            <v>3921051-3</v>
          </cell>
          <cell r="D58" t="str">
            <v>Estación Alcantarillado Pluvial La Alameda</v>
          </cell>
          <cell r="E58" t="str">
            <v>PONDAJE ALAMEDA</v>
          </cell>
        </row>
        <row r="59">
          <cell r="C59" t="str">
            <v>1709104-2</v>
          </cell>
          <cell r="D59" t="str">
            <v>Calle 80 Av Boyacá Granada Sur (454)</v>
          </cell>
          <cell r="E59" t="str">
            <v>MACROMEDIDOR CALLE 80</v>
          </cell>
        </row>
        <row r="60">
          <cell r="C60" t="str">
            <v>1709106-6</v>
          </cell>
          <cell r="D60" t="str">
            <v>Macromedidor MRM20404 Calle 82 Av Boyacá (856)</v>
          </cell>
          <cell r="E60" t="str">
            <v>MACROMEDIDOR CALLE 82</v>
          </cell>
        </row>
        <row r="61">
          <cell r="C61" t="str">
            <v>2133198-9</v>
          </cell>
          <cell r="D61" t="str">
            <v>Válvula DRMA V22 Autonorte Calle 129</v>
          </cell>
          <cell r="E61" t="str">
            <v>VALVULA 22</v>
          </cell>
        </row>
        <row r="62">
          <cell r="C62" t="str">
            <v>2133199-1</v>
          </cell>
          <cell r="D62" t="str">
            <v>Válvula DRMA V23 Autonorte Calle 129</v>
          </cell>
          <cell r="E62" t="str">
            <v>VALVULA 23</v>
          </cell>
        </row>
        <row r="63">
          <cell r="C63" t="str">
            <v>2164973-0</v>
          </cell>
          <cell r="D63" t="str">
            <v>Válvula DRMA V15A Autonorte Calle 189</v>
          </cell>
          <cell r="E63" t="str">
            <v>VALVULA 15 A</v>
          </cell>
        </row>
        <row r="64">
          <cell r="C64" t="str">
            <v>2164974-2</v>
          </cell>
          <cell r="D64" t="str">
            <v>Válvula DRMA V15 Autonorte Calle 232</v>
          </cell>
          <cell r="E64" t="str">
            <v>VALVULA 15</v>
          </cell>
        </row>
        <row r="65">
          <cell r="C65" t="str">
            <v>2164975-4</v>
          </cell>
          <cell r="D65" t="str">
            <v>Válvula DRMA V24 Autonorte Calle 92</v>
          </cell>
          <cell r="E65" t="str">
            <v>VALVULA 24</v>
          </cell>
        </row>
        <row r="66">
          <cell r="C66" t="str">
            <v>2167261-2</v>
          </cell>
          <cell r="D66" t="str">
            <v>Válvula DRMA V39 Av Boyacá Calle 80</v>
          </cell>
          <cell r="E66" t="str">
            <v>VALVULA 39</v>
          </cell>
        </row>
        <row r="67">
          <cell r="C67" t="str">
            <v>2167262-4</v>
          </cell>
          <cell r="D67" t="str">
            <v>Válvula DRMA V38 Av Boyacá Calle 127</v>
          </cell>
          <cell r="E67" t="str">
            <v>VALVULA 38</v>
          </cell>
        </row>
        <row r="68">
          <cell r="C68" t="str">
            <v>2167263-6</v>
          </cell>
          <cell r="D68" t="str">
            <v>Válvula DRMA V21A Autonorte Calle 148 Separador más Oriental</v>
          </cell>
          <cell r="E68" t="str">
            <v>VALVULA 21 A</v>
          </cell>
        </row>
        <row r="69">
          <cell r="C69" t="str">
            <v>2167264-8</v>
          </cell>
          <cell r="D69" t="str">
            <v>Válvula DRMA V21 Autonorte Calle 148 Separador más Occidental</v>
          </cell>
          <cell r="E69" t="str">
            <v>VALVULA 21</v>
          </cell>
        </row>
        <row r="70">
          <cell r="C70" t="str">
            <v>2170661-5</v>
          </cell>
          <cell r="D70" t="str">
            <v>Válvula DRMA V15B Autonorte Calle 153</v>
          </cell>
          <cell r="E70" t="str">
            <v>VALVULA 15 B</v>
          </cell>
        </row>
        <row r="71">
          <cell r="C71" t="str">
            <v>2176270-6</v>
          </cell>
          <cell r="D71" t="str">
            <v>Válvula DRMA V38A Av. Boyacá Diag 127</v>
          </cell>
          <cell r="E71" t="str">
            <v>VALVULA 38 A</v>
          </cell>
        </row>
        <row r="72">
          <cell r="C72" t="str">
            <v>2694437-7</v>
          </cell>
          <cell r="D72" t="str">
            <v>Macromedidor MM34 Carrera 22 Diag 61 SUR</v>
          </cell>
          <cell r="E72" t="str">
            <v>MM34 - MACROMEDIDORES - ET 1</v>
          </cell>
        </row>
        <row r="73">
          <cell r="C73" t="str">
            <v>2694438-9</v>
          </cell>
          <cell r="D73" t="str">
            <v>Equipo fuera de servicio</v>
          </cell>
          <cell r="E73" t="str">
            <v>MM1 - MACROMEDIDORES - ET 1</v>
          </cell>
        </row>
        <row r="74">
          <cell r="C74" t="str">
            <v>2694439-1</v>
          </cell>
          <cell r="D74" t="str">
            <v>Macromedidor MM28 Diag 53 BIS SUR 2D 32</v>
          </cell>
          <cell r="E74" t="str">
            <v>MM28 - MACROMEDIDORES - ET 1</v>
          </cell>
        </row>
        <row r="75">
          <cell r="C75" t="str">
            <v>2694440-0</v>
          </cell>
          <cell r="D75" t="str">
            <v>Macromedidor MM27 Diag 64A BIS SUR 17D 88</v>
          </cell>
          <cell r="E75" t="str">
            <v>MM27 - MACROMEDIDORES - ET 1</v>
          </cell>
        </row>
        <row r="76">
          <cell r="C76" t="str">
            <v>2694441-2</v>
          </cell>
          <cell r="D76" t="str">
            <v>Macromedidor MM26 Carrera 17M 67B 11 SUR</v>
          </cell>
          <cell r="E76" t="str">
            <v>MM26 - MACROMEDIDORES - ET 1</v>
          </cell>
        </row>
        <row r="77">
          <cell r="C77" t="str">
            <v>2694442-4</v>
          </cell>
          <cell r="D77" t="str">
            <v>Macromedidor MM35 Calle 67C SUR Carrera 18N BIS B</v>
          </cell>
          <cell r="E77" t="str">
            <v>MM35 - MACROMEDIDORES - ET 1</v>
          </cell>
        </row>
        <row r="78">
          <cell r="C78" t="str">
            <v>2694443-6</v>
          </cell>
          <cell r="D78" t="str">
            <v>Macromedidor MM40 Calle 71A SUR Carrera 18Q</v>
          </cell>
          <cell r="E78" t="str">
            <v>MM40 - MACROMEDIDORES - ET 1</v>
          </cell>
        </row>
        <row r="79">
          <cell r="C79" t="str">
            <v>2694444-8</v>
          </cell>
          <cell r="D79" t="str">
            <v>Macromedidor MM39 Diag 73A SUR 18K 08</v>
          </cell>
          <cell r="E79" t="str">
            <v>MM39 - MACROMEDIDORES - ET 1</v>
          </cell>
        </row>
        <row r="80">
          <cell r="C80" t="str">
            <v>2694445-0</v>
          </cell>
          <cell r="D80" t="str">
            <v>Macromedidor MM38 Carrera 18H 77A 03 SUR</v>
          </cell>
          <cell r="E80" t="str">
            <v>MM38 - MACROMEDIDORES - ET 1</v>
          </cell>
        </row>
        <row r="81">
          <cell r="C81" t="str">
            <v>2694446-2</v>
          </cell>
          <cell r="D81" t="str">
            <v>Macromedidor MM18 Diag 77A SUR 18H 24</v>
          </cell>
          <cell r="E81" t="str">
            <v>MM18 - MACROMEDIDORES - ET 1</v>
          </cell>
        </row>
        <row r="82">
          <cell r="C82" t="str">
            <v>2694447-4</v>
          </cell>
          <cell r="D82" t="str">
            <v>Macromedidor MM32 Carrera 18 Calle 76A SUR</v>
          </cell>
          <cell r="E82" t="str">
            <v>MM32 - MACROMEDIDORES - ET 1</v>
          </cell>
        </row>
        <row r="83">
          <cell r="C83" t="str">
            <v>2694448-6</v>
          </cell>
          <cell r="D83" t="str">
            <v>Equipo fuera de servicio</v>
          </cell>
          <cell r="E83" t="str">
            <v>MM30 - MACROMEDIDORES - ET 1</v>
          </cell>
        </row>
        <row r="84">
          <cell r="C84" t="str">
            <v>2694449-8</v>
          </cell>
          <cell r="D84" t="str">
            <v>Macromedidor MM43 Transv 40 73B 33 SUR</v>
          </cell>
          <cell r="E84" t="str">
            <v>MM43 - MACROMEDIDORES - ET 1</v>
          </cell>
        </row>
        <row r="85">
          <cell r="C85" t="str">
            <v>2694450-7</v>
          </cell>
          <cell r="D85" t="str">
            <v>Macromedidor MM45 Transv 48C Calle 69H SUR</v>
          </cell>
          <cell r="E85" t="str">
            <v>MM45 - MACROMEDIDORES - ET 1</v>
          </cell>
        </row>
        <row r="86">
          <cell r="C86" t="str">
            <v>2694451-9</v>
          </cell>
          <cell r="D86" t="str">
            <v>Macromedidor MM42 Carrea 73J Calle 69 B SUR</v>
          </cell>
          <cell r="E86" t="str">
            <v>MM42 - MACROMEDIDORES - ET 1</v>
          </cell>
        </row>
        <row r="87">
          <cell r="C87" t="str">
            <v>2694452-1</v>
          </cell>
          <cell r="D87" t="str">
            <v>Macromedidor MM8-3 Diag 32C SUR Transv 12G</v>
          </cell>
          <cell r="E87" t="str">
            <v>MM8-3 - MACROMEDIDORES  ET 1</v>
          </cell>
        </row>
        <row r="88">
          <cell r="C88" t="str">
            <v>2696052-7</v>
          </cell>
          <cell r="D88" t="str">
            <v>Macromedidor MM37 Autosur 60 10</v>
          </cell>
          <cell r="E88" t="str">
            <v>MM37 - MACROMEDIDORES - ET 1</v>
          </cell>
        </row>
        <row r="89">
          <cell r="C89" t="str">
            <v>2696053-9</v>
          </cell>
          <cell r="D89" t="str">
            <v>Macromedidor MM22 Autosur 61 51 SUR</v>
          </cell>
          <cell r="E89" t="str">
            <v>MM22 - MACROMEDIDORES - ET 1</v>
          </cell>
        </row>
        <row r="90">
          <cell r="C90" t="str">
            <v>2696054-1</v>
          </cell>
          <cell r="D90" t="str">
            <v>Macromedidor MZ41507 Calle 18 SUR Carrera 3 ESTE</v>
          </cell>
          <cell r="E90" t="str">
            <v>MM18-1 - MACROMEDIDORES - ET 1</v>
          </cell>
        </row>
        <row r="91">
          <cell r="C91" t="str">
            <v>2696055-3</v>
          </cell>
          <cell r="D91" t="str">
            <v>Macromedidor MM10 Transv 4 ESTE 36 05 SUR</v>
          </cell>
          <cell r="E91" t="str">
            <v>MM10 - MACROMEDIDORES - ET 1</v>
          </cell>
        </row>
        <row r="92">
          <cell r="C92" t="str">
            <v>2696056-5</v>
          </cell>
          <cell r="D92" t="str">
            <v>Macromedidor MM13 Carrera 12 ESTE 32A 12 SUR</v>
          </cell>
          <cell r="E92" t="str">
            <v>MM13 - MACROMEDIDORES ET - 1</v>
          </cell>
        </row>
        <row r="93">
          <cell r="C93" t="str">
            <v>2696057-7</v>
          </cell>
          <cell r="D93" t="str">
            <v>Macromedidor MM16 Carrera 11 ESTE Calle 39 SUR</v>
          </cell>
          <cell r="E93" t="str">
            <v>MM16 - MACROMEDIDORES- ET 1</v>
          </cell>
        </row>
        <row r="94">
          <cell r="C94" t="str">
            <v>2696058-9</v>
          </cell>
          <cell r="D94" t="str">
            <v>Macromedidor MM19 Carrera 16A ESTE Calle 41B SUR</v>
          </cell>
          <cell r="E94" t="str">
            <v>MM19 - MACROMEDIDORES - ET 1</v>
          </cell>
        </row>
        <row r="95">
          <cell r="C95" t="str">
            <v>2696059-1</v>
          </cell>
          <cell r="D95" t="str">
            <v>Macromedidor MM17 Calle 48X SUR Carrera 1</v>
          </cell>
          <cell r="E95" t="str">
            <v>MM17 - MACROMEDIDORES - ET 1</v>
          </cell>
        </row>
        <row r="96">
          <cell r="C96" t="str">
            <v>2742087-1</v>
          </cell>
          <cell r="D96" t="str">
            <v>KR 68 A # 39 I 85 SUR</v>
          </cell>
          <cell r="E96" t="str">
            <v>MACROMEDIDORES - ET 1 KR 68A NO 39I SUR 85</v>
          </cell>
        </row>
        <row r="97">
          <cell r="C97" t="str">
            <v>2742088-3</v>
          </cell>
          <cell r="D97" t="str">
            <v>CL 95 SUR 5 ESTE 00</v>
          </cell>
          <cell r="E97" t="str">
            <v>MACROMEDIDORES - ET 1 CL 95 SUR NO 5 ESTE - 00</v>
          </cell>
        </row>
        <row r="98">
          <cell r="C98" t="str">
            <v>2742089-5</v>
          </cell>
          <cell r="D98" t="str">
            <v>Macromedidor Calle 79 SUR 16 ESTE</v>
          </cell>
          <cell r="E98" t="str">
            <v>MACROMEDIDORES - ET 1 CL 79 SUR NO 16 ESTE 00</v>
          </cell>
        </row>
        <row r="99">
          <cell r="C99" t="str">
            <v>2522444-7</v>
          </cell>
          <cell r="D99" t="str">
            <v>Centro de Control Modelia</v>
          </cell>
          <cell r="E99" t="str">
            <v>EDIFICIO CENTRO DE CONTROL</v>
          </cell>
        </row>
        <row r="100">
          <cell r="C100" t="str">
            <v>2688878-7</v>
          </cell>
          <cell r="D100" t="str">
            <v>Macromedidor MM3 Carrera 51D BIS Calle 45A SUR</v>
          </cell>
          <cell r="E100" t="str">
            <v>MM3 - MACROMEDIDORES - ET 1</v>
          </cell>
        </row>
        <row r="101">
          <cell r="C101" t="str">
            <v>2688879-9</v>
          </cell>
          <cell r="D101" t="str">
            <v>Macromedidor MM4 Carrera 48 Calle 45 SUR</v>
          </cell>
          <cell r="E101" t="str">
            <v>MM4 - MACROMEDIDORES - ET 1</v>
          </cell>
        </row>
        <row r="102">
          <cell r="C102" t="str">
            <v>2688880-8</v>
          </cell>
          <cell r="D102" t="str">
            <v>Macromedidor MM5 Diag 52B SUR 55A 27</v>
          </cell>
          <cell r="E102" t="str">
            <v>MM5 - MACROMEDIDORES - ET 1</v>
          </cell>
        </row>
        <row r="103">
          <cell r="C103" t="str">
            <v>2688881-0</v>
          </cell>
          <cell r="D103" t="str">
            <v>Macromedidor MM6 Carrera 25 53B 29 SUR</v>
          </cell>
          <cell r="E103" t="str">
            <v>MM6 - MACROMEDIDORES - ET 1</v>
          </cell>
        </row>
        <row r="104">
          <cell r="C104" t="str">
            <v>2688882-2</v>
          </cell>
          <cell r="D104" t="str">
            <v>Macromedidor MM7 Carrera 19 Calle 55 SUR</v>
          </cell>
          <cell r="E104" t="str">
            <v>MM7 - MACROMEDIDORES - ET 1</v>
          </cell>
        </row>
        <row r="105">
          <cell r="C105" t="str">
            <v>2688883-4</v>
          </cell>
          <cell r="D105" t="str">
            <v>Macromedidor MM8 Carrera 1 41-04 SUR</v>
          </cell>
          <cell r="E105" t="str">
            <v>MM8 - MACROMEDIDORES - ET 1</v>
          </cell>
        </row>
        <row r="106">
          <cell r="C106" t="str">
            <v>2688884-6</v>
          </cell>
          <cell r="D106" t="str">
            <v>Macromedidor MM8-2 Carrera 6A Calle 37 SUR</v>
          </cell>
          <cell r="E106" t="str">
            <v>MM8-2 - MACROMEDIDORES - ET 1</v>
          </cell>
        </row>
        <row r="107">
          <cell r="C107" t="str">
            <v>2688885-8</v>
          </cell>
          <cell r="D107" t="str">
            <v>Macromedidores MM9 y MM11 Carrera 4 ESTE Calle 36 SUR COSTADO S.O.; Carrera 4 ESTE Calle 36 SUR</v>
          </cell>
          <cell r="E107" t="str">
            <v>MM11 Y MM9 - MACROMEDIDORES - ET 1</v>
          </cell>
        </row>
        <row r="108">
          <cell r="C108" t="str">
            <v>2688886-0</v>
          </cell>
          <cell r="D108" t="str">
            <v>Macromedidor MM12 Calle 36 SUR 3B ESTE 77</v>
          </cell>
          <cell r="E108" t="str">
            <v>MM12 - MACROMEDIDORES - ET 1</v>
          </cell>
        </row>
        <row r="109">
          <cell r="C109" t="str">
            <v>2688887-2</v>
          </cell>
          <cell r="D109" t="str">
            <v>Macromedidor MM15 Calle 32 SUR 8A 35 ESTE</v>
          </cell>
          <cell r="E109" t="str">
            <v>MM15 - MACROMEDIDORES - ET 1</v>
          </cell>
        </row>
        <row r="110">
          <cell r="C110" t="str">
            <v>2688888-4</v>
          </cell>
          <cell r="D110" t="str">
            <v>Macromedidor MM24 Call 92C SUR Carrera 1</v>
          </cell>
          <cell r="E110" t="str">
            <v>MM24 - MACROMEDIDORES - ET 1</v>
          </cell>
        </row>
        <row r="111">
          <cell r="C111" t="str">
            <v>2688889-6</v>
          </cell>
          <cell r="D111" t="str">
            <v>Macromedidor MM25 Diag 97A SUR Carrera 1A BIS ESTE</v>
          </cell>
          <cell r="E111" t="str">
            <v>MM25 - MACROMEDIDORES - ET 1</v>
          </cell>
        </row>
        <row r="112">
          <cell r="C112" t="str">
            <v>2688890-5</v>
          </cell>
          <cell r="D112" t="str">
            <v>Macromedidor MM25-3 Carrera 7 ESTE 86A 33 SUR</v>
          </cell>
          <cell r="E112" t="str">
            <v>MM25-3 - MACROMEDIDORES - ET 1</v>
          </cell>
        </row>
        <row r="113">
          <cell r="C113" t="str">
            <v>2688891-7</v>
          </cell>
          <cell r="D113" t="str">
            <v>Macromedidor MM31 Calle 65 SUR Transv 17</v>
          </cell>
          <cell r="E113" t="str">
            <v>MM31 - MACROMEDIDORES - ET 1</v>
          </cell>
        </row>
        <row r="114">
          <cell r="C114" t="str">
            <v>2688892-9</v>
          </cell>
          <cell r="D114" t="str">
            <v>Macromedidor MM41 Calle 36 SUR 0 - 20/22</v>
          </cell>
          <cell r="E114" t="str">
            <v>MM41 - MACROMEDIDORES - ET 1</v>
          </cell>
        </row>
        <row r="115">
          <cell r="C115" t="str">
            <v>2688951-5</v>
          </cell>
          <cell r="D115" t="str">
            <v>Macromedidor MM21 Calle 73A SUR Carrera 14 ESTE</v>
          </cell>
          <cell r="E115" t="str">
            <v>MM21 - MACROMEDIDORES - ET 1</v>
          </cell>
        </row>
        <row r="116">
          <cell r="C116" t="str">
            <v>2688952-7</v>
          </cell>
          <cell r="D116" t="str">
            <v>Macromedidor MM25-1 Calle 96 SUR 6F 04 ESTE</v>
          </cell>
          <cell r="E116" t="str">
            <v>MM25-1 - MACROMEDIDORES - ET 1</v>
          </cell>
        </row>
        <row r="117">
          <cell r="C117" t="str">
            <v>2688984-2</v>
          </cell>
          <cell r="D117" t="str">
            <v>Equipo fuera de servicio</v>
          </cell>
          <cell r="E117" t="str">
            <v>MM20 - MACROMEDIDORES - ET 1</v>
          </cell>
        </row>
        <row r="118">
          <cell r="C118" t="str">
            <v>1058119-3</v>
          </cell>
          <cell r="D118" t="str">
            <v>Estación Acueducto Alpes 2</v>
          </cell>
          <cell r="E118" t="str">
            <v>ALPES 2</v>
          </cell>
        </row>
        <row r="119">
          <cell r="C119" t="str">
            <v>2383345-6</v>
          </cell>
          <cell r="D119" t="str">
            <v>Estación Acueducto Bosque de Pinos</v>
          </cell>
          <cell r="E119" t="str">
            <v>TANQUE BOSQUE DE PINOS</v>
          </cell>
        </row>
        <row r="120">
          <cell r="C120" t="str">
            <v>1515732-3</v>
          </cell>
          <cell r="D120" t="str">
            <v>Estación Acueducto Unicerros</v>
          </cell>
          <cell r="E120" t="str">
            <v>UNICERROS 2 (TANQUE BOSQUES DEL MIRADOR)</v>
          </cell>
        </row>
        <row r="121">
          <cell r="C121" t="str">
            <v>0764090-8</v>
          </cell>
          <cell r="D121" t="str">
            <v>Estación Acueducto Casablanca</v>
          </cell>
          <cell r="E121" t="str">
            <v>TANQUE CASABLANCA</v>
          </cell>
        </row>
        <row r="122">
          <cell r="C122" t="str">
            <v>2210867-8</v>
          </cell>
          <cell r="D122" t="str">
            <v>Estación Acueducto Cerro Norte 5</v>
          </cell>
          <cell r="E122" t="str">
            <v>TANQUE CERRO NORTE 5</v>
          </cell>
        </row>
        <row r="123">
          <cell r="C123" t="str">
            <v>2120642-3</v>
          </cell>
          <cell r="D123" t="str">
            <v>Estación Acueducto Suba Nuevo</v>
          </cell>
          <cell r="E123" t="str">
            <v>NUEVO TANQUE SUBA</v>
          </cell>
        </row>
        <row r="124">
          <cell r="C124" t="str">
            <v>0763491-9</v>
          </cell>
          <cell r="D124" t="str">
            <v>Estación Acueducto Egipto</v>
          </cell>
          <cell r="E124" t="str">
            <v>TANQUE DE EGIPTO</v>
          </cell>
        </row>
        <row r="125">
          <cell r="C125" t="str">
            <v>2443540-5</v>
          </cell>
          <cell r="D125" t="str">
            <v>Estación Acueducto El Consuelo</v>
          </cell>
          <cell r="E125" t="str">
            <v>TANQUE EL CONSUELO</v>
          </cell>
        </row>
        <row r="126">
          <cell r="C126" t="str">
            <v>2213535-0</v>
          </cell>
          <cell r="D126" t="str">
            <v>Estación Acueducto El Paso</v>
          </cell>
          <cell r="E126" t="str">
            <v>TANQUE EL PASO</v>
          </cell>
        </row>
        <row r="127">
          <cell r="C127" t="str">
            <v>2264534-3</v>
          </cell>
          <cell r="D127" t="str">
            <v>Estación Acueducto El Silencio</v>
          </cell>
          <cell r="E127" t="str">
            <v>TANQUE EL SILENCIO</v>
          </cell>
        </row>
        <row r="128">
          <cell r="C128" t="str">
            <v>1096296-5</v>
          </cell>
          <cell r="D128" t="str">
            <v xml:space="preserve">Estación Acueducto Juan Rey </v>
          </cell>
          <cell r="E128" t="str">
            <v>TANQUE JUAN REY</v>
          </cell>
        </row>
        <row r="129">
          <cell r="C129" t="str">
            <v>2244642-4</v>
          </cell>
          <cell r="D129" t="str">
            <v>Estación Acueducto La Fiscala</v>
          </cell>
          <cell r="E129" t="str">
            <v>TANQUE LA FISCALA</v>
          </cell>
        </row>
        <row r="130">
          <cell r="C130" t="str">
            <v>2178674-8</v>
          </cell>
          <cell r="D130" t="str">
            <v>Estación Acueducto Piedra Herrada</v>
          </cell>
          <cell r="E130" t="str">
            <v>TANQUE PIEDRA HERRADA</v>
          </cell>
        </row>
        <row r="131">
          <cell r="C131" t="str">
            <v>1915633-1</v>
          </cell>
          <cell r="D131" t="str">
            <v>Estación Acueducto Quiba</v>
          </cell>
          <cell r="E131" t="str">
            <v>TANQUE QUIBA</v>
          </cell>
        </row>
        <row r="132">
          <cell r="C132" t="str">
            <v>2395163-8</v>
          </cell>
          <cell r="D132" t="str">
            <v>Estación Acueducto San Dionisio</v>
          </cell>
          <cell r="E132" t="str">
            <v>TANQUE SAN DIONISIO</v>
          </cell>
        </row>
        <row r="133">
          <cell r="C133" t="str">
            <v>2277133-6</v>
          </cell>
          <cell r="D133" t="str">
            <v>Complejo Santa Ana</v>
          </cell>
          <cell r="E133" t="str">
            <v>TANQUE SANTA ANA USAQUEN - PCH</v>
          </cell>
        </row>
        <row r="134">
          <cell r="C134" t="str">
            <v>1995853-9</v>
          </cell>
          <cell r="D134" t="str">
            <v>Estación Acueducto Sierra Morena 3</v>
          </cell>
          <cell r="E134" t="str">
            <v>TANQUE SIERRA MORENA 3</v>
          </cell>
        </row>
        <row r="135">
          <cell r="C135" t="str">
            <v>2366529-9</v>
          </cell>
          <cell r="D135" t="str">
            <v>Estación Acueducto Suba Alto</v>
          </cell>
          <cell r="E135" t="str">
            <v>TANQUE SUBA ALTO</v>
          </cell>
        </row>
        <row r="136">
          <cell r="C136" t="str">
            <v>2366540-5</v>
          </cell>
          <cell r="D136" t="str">
            <v>Estación Acueducto Suba Medio</v>
          </cell>
          <cell r="E136" t="str">
            <v>TANQUE SUBA MEDIO</v>
          </cell>
        </row>
        <row r="137">
          <cell r="C137" t="str">
            <v>3258827-8</v>
          </cell>
          <cell r="D137" t="str">
            <v xml:space="preserve">Estación Acueducto Ciudadela Sucre Alto </v>
          </cell>
          <cell r="E137" t="str">
            <v>TANQUE ALTO SUCRE</v>
          </cell>
        </row>
        <row r="138">
          <cell r="C138" t="str">
            <v>3440196-5</v>
          </cell>
          <cell r="D138" t="str">
            <v>Estación Acueducto Nuevo Usaquén</v>
          </cell>
          <cell r="E138" t="str">
            <v>TANQUE NUEVO USAQUEN</v>
          </cell>
        </row>
        <row r="139">
          <cell r="C139" t="str">
            <v>0763364-8</v>
          </cell>
          <cell r="D139" t="str">
            <v>Estación Acueducto Unicerros</v>
          </cell>
          <cell r="E139" t="str">
            <v>UNICERROS</v>
          </cell>
        </row>
        <row r="140">
          <cell r="C140" t="str">
            <v>3398495-8</v>
          </cell>
          <cell r="D140" t="str">
            <v xml:space="preserve">Estación Acueducto Santo Domingo </v>
          </cell>
          <cell r="E140" t="str">
            <v>TANQUE SANTO DOMINGO</v>
          </cell>
        </row>
        <row r="141">
          <cell r="C141" t="str">
            <v>3923122-0</v>
          </cell>
          <cell r="D141" t="str">
            <v>Estación Acueducto Paraíso 3</v>
          </cell>
          <cell r="E141" t="str">
            <v>PARAISO III</v>
          </cell>
        </row>
        <row r="142">
          <cell r="C142" t="str">
            <v>0873807-9</v>
          </cell>
          <cell r="D142" t="str">
            <v>Complejo San Rafael</v>
          </cell>
          <cell r="E142" t="str">
            <v>ALUMBRADO SAN RAFAELITO</v>
          </cell>
        </row>
        <row r="143">
          <cell r="C143" t="str">
            <v>2451543-5</v>
          </cell>
          <cell r="D143" t="str">
            <v>Complejo San Rafael</v>
          </cell>
          <cell r="E143" t="str">
            <v>ALUMBRADO VALVULA DE FONDO - SAN RAFAEL</v>
          </cell>
        </row>
        <row r="144">
          <cell r="C144" t="str">
            <v>2093173-6</v>
          </cell>
          <cell r="D144" t="str">
            <v>Complejo San Rafael</v>
          </cell>
          <cell r="E144" t="str">
            <v>CASA No. 5</v>
          </cell>
        </row>
        <row r="145">
          <cell r="C145" t="str">
            <v>0873840-3</v>
          </cell>
          <cell r="D145" t="str">
            <v>Complejo San Rafael</v>
          </cell>
          <cell r="E145" t="str">
            <v>CASA BUDAPEST</v>
          </cell>
        </row>
        <row r="146">
          <cell r="C146" t="str">
            <v>2451237-8</v>
          </cell>
          <cell r="D146" t="str">
            <v xml:space="preserve">Casa Rosada </v>
          </cell>
          <cell r="E146" t="str">
            <v>CASA ROSADA</v>
          </cell>
        </row>
        <row r="147">
          <cell r="C147" t="str">
            <v>2451538-8</v>
          </cell>
          <cell r="D147" t="str">
            <v>Casa Santa Bárbara Oriental</v>
          </cell>
          <cell r="E147" t="str">
            <v>CASA SANTA BARBARA ORIENTAL</v>
          </cell>
        </row>
        <row r="148">
          <cell r="C148" t="str">
            <v>2451081-9</v>
          </cell>
          <cell r="D148" t="str">
            <v>Casa El Tacho</v>
          </cell>
          <cell r="E148" t="str">
            <v>CASA TACHO - LA ESPERANZA</v>
          </cell>
        </row>
        <row r="149">
          <cell r="C149" t="str">
            <v>2451078-6</v>
          </cell>
          <cell r="D149" t="str">
            <v>Complejo San Rafael</v>
          </cell>
          <cell r="E149" t="str">
            <v>CASETA DE VIGILANCIA - SAN RAFAEL</v>
          </cell>
        </row>
        <row r="150">
          <cell r="C150" t="str">
            <v>0764571-6</v>
          </cell>
          <cell r="D150" t="str">
            <v>Complejo San Rafael</v>
          </cell>
          <cell r="E150" t="str">
            <v>FINCA EL CARMEN</v>
          </cell>
        </row>
        <row r="151">
          <cell r="C151" t="str">
            <v>0874426-2</v>
          </cell>
          <cell r="D151" t="str">
            <v>Casa El Rodeo</v>
          </cell>
          <cell r="E151" t="str">
            <v>FINCA LOS PINOS - LA CALERA</v>
          </cell>
        </row>
        <row r="152">
          <cell r="C152" t="str">
            <v>0873776-0</v>
          </cell>
          <cell r="D152" t="str">
            <v>Complejo San Rafael - Casa La Esperanza</v>
          </cell>
          <cell r="E152" t="str">
            <v>FINCA NUEVO ALISAL</v>
          </cell>
        </row>
        <row r="153">
          <cell r="C153" t="str">
            <v>0764598-4</v>
          </cell>
          <cell r="D153" t="str">
            <v>Complejo Chingaza. VERIFICAR CUENTA. PUEDE SER DE LA WIESNER</v>
          </cell>
          <cell r="E153" t="str">
            <v>SUBCENTRAL STA ROSA - CHINGAZA</v>
          </cell>
        </row>
        <row r="154">
          <cell r="C154" t="str">
            <v>2313784-8</v>
          </cell>
          <cell r="D154" t="str">
            <v>Casa Aposentos</v>
          </cell>
          <cell r="E154" t="str">
            <v>VEREDA APOSENTOS</v>
          </cell>
        </row>
        <row r="155">
          <cell r="C155" t="str">
            <v>0976752-6</v>
          </cell>
          <cell r="D155" t="str">
            <v>Casa San Luis</v>
          </cell>
          <cell r="E155" t="str">
            <v>SAN LUIS</v>
          </cell>
        </row>
        <row r="156">
          <cell r="C156" t="str">
            <v>2312895-8</v>
          </cell>
          <cell r="D156" t="str">
            <v>Planta Tibitoc</v>
          </cell>
          <cell r="E156" t="str">
            <v>BAJO TEUSACA</v>
          </cell>
        </row>
        <row r="157">
          <cell r="C157" t="str">
            <v>0764578-0</v>
          </cell>
          <cell r="D157" t="str">
            <v>Casa El Rodeo</v>
          </cell>
          <cell r="E157" t="str">
            <v>BOMBEO EL RODEO 1</v>
          </cell>
        </row>
        <row r="158">
          <cell r="C158" t="str">
            <v>0874425-0</v>
          </cell>
          <cell r="D158" t="str">
            <v>Casa El Rodeo</v>
          </cell>
          <cell r="E158" t="str">
            <v>BOMBEO EL RODEO 2</v>
          </cell>
        </row>
        <row r="159">
          <cell r="C159" t="str">
            <v>1071991-4</v>
          </cell>
          <cell r="D159" t="str">
            <v>Estación Acueducto Cerro Norte 2</v>
          </cell>
          <cell r="E159" t="str">
            <v>CERRO NORTE 2</v>
          </cell>
        </row>
        <row r="160">
          <cell r="C160" t="str">
            <v>1071989-3</v>
          </cell>
          <cell r="D160" t="str">
            <v>Estación Acueducto Cerro Norte 3</v>
          </cell>
          <cell r="E160" t="str">
            <v>CERRO NORTE 3</v>
          </cell>
        </row>
        <row r="161">
          <cell r="C161" t="str">
            <v>1071990-2</v>
          </cell>
          <cell r="D161" t="str">
            <v>Estación Acueducto Cerro Norte 4</v>
          </cell>
          <cell r="E161" t="str">
            <v>CERRO NORTE 4</v>
          </cell>
        </row>
        <row r="162">
          <cell r="C162" t="str">
            <v>1897089-1</v>
          </cell>
          <cell r="D162" t="str">
            <v>Estación Acueducto Codito 2</v>
          </cell>
          <cell r="E162" t="str">
            <v>CODITO 2</v>
          </cell>
        </row>
        <row r="163">
          <cell r="C163" t="str">
            <v>2107150-3</v>
          </cell>
          <cell r="D163" t="str">
            <v>Estación Acueducto Codito 3</v>
          </cell>
          <cell r="E163" t="str">
            <v>CODITO 3 (BOMBEO COMUNAL)</v>
          </cell>
        </row>
        <row r="164">
          <cell r="C164" t="str">
            <v>2451549-7</v>
          </cell>
          <cell r="D164" t="str">
            <v>Complejo San Rafael</v>
          </cell>
          <cell r="E164" t="str">
            <v>SAN RAFAELITO</v>
          </cell>
        </row>
        <row r="165">
          <cell r="C165" t="str">
            <v>1069283-5</v>
          </cell>
          <cell r="D165" t="str">
            <v>Estación Acueducto Cerro Norte 1</v>
          </cell>
          <cell r="E165" t="str">
            <v>CERRO NORTE 1</v>
          </cell>
        </row>
        <row r="166">
          <cell r="C166" t="str">
            <v>9962709-9</v>
          </cell>
          <cell r="D166" t="str">
            <v>Estación Acueducto Codito 1</v>
          </cell>
          <cell r="E166" t="str">
            <v>CODITO 1</v>
          </cell>
        </row>
        <row r="167">
          <cell r="C167" t="str">
            <v>1071988-1</v>
          </cell>
          <cell r="D167" t="str">
            <v>Estación Acueducto Soratama 1</v>
          </cell>
          <cell r="E167" t="str">
            <v>SORATAMA</v>
          </cell>
        </row>
        <row r="168">
          <cell r="C168" t="str">
            <v>2757369-8</v>
          </cell>
          <cell r="D168" t="str">
            <v>Complejo San Rafael</v>
          </cell>
          <cell r="E168" t="str">
            <v>ACUEDUCTO INTERVEREDAL 1 LA CALERA</v>
          </cell>
        </row>
        <row r="169">
          <cell r="C169" t="str">
            <v>2746039-0</v>
          </cell>
          <cell r="D169" t="str">
            <v>Complejo San Rafael</v>
          </cell>
          <cell r="E169" t="str">
            <v>ACUEDUCTO INTERVEDERAL 2 LA CALERA</v>
          </cell>
        </row>
        <row r="170">
          <cell r="C170" t="str">
            <v>2224099-9</v>
          </cell>
          <cell r="D170" t="str">
            <v>Estación Acueducto Casablanca</v>
          </cell>
          <cell r="E170" t="str">
            <v>CONTROL CASABLANCA</v>
          </cell>
        </row>
        <row r="171">
          <cell r="C171" t="str">
            <v>1078512-1</v>
          </cell>
          <cell r="D171" t="str">
            <v>Estación Acueducto Chicó Alto</v>
          </cell>
          <cell r="E171" t="str">
            <v>CONTROL CHICO</v>
          </cell>
        </row>
        <row r="172">
          <cell r="C172" t="str">
            <v>0941573-3</v>
          </cell>
          <cell r="D172" t="str">
            <v>Estación Acueducto Parque Nacional</v>
          </cell>
          <cell r="E172" t="str">
            <v>CONTROL PARQUE NACIONAL</v>
          </cell>
        </row>
        <row r="173">
          <cell r="C173" t="str">
            <v>1045170-8</v>
          </cell>
          <cell r="D173" t="str">
            <v xml:space="preserve">Estación Acueducto Santa Fe </v>
          </cell>
          <cell r="E173" t="str">
            <v>CONTROL SANTA FE</v>
          </cell>
        </row>
        <row r="174">
          <cell r="C174" t="str">
            <v>0763635-7</v>
          </cell>
          <cell r="D174" t="str">
            <v>Subcentral de Operaciones Santa Lucia</v>
          </cell>
          <cell r="E174" t="str">
            <v>CONTROL SANTA LUCIA</v>
          </cell>
        </row>
        <row r="175">
          <cell r="C175" t="str">
            <v>2264533-1</v>
          </cell>
          <cell r="D175" t="str">
            <v>Estación Acueducto El Silencio</v>
          </cell>
          <cell r="E175" t="str">
            <v>CONTROL SILENCIO</v>
          </cell>
        </row>
        <row r="176">
          <cell r="C176" t="str">
            <v>0939973-3</v>
          </cell>
          <cell r="D176" t="str">
            <v xml:space="preserve">Complejo San Diego </v>
          </cell>
          <cell r="E176" t="str">
            <v>PLANTA DE TRATAMIENTO SAN DIEGO</v>
          </cell>
        </row>
        <row r="177">
          <cell r="C177" t="str">
            <v>2229072-6</v>
          </cell>
          <cell r="D177" t="str">
            <v>Planta Yomasa</v>
          </cell>
          <cell r="E177" t="str">
            <v>PLANTA DE TRATAMIENTO YOMASA</v>
          </cell>
        </row>
        <row r="178">
          <cell r="C178" t="str">
            <v>0763501-2</v>
          </cell>
          <cell r="D178" t="str">
            <v>Planta La Laguna</v>
          </cell>
          <cell r="E178" t="str">
            <v>PLANTA LA LAGUNA</v>
          </cell>
        </row>
        <row r="179">
          <cell r="C179" t="str">
            <v>0762221-3</v>
          </cell>
          <cell r="D179" t="str">
            <v>Estación Acueducto El Silencio</v>
          </cell>
          <cell r="E179" t="str">
            <v>PORTAL DEL SILENCIO</v>
          </cell>
        </row>
        <row r="180">
          <cell r="C180" t="str">
            <v>0763469-4</v>
          </cell>
          <cell r="D180" t="str">
            <v>Estación Acueducto El Tauro</v>
          </cell>
          <cell r="E180" t="str">
            <v>PORTAL TAURO</v>
          </cell>
        </row>
        <row r="181">
          <cell r="C181" t="str">
            <v>0761075-9</v>
          </cell>
          <cell r="D181" t="str">
            <v>Casa La Alemana</v>
          </cell>
          <cell r="E181" t="str">
            <v>ANTIGUA CERVECERA ALEMANA</v>
          </cell>
        </row>
        <row r="182">
          <cell r="C182" t="str">
            <v>0764079-2</v>
          </cell>
          <cell r="D182" t="str">
            <v>Casa La Australia</v>
          </cell>
          <cell r="E182" t="str">
            <v>AUSTRALIA Y SAN BENITO</v>
          </cell>
        </row>
        <row r="183">
          <cell r="C183" t="str">
            <v>0764082-5</v>
          </cell>
          <cell r="D183" t="str">
            <v>Casa El Carrizal</v>
          </cell>
          <cell r="E183" t="str">
            <v>CARRISAL</v>
          </cell>
        </row>
        <row r="184">
          <cell r="C184" t="str">
            <v>2443799-0</v>
          </cell>
          <cell r="D184" t="str">
            <v>Casa Cadillal</v>
          </cell>
          <cell r="E184" t="str">
            <v>CASA EL CADILLAL</v>
          </cell>
        </row>
        <row r="185">
          <cell r="C185" t="str">
            <v>2451084-5</v>
          </cell>
          <cell r="D185" t="str">
            <v>Casa El Molino</v>
          </cell>
          <cell r="E185" t="str">
            <v>CASA EL MOLINO</v>
          </cell>
        </row>
        <row r="186">
          <cell r="C186" t="str">
            <v>0764076-6</v>
          </cell>
          <cell r="D186" t="str">
            <v>Casa El Hato</v>
          </cell>
          <cell r="E186" t="str">
            <v>CASA EL TESORO</v>
          </cell>
        </row>
        <row r="187">
          <cell r="C187" t="str">
            <v>2050175-9</v>
          </cell>
          <cell r="D187" t="str">
            <v>Complejo Santa Ana</v>
          </cell>
          <cell r="E187" t="str">
            <v>CASA GUARDABOSQUE SANTA ANA</v>
          </cell>
        </row>
        <row r="188">
          <cell r="C188" t="str">
            <v>2443798-8</v>
          </cell>
          <cell r="D188" t="str">
            <v>Casa Santa Isabel</v>
          </cell>
          <cell r="E188" t="str">
            <v>CASA SANTA ISABEL</v>
          </cell>
        </row>
        <row r="189">
          <cell r="C189" t="str">
            <v>1997932-9</v>
          </cell>
          <cell r="D189" t="str">
            <v>Embalse La Regadera</v>
          </cell>
          <cell r="E189" t="str">
            <v>REGADERA ILUMINACION</v>
          </cell>
        </row>
        <row r="190">
          <cell r="C190" t="str">
            <v>2366768-7</v>
          </cell>
          <cell r="D190" t="str">
            <v>Casa La Upata</v>
          </cell>
          <cell r="E190" t="str">
            <v>DECANTADORES SAN CRISTOBAL</v>
          </cell>
        </row>
        <row r="191">
          <cell r="C191" t="str">
            <v>2219961-7</v>
          </cell>
          <cell r="D191" t="str">
            <v>Casa El Arzobispo</v>
          </cell>
          <cell r="E191" t="str">
            <v>CASA EL ARZOBISPO</v>
          </cell>
        </row>
        <row r="192">
          <cell r="C192" t="str">
            <v>2439212-6</v>
          </cell>
          <cell r="D192" t="str">
            <v>Casa El Refugio</v>
          </cell>
          <cell r="E192" t="str">
            <v>CASA EL REFUGIO</v>
          </cell>
        </row>
        <row r="193">
          <cell r="C193" t="str">
            <v>2157563-0</v>
          </cell>
          <cell r="D193" t="str">
            <v>Casa El Ariari</v>
          </cell>
          <cell r="E193" t="str">
            <v>FINCA EL ARIARI USME</v>
          </cell>
        </row>
        <row r="194">
          <cell r="C194" t="str">
            <v>2504408-9</v>
          </cell>
          <cell r="D194" t="str">
            <v xml:space="preserve">Casa El Boquerón </v>
          </cell>
          <cell r="E194" t="str">
            <v>FINCA EL BOQUERON</v>
          </cell>
        </row>
        <row r="195">
          <cell r="C195" t="str">
            <v>2504403-9</v>
          </cell>
          <cell r="D195" t="str">
            <v>Casa El Granizo</v>
          </cell>
          <cell r="E195" t="str">
            <v>FINCA EL GRANIZO</v>
          </cell>
        </row>
        <row r="196">
          <cell r="C196" t="str">
            <v>2353638-1</v>
          </cell>
          <cell r="D196" t="str">
            <v>Casa Isla del Sol</v>
          </cell>
          <cell r="E196" t="str">
            <v>FINCA ISLA DEL SOL</v>
          </cell>
        </row>
        <row r="197">
          <cell r="C197" t="str">
            <v>2591600-6</v>
          </cell>
          <cell r="D197" t="str">
            <v>Complejo San Rafael</v>
          </cell>
          <cell r="E197" t="str">
            <v>FINCA SAN JOSÉ</v>
          </cell>
        </row>
        <row r="198">
          <cell r="C198" t="str">
            <v>0763468-2</v>
          </cell>
          <cell r="D198" t="str">
            <v>Casa Quebrada La Vieja</v>
          </cell>
          <cell r="E198" t="str">
            <v>QUEBRADA LA VIEJA</v>
          </cell>
        </row>
        <row r="199">
          <cell r="C199" t="str">
            <v>1911500-8</v>
          </cell>
          <cell r="D199" t="str">
            <v>Embalse La Regadera</v>
          </cell>
          <cell r="E199" t="str">
            <v>REGADERA</v>
          </cell>
        </row>
        <row r="200">
          <cell r="C200" t="str">
            <v>1116642-7</v>
          </cell>
          <cell r="D200" t="str">
            <v>Casa El Salitre</v>
          </cell>
          <cell r="E200" t="str">
            <v>SALITRE - Z TOPON</v>
          </cell>
        </row>
        <row r="201">
          <cell r="C201" t="str">
            <v>0764078-0</v>
          </cell>
          <cell r="D201" t="str">
            <v>Casa Santa Bárbara</v>
          </cell>
          <cell r="E201" t="str">
            <v>SANTA BARBARA</v>
          </cell>
        </row>
        <row r="202">
          <cell r="C202" t="str">
            <v>0764081-3</v>
          </cell>
          <cell r="D202" t="str">
            <v>Casa Santuario</v>
          </cell>
          <cell r="E202" t="str">
            <v>SANTUARIO - CASA MAQUINAS</v>
          </cell>
        </row>
        <row r="203">
          <cell r="C203" t="str">
            <v>2302890-4</v>
          </cell>
          <cell r="D203" t="str">
            <v>Estación Acueducto San Dionisio</v>
          </cell>
          <cell r="E203" t="str">
            <v>TANQUE SAN DIONISIO - GUARDABOSQUE</v>
          </cell>
        </row>
        <row r="204">
          <cell r="C204" t="str">
            <v>2591324-0</v>
          </cell>
          <cell r="D204" t="str">
            <v>Casa El Hato</v>
          </cell>
          <cell r="E204" t="str">
            <v>CASA EL HATO</v>
          </cell>
        </row>
        <row r="205">
          <cell r="C205" t="str">
            <v>2511749-6</v>
          </cell>
          <cell r="D205" t="str">
            <v>Embalse Cantarrana</v>
          </cell>
          <cell r="E205" t="str">
            <v>PRESA CANTARRANA</v>
          </cell>
        </row>
        <row r="206">
          <cell r="C206" t="str">
            <v>1734221-3</v>
          </cell>
          <cell r="D206" t="str">
            <v>Casa El Saucedal</v>
          </cell>
          <cell r="E206" t="str">
            <v>SAUCEDAL - GUARDABOSQUES</v>
          </cell>
        </row>
        <row r="207">
          <cell r="C207" t="str">
            <v>2551475-7</v>
          </cell>
          <cell r="D207" t="str">
            <v>Predio Hacienda Tequendama</v>
          </cell>
          <cell r="E207" t="str">
            <v>PTAR SALITRE - HACIENDA TEQUENDAMA</v>
          </cell>
        </row>
        <row r="208">
          <cell r="C208" t="str">
            <v>2723988-4</v>
          </cell>
          <cell r="D208" t="str">
            <v>Válvula DRMA Calle 76A</v>
          </cell>
          <cell r="E208" t="str">
            <v>VALVULA SUBTERRANEA-E CL 76A</v>
          </cell>
        </row>
        <row r="209">
          <cell r="C209" t="str">
            <v>2723992-9</v>
          </cell>
          <cell r="D209" t="str">
            <v>Válvula DRMA Carrera 2 Este Sur Calle 22</v>
          </cell>
          <cell r="E209" t="str">
            <v>VALVULA SUBTERRANEA-E KR 2 ESTE</v>
          </cell>
        </row>
        <row r="210">
          <cell r="C210" t="str">
            <v>2723991-7</v>
          </cell>
          <cell r="D210" t="str">
            <v>Estación Acueducto Pardo Rubio 3</v>
          </cell>
          <cell r="E210" t="str">
            <v>VALVULA SUBTERRANEA-E TK. PARDO RUBIO III</v>
          </cell>
        </row>
        <row r="211">
          <cell r="C211" t="str">
            <v>2723989-6</v>
          </cell>
          <cell r="D211" t="str">
            <v>Válvula DRMA Chicó Dakota</v>
          </cell>
          <cell r="E211" t="str">
            <v>VALVULA SUBTERRANEA-E KR 3</v>
          </cell>
        </row>
        <row r="212">
          <cell r="C212" t="str">
            <v>2723993-1</v>
          </cell>
          <cell r="D212" t="str">
            <v>Macromedidor Guaymaral Autonorte Calle 235</v>
          </cell>
          <cell r="E212" t="str">
            <v>MACROMEDIDOR DE CAUDAL AV AUT NORTE</v>
          </cell>
        </row>
        <row r="213">
          <cell r="C213" t="str">
            <v>2723987-2</v>
          </cell>
          <cell r="D213" t="str">
            <v>Válvula DRMA Calle 151 Carrera 9</v>
          </cell>
          <cell r="E213" t="str">
            <v>VALVULA SUBTERRANEA-E CL 151</v>
          </cell>
        </row>
        <row r="214">
          <cell r="C214" t="str">
            <v>2723986-0</v>
          </cell>
          <cell r="D214" t="str">
            <v>Válvula DRMA Carrera 30 30 Calle 80</v>
          </cell>
          <cell r="E214" t="str">
            <v>VALVULA SUBTERRANEA-E AK 30</v>
          </cell>
        </row>
        <row r="215">
          <cell r="C215" t="str">
            <v>2723985-8</v>
          </cell>
          <cell r="D215" t="str">
            <v>Válvula DRMA Las Lomas Carrera 10 Sur Calle 42</v>
          </cell>
          <cell r="E215" t="str">
            <v>VALVULA SUBTERRANEA-E KR 10</v>
          </cell>
        </row>
        <row r="216">
          <cell r="C216" t="str">
            <v>2723990-5</v>
          </cell>
          <cell r="D216" t="str">
            <v>Válvula DRMA Calle 22 Carrera 6</v>
          </cell>
          <cell r="E216" t="str">
            <v>VALVULA SUBTERRANEA-E CL 22</v>
          </cell>
        </row>
        <row r="217">
          <cell r="C217" t="str">
            <v>3364459-6</v>
          </cell>
          <cell r="D217" t="str">
            <v>Macromedidor MRM31104 Carrera 36 Calle 6</v>
          </cell>
          <cell r="E217" t="str">
            <v>MACROMEDIDOR DE CAUDAL KRA  36  #  6  00  ZONA 3</v>
          </cell>
        </row>
        <row r="218">
          <cell r="C218" t="str">
            <v>3364460-5</v>
          </cell>
          <cell r="D218" t="str">
            <v>Macromedidor MZ31607 (316210) El Progreso</v>
          </cell>
          <cell r="E218" t="str">
            <v>MACROMEDIDOR DE CAUDAL CALLE 6  #   21  00  ZONA 3</v>
          </cell>
        </row>
        <row r="219">
          <cell r="C219" t="str">
            <v>3364461-7</v>
          </cell>
          <cell r="D219" t="str">
            <v>Macromedidor MZ31609 (316240) San Antonio</v>
          </cell>
          <cell r="E219" t="str">
            <v>MACROMEDIDOR DE CAUDAL CALLE  10 SUR  #   18  00  ZONA 3</v>
          </cell>
        </row>
        <row r="220">
          <cell r="C220" t="str">
            <v>3366915-0</v>
          </cell>
          <cell r="D220" t="str">
            <v>Macromedidor MZ31208 (312120) Salitre Occidental</v>
          </cell>
          <cell r="E220" t="str">
            <v>MACROMEDIDOR DE CAUDAL DIAGONAL  22  #   68  00  ZONA 3</v>
          </cell>
        </row>
        <row r="221">
          <cell r="C221" t="str">
            <v>3402840-4</v>
          </cell>
          <cell r="D221" t="str">
            <v>Macromedidor MZ31212 Carrera 70B Calle 13</v>
          </cell>
          <cell r="E221" t="str">
            <v>MACROMEDIDOR KR 70 B CON CL 13 LC1</v>
          </cell>
        </row>
        <row r="222">
          <cell r="C222" t="str">
            <v>3448084-8</v>
          </cell>
          <cell r="D222" t="str">
            <v>Macromedidor MZ30323 Av Centenario Carrera 96</v>
          </cell>
          <cell r="E222" t="str">
            <v>MACROMEDIDOR AV CENTENARIO CON CRA 96 LC 1   ZONA 3</v>
          </cell>
        </row>
        <row r="223">
          <cell r="C223" t="str">
            <v>3448080-0</v>
          </cell>
          <cell r="D223" t="str">
            <v>Macromedidor MZ31604 (316110) Restrepo</v>
          </cell>
          <cell r="E223" t="str">
            <v>MACROMEDIDOR CL 14 SUR CON KR 16 LC 1  ZONA 3</v>
          </cell>
        </row>
        <row r="224">
          <cell r="C224" t="str">
            <v>3453635-0</v>
          </cell>
          <cell r="D224" t="str">
            <v>Macromedidor MZ31206 (312220) Granjas Techo Norte</v>
          </cell>
          <cell r="E224" t="str">
            <v>MACROMEDIDOR AV DIG 22 CON AK 68 LC 1 ZONA 3</v>
          </cell>
        </row>
        <row r="225">
          <cell r="C225" t="str">
            <v>3467483-3</v>
          </cell>
          <cell r="D225" t="str">
            <v>Macromedidor MZ31605 (316130) San José Sur</v>
          </cell>
          <cell r="E225" t="str">
            <v>MACROMEDIDOR CL 27 SUR CON KR 14 LC 1 ZONA 3</v>
          </cell>
        </row>
        <row r="226">
          <cell r="C226" t="str">
            <v>3448081-2</v>
          </cell>
          <cell r="D226" t="str">
            <v>Macromedidor MZ31612 (316322) Estanzuela</v>
          </cell>
          <cell r="E226" t="str">
            <v>MACROMEDIDOR CL 8 POR KR 21 LC 1  ZONA 3</v>
          </cell>
        </row>
        <row r="227">
          <cell r="C227" t="str">
            <v>3448083-6</v>
          </cell>
          <cell r="D227" t="str">
            <v>Macromedidor MZ31611 (316310) Paloquemao</v>
          </cell>
          <cell r="E227" t="str">
            <v>MACROMEDIDOR AV CALLE 13 CON CRA 22 LOC 1  ZONA 3</v>
          </cell>
        </row>
        <row r="228">
          <cell r="C228" t="str">
            <v>3467484-5</v>
          </cell>
          <cell r="D228" t="str">
            <v>Macromedidor MZ31606 (316140) Gustavo Restrepo</v>
          </cell>
          <cell r="E228" t="str">
            <v>MACROMEDIDOR Cl 36 SUR POR LA KR 14 LC 1  ZONA 3</v>
          </cell>
        </row>
        <row r="229">
          <cell r="C229" t="str">
            <v>3404480-8</v>
          </cell>
          <cell r="D229" t="str">
            <v>Macromedidor MZ31608 (316220) Eduardo Santos</v>
          </cell>
          <cell r="E229" t="str">
            <v>MACROMEDIDOR CL2 CON KR 19B LOC 1   ZONA 3</v>
          </cell>
        </row>
        <row r="230">
          <cell r="C230" t="str">
            <v>2695849-7</v>
          </cell>
          <cell r="D230" t="str">
            <v>SuperCADE Fontibón</v>
          </cell>
          <cell r="E230" t="str">
            <v>DIAGONAL 16 No. 104-51 SUPERCADE FONTIBON</v>
          </cell>
        </row>
        <row r="231">
          <cell r="C231" t="str">
            <v>3365156-7</v>
          </cell>
          <cell r="D231" t="str">
            <v>Macromedidor MZ42402 Calle 71 BIS SUR Carrera 14 ESTE</v>
          </cell>
          <cell r="E231" t="str">
            <v>MACROMEDIDOR DE CAUDAL CALLE 71 BIS SUR CON KRA 14 ESTE LC1   ZONA 4</v>
          </cell>
        </row>
        <row r="232">
          <cell r="C232" t="str">
            <v>3365662-6</v>
          </cell>
          <cell r="D232" t="str">
            <v>Macromedidor Z41507 Carrera 6 ESTE Diag 28 SUR</v>
          </cell>
          <cell r="E232" t="str">
            <v>MACROMEDIDOR DE CAUDAL KRA 6 ESTE CON DIAGONAL 28 SUR LC1 ZONA 4</v>
          </cell>
        </row>
        <row r="233">
          <cell r="C233" t="str">
            <v>3365155-5</v>
          </cell>
          <cell r="D233" t="str">
            <v>Macromedidor MZ41506 Transv 16G Diag 48 SUR</v>
          </cell>
          <cell r="E233" t="str">
            <v>MACROMEDIDOR DE CAUDAL TV 16 G CON DIAGONAL 482 SUR LC1   ZONA 4</v>
          </cell>
        </row>
        <row r="234">
          <cell r="C234" t="str">
            <v>3364462-9</v>
          </cell>
          <cell r="D234" t="str">
            <v>CALLE 32 SUR # 13 00 ESTE</v>
          </cell>
          <cell r="E234" t="str">
            <v>MACROMEDIDOR DE CAUDAL CALLE 32 SUR # 13 00 ESTE  ZONA 4</v>
          </cell>
        </row>
        <row r="235">
          <cell r="C235" t="str">
            <v>3404481-0</v>
          </cell>
          <cell r="D235" t="str">
            <v>Macromedidor Z42302 Diag 48 SUR Carrera 14 ESTE</v>
          </cell>
          <cell r="E235" t="str">
            <v>MACROMEDIDOR DG 48 SUR CON KR 14 ESTE LC1  ZONA 4</v>
          </cell>
        </row>
        <row r="236">
          <cell r="C236" t="str">
            <v>3467481-9</v>
          </cell>
          <cell r="D236" t="str">
            <v xml:space="preserve">Macromedidor MZ41504 Av Caracas Calle 51 SUR </v>
          </cell>
          <cell r="E236" t="str">
            <v>MACROMEDIDOR AV CARACAS CON CL 51 SUR LC 1 ZONA 4</v>
          </cell>
        </row>
        <row r="237">
          <cell r="C237" t="str">
            <v>3404482-2</v>
          </cell>
          <cell r="D237" t="str">
            <v>Macromedidor MZ41505 Carrera 1E 54A-20 SUR Arrayanes</v>
          </cell>
          <cell r="E237" t="str">
            <v>MACROMEDIDOR CL 52 SUR KR 1 LOC 1 ZONA 4</v>
          </cell>
        </row>
        <row r="238">
          <cell r="C238" t="str">
            <v>3365158-1</v>
          </cell>
          <cell r="D238" t="str">
            <v>Macromedidor MZ50113 Carrera 77G BIS Calle 63 SUR</v>
          </cell>
          <cell r="E238" t="str">
            <v>MACROMEDIDOR DE CAUDAL KRA 77 G BIS CON CALLE 63 SUR LC1  ZONA 5</v>
          </cell>
        </row>
        <row r="239">
          <cell r="C239" t="str">
            <v>3365439-7</v>
          </cell>
          <cell r="D239" t="str">
            <v>Macromedidor MRM50207 Calle 56 SUR Carrera 81</v>
          </cell>
          <cell r="E239" t="str">
            <v>MACROMEDIDOR DE CAUDAL CALLE 56 SUR CON KRA 81 I LC1  ZONA 5</v>
          </cell>
        </row>
        <row r="240">
          <cell r="C240" t="str">
            <v>3467482-1</v>
          </cell>
          <cell r="D240" t="str">
            <v>Macromedidor MZ50109 Carrera 89 BIS A Calle 71A SUR</v>
          </cell>
          <cell r="E240" t="str">
            <v>MACROMEDIDOR KR 89 BIS A CON CL 71A SUR LC 1  ZONA 5</v>
          </cell>
        </row>
        <row r="241">
          <cell r="C241" t="str">
            <v>3462661-2</v>
          </cell>
          <cell r="D241" t="str">
            <v>Macromedidor MZ53008 Diag 15B Carrera 4B</v>
          </cell>
          <cell r="E241" t="str">
            <v>MACROMEDIDOR DG 15B CON KR 4B LC 1  ZONA 5</v>
          </cell>
        </row>
        <row r="242">
          <cell r="C242" t="str">
            <v>1493198-0</v>
          </cell>
          <cell r="D242" t="str">
            <v>Punto de Atención Unisur (Zona 5)</v>
          </cell>
          <cell r="E242" t="str">
            <v>CARRERA 3 No. 29A-02 LOCAL 1066 SOACHA</v>
          </cell>
        </row>
        <row r="243">
          <cell r="C243" t="str">
            <v>1493196-6</v>
          </cell>
          <cell r="D243" t="str">
            <v>Punto de Atención Unisur (Zona 5)</v>
          </cell>
          <cell r="E243" t="str">
            <v>CARRERA 3 No. 29A-02 LOCAL 1065 SOACHA</v>
          </cell>
        </row>
        <row r="244">
          <cell r="C244" t="str">
            <v>1493009-3</v>
          </cell>
          <cell r="D244" t="str">
            <v>Punto de Atención Unisur (Zona 5)</v>
          </cell>
          <cell r="E244" t="str">
            <v>CARRERA 3 No. 29A - 02 LOCAL 1018 SOACHA</v>
          </cell>
        </row>
        <row r="245">
          <cell r="C245" t="str">
            <v>1493007-9</v>
          </cell>
          <cell r="D245" t="str">
            <v>Punto de Atención Unisur (Zona 5)</v>
          </cell>
          <cell r="E245" t="str">
            <v>CARRERA 3 No. 29A-02 LOCAL 1017 SOACHA</v>
          </cell>
        </row>
        <row r="246">
          <cell r="C246" t="str">
            <v>3370159-2</v>
          </cell>
          <cell r="D246" t="str">
            <v>Macromedidor MZ10907 Calle 93 Autonorte</v>
          </cell>
          <cell r="E246" t="str">
            <v>MACROMEDIDOR DE CAUDAL CALLE 93 # 45 00   ZONA 1</v>
          </cell>
        </row>
        <row r="247">
          <cell r="C247" t="str">
            <v>3370168-7</v>
          </cell>
          <cell r="D247" t="str">
            <v>Macromedidor MZ10705 Av 9 Calle 160</v>
          </cell>
          <cell r="E247" t="str">
            <v>MACROMEDIDOR DE CAUDAL AV CALLE 9 #  160  00   ZONA 1</v>
          </cell>
        </row>
        <row r="248">
          <cell r="C248" t="str">
            <v>3370167-5</v>
          </cell>
          <cell r="D248" t="str">
            <v>Macromedidor MZ10706 Av 9 Calle 145</v>
          </cell>
          <cell r="E248" t="str">
            <v>MACROMEDIDOR DE CAUDAL AV CALLE 9 #  145  00   ZONA 1</v>
          </cell>
        </row>
        <row r="249">
          <cell r="C249" t="str">
            <v>3370166-3</v>
          </cell>
          <cell r="D249" t="str">
            <v>Macromedidor MZ10704 Av 19 Calle 151</v>
          </cell>
          <cell r="E249" t="str">
            <v>MACROMEDIDOR DE CAUDAL AV CALLE 119 #  151  00   ZONA 1</v>
          </cell>
        </row>
        <row r="250">
          <cell r="C250" t="str">
            <v>3370165-1</v>
          </cell>
          <cell r="D250" t="str">
            <v>Macromedidor MZ10707 Calle 151 Carrera 26</v>
          </cell>
          <cell r="E250" t="str">
            <v>MACROMEDIDOR DE CAUDAL CALLE 151 #  13  00   ZONA 1</v>
          </cell>
        </row>
        <row r="251">
          <cell r="C251" t="str">
            <v>3370164-9</v>
          </cell>
          <cell r="D251" t="str">
            <v>Macromedidor MZ10903 Autonorte Calle 127C</v>
          </cell>
          <cell r="E251" t="str">
            <v>MACROMEDIDOR DE CAUDAL AV KRA 45  #  127C  00   ZONA 1</v>
          </cell>
        </row>
        <row r="252">
          <cell r="C252" t="str">
            <v>3370163-7</v>
          </cell>
          <cell r="D252" t="str">
            <v>Macromedidor MZ11803 Calle 110 Carrera 7</v>
          </cell>
          <cell r="E252" t="str">
            <v>MACROMEDIDOR DE CAUDAL CALLE 110  #  7 00   ZONA 1</v>
          </cell>
        </row>
        <row r="253">
          <cell r="C253" t="str">
            <v>3370160-1</v>
          </cell>
          <cell r="D253" t="str">
            <v>Macromedidor MZ10804 Calle 100 Carrera 9</v>
          </cell>
          <cell r="E253" t="str">
            <v>MACROMEDIDOR DE CAUDAL CALLE 100  #  9 00   ZONA 1</v>
          </cell>
        </row>
        <row r="254">
          <cell r="C254" t="str">
            <v>3370158-0</v>
          </cell>
          <cell r="D254" t="str">
            <v>Macromedidor MZ10905 Calle 105 Autonorte</v>
          </cell>
          <cell r="E254" t="str">
            <v>MACROMEDIDOR DE CAUDAL CALLE 105 # 45 00   ZONA 1</v>
          </cell>
        </row>
        <row r="255">
          <cell r="C255" t="str">
            <v>3370152-8</v>
          </cell>
          <cell r="D255" t="str">
            <v>Macromedidor Z20407 Calle 80 Carrera 107</v>
          </cell>
          <cell r="E255" t="str">
            <v>MACROMEDIDOR DE CAUDAL AV CALLE 80 # 107 00 ZONA 1</v>
          </cell>
        </row>
        <row r="256">
          <cell r="C256" t="str">
            <v>3370162-5</v>
          </cell>
          <cell r="D256" t="str">
            <v>Macromedidor MZ10904 Calle 125 Autonorte</v>
          </cell>
          <cell r="E256" t="str">
            <v>MACROMEDIDOR DE CAUDAL CALLE 125  #  45A 00   ZONA 1</v>
          </cell>
        </row>
        <row r="257">
          <cell r="C257" t="str">
            <v>3366914-8</v>
          </cell>
          <cell r="D257" t="str">
            <v>Macromedidor MZ10506 Calle 132 Av Cali</v>
          </cell>
          <cell r="E257" t="str">
            <v>MACROMEDIDOR DE CAUDAL AV CIUDAD DE CALI # 132 00 ZONA 1</v>
          </cell>
        </row>
        <row r="258">
          <cell r="C258" t="str">
            <v>3366913-6</v>
          </cell>
          <cell r="D258" t="str">
            <v>Macromedidor MZ10504 Av Suba Av Cali</v>
          </cell>
          <cell r="E258" t="str">
            <v>MACROMEDIDOR DE CAUDAL AV SUBA # 105 C 00 ZONA 1</v>
          </cell>
        </row>
        <row r="259">
          <cell r="C259" t="str">
            <v>3365709-4</v>
          </cell>
          <cell r="D259" t="str">
            <v>Macromedidor MZ10507 Calle 139 Av Cali</v>
          </cell>
          <cell r="E259" t="str">
            <v>MACROMEDIDOR DE CAUDAL AV CIUDAD DE CALI # 139 00 ZONA 1</v>
          </cell>
        </row>
        <row r="260">
          <cell r="C260" t="str">
            <v>3365701-8</v>
          </cell>
          <cell r="D260" t="str">
            <v>Macromedidor MZ10508 Av Suba Av Cali</v>
          </cell>
          <cell r="E260" t="str">
            <v>MACROMEDIDOR DE CAUDAL KRA 105 C # 143 00 ZONA 1</v>
          </cell>
        </row>
        <row r="261">
          <cell r="C261" t="str">
            <v>3365444-4</v>
          </cell>
          <cell r="D261" t="str">
            <v>Macromedidor MZ10505 Carrera 104 Calle 139</v>
          </cell>
          <cell r="E261" t="str">
            <v>MACROMEDIDOR DE CAUDAL KRA 104 # 139 00  ZONA 1</v>
          </cell>
        </row>
        <row r="262">
          <cell r="C262" t="str">
            <v>3370161-3</v>
          </cell>
          <cell r="D262" t="str">
            <v>Macromedidor MZ10803 Calle 106 Carrera 9</v>
          </cell>
          <cell r="E262" t="str">
            <v>MACROMEDIDOR DE CAUDAL CALLE 106  #  9 00   ZONA 1</v>
          </cell>
        </row>
        <row r="263">
          <cell r="C263" t="str">
            <v>3448082-4</v>
          </cell>
          <cell r="D263" t="str">
            <v>Macromedidor MZ10709 Calle 151 Carrera 9</v>
          </cell>
          <cell r="E263" t="str">
            <v>MACROMEDIDOR CLL 151 CON CRA 9 LOC 1  ZONA 1</v>
          </cell>
        </row>
        <row r="264">
          <cell r="C264" t="str">
            <v>3448077-7</v>
          </cell>
          <cell r="D264" t="str">
            <v>Macromedidor MZ10710 Calle 119C Carrera 11</v>
          </cell>
          <cell r="E264" t="str">
            <v>MACROMEDIDOR CL 119 CON KR 11 LC 1  ZONA 1</v>
          </cell>
        </row>
        <row r="265">
          <cell r="C265" t="str">
            <v>3448076-5</v>
          </cell>
          <cell r="D265" t="str">
            <v>Macromedidor MZ10715 Calle 134 Autonorte</v>
          </cell>
          <cell r="E265" t="str">
            <v>MACROMEDIDOR CL 134 POR AUTOPISTA NORTE LC 1  ZONA 1</v>
          </cell>
        </row>
        <row r="266">
          <cell r="C266" t="str">
            <v>3506936-8</v>
          </cell>
          <cell r="D266" t="str">
            <v>Macromedidor MZ10714 Autonorte Calle 145</v>
          </cell>
          <cell r="E266" t="str">
            <v>MACROMEDIDOR AV AUT NORTE No. 145-0  ZONA 1</v>
          </cell>
        </row>
        <row r="267">
          <cell r="C267" t="str">
            <v>3510634-0</v>
          </cell>
          <cell r="D267" t="str">
            <v>Macromedidor MZ10906 Autonorte Calle 100</v>
          </cell>
          <cell r="E267" t="str">
            <v>MACROMEDIDOR AV AUT NORTE No. 100-0 ZONA 1</v>
          </cell>
        </row>
        <row r="268">
          <cell r="C268" t="str">
            <v>3448078-9</v>
          </cell>
          <cell r="D268" t="str">
            <v>Macromedidor MZ11802 Calle 92 Carrera 7</v>
          </cell>
          <cell r="E268" t="str">
            <v>MACROMEDIDOR CL 92 CON KR 7  ZONA 1</v>
          </cell>
        </row>
        <row r="269">
          <cell r="C269" t="str">
            <v>3538639-8</v>
          </cell>
          <cell r="D269" t="str">
            <v>Macromedidor MRM10702 Autonorte Calle 190</v>
          </cell>
          <cell r="E269" t="str">
            <v>MACROMEDIDOR CALLE 187 No: 45-00 ZONA 1</v>
          </cell>
        </row>
        <row r="270">
          <cell r="C270" t="str">
            <v>0760819-8</v>
          </cell>
          <cell r="D270" t="str">
            <v>Punto de Atención Comercial Av. Suba (Zona 1)</v>
          </cell>
          <cell r="E270" t="str">
            <v xml:space="preserve">AVDA. SUBA No. 118 No. 33B-10 </v>
          </cell>
        </row>
        <row r="271">
          <cell r="C271" t="str">
            <v>3504814-4</v>
          </cell>
          <cell r="D271" t="str">
            <v>Macromedidor MRM10605 Autonorte Calle 134</v>
          </cell>
          <cell r="E271" t="str">
            <v>AVDA. AUTOPISTA NORTE  No. 134-0</v>
          </cell>
        </row>
        <row r="272">
          <cell r="C272" t="str">
            <v>3514283-9</v>
          </cell>
          <cell r="D272" t="str">
            <v>CALLE 100 No. 15 -0</v>
          </cell>
          <cell r="E272" t="str">
            <v>CALLE 100 No. 15 -0</v>
          </cell>
        </row>
        <row r="273">
          <cell r="C273" t="str">
            <v>3370154-2</v>
          </cell>
          <cell r="D273" t="str">
            <v>Macromedidor Z20408 Calle 80 Carrera 77</v>
          </cell>
          <cell r="E273" t="str">
            <v>MACROMEDIDOR DE CAUDAL CALLE 80 #  77  00  ZONA 2</v>
          </cell>
        </row>
        <row r="274">
          <cell r="C274" t="str">
            <v>3370155-4</v>
          </cell>
          <cell r="D274" t="str">
            <v>Macromedidor Z21704 Carrera 58 Calle 79</v>
          </cell>
          <cell r="E274" t="str">
            <v>MACROMEDIDOR DE CAUDAL KRA 58  #  79 00  ZONA 2</v>
          </cell>
        </row>
        <row r="275">
          <cell r="C275" t="str">
            <v>3370156-6</v>
          </cell>
          <cell r="D275" t="str">
            <v>Macromedidor Z20410 Calle 63 Carrera 111B</v>
          </cell>
          <cell r="E275" t="str">
            <v>MACROMEDIDOR DE CAUDAL CALLE 63 #  111 B 00  ZONA 2</v>
          </cell>
        </row>
        <row r="276">
          <cell r="C276" t="str">
            <v>3370157-8</v>
          </cell>
          <cell r="D276" t="str">
            <v>Macromedidor Z20409 Calle 67B Carrera 96</v>
          </cell>
          <cell r="E276" t="str">
            <v>MACROMEDIDOR DE CAUDAL CALLE 67 B #  96  00  ZONA 2</v>
          </cell>
        </row>
        <row r="277">
          <cell r="C277" t="str">
            <v>3370153-0</v>
          </cell>
          <cell r="D277" t="str">
            <v>Macromedidor Z20411 Calle 63C Calle 111B</v>
          </cell>
          <cell r="E277" t="str">
            <v>MACROMEDIDOR DE CAUDAL CALLE 63 C # 111B 00  ZONA 2</v>
          </cell>
        </row>
        <row r="278">
          <cell r="C278" t="str">
            <v>3448079-1</v>
          </cell>
          <cell r="D278" t="str">
            <v>Macromedidor Z21705 Calle 64 NQS</v>
          </cell>
          <cell r="E278" t="str">
            <v>MACROMEDIDOR CLL 64 CON NQS LOC 1  ZONA 2</v>
          </cell>
        </row>
        <row r="279">
          <cell r="C279" t="str">
            <v>0439121-1</v>
          </cell>
          <cell r="D279" t="str">
            <v>Punto de Atención Comercial CLL 32 (Zona2)</v>
          </cell>
          <cell r="E279" t="str">
            <v>CARRERA 7 No. 33-57</v>
          </cell>
        </row>
        <row r="280">
          <cell r="C280" t="str">
            <v>3696172-9</v>
          </cell>
          <cell r="D280" t="str">
            <v>Punto de Medición Alcantarillado PMM ID 44</v>
          </cell>
          <cell r="E280" t="str">
            <v>CALLE 7 No. 28 A 04 TIERRA BLANCA SOACHA</v>
          </cell>
        </row>
        <row r="281">
          <cell r="C281" t="str">
            <v>3686973-5</v>
          </cell>
          <cell r="D281" t="str">
            <v>Punto de Medición Alcantarillado PMM ID 19</v>
          </cell>
          <cell r="E281" t="str">
            <v>CARRERA 79 B No. 14 B - 75</v>
          </cell>
        </row>
        <row r="282">
          <cell r="C282" t="str">
            <v>3690424-6</v>
          </cell>
          <cell r="D282" t="str">
            <v>Punto de Medición Alcantarillado PMM ID 64</v>
          </cell>
          <cell r="E282" t="str">
            <v>CARRERA 23 X CALL 5 C PI 1</v>
          </cell>
        </row>
        <row r="283">
          <cell r="C283" t="str">
            <v>3690425-8</v>
          </cell>
          <cell r="D283" t="str">
            <v>Punto de Medición Alcantarillado PMM ID 26</v>
          </cell>
          <cell r="E283" t="str">
            <v>AVDA. CARRERA 68 X CALLE 3</v>
          </cell>
        </row>
        <row r="284">
          <cell r="C284" t="str">
            <v>3690426-0</v>
          </cell>
          <cell r="D284" t="str">
            <v>Punto de Medición Alcantarillado PMM ID 31 - 65</v>
          </cell>
          <cell r="E284" t="str">
            <v>DIAGONAL 16 SUR NO. 40-91</v>
          </cell>
        </row>
        <row r="285">
          <cell r="C285" t="str">
            <v>3690427-2</v>
          </cell>
          <cell r="D285" t="str">
            <v>Punto de Medición Alcantarillado PMM ID 18</v>
          </cell>
          <cell r="E285" t="str">
            <v>AVDA CARRERA 80 CON CALLE 12 P I 1</v>
          </cell>
        </row>
        <row r="286">
          <cell r="C286" t="str">
            <v>3695890-6</v>
          </cell>
          <cell r="D286" t="str">
            <v>Punto de Medición Alcantarillado PMM ID 30 - 41</v>
          </cell>
          <cell r="E286" t="str">
            <v>TRANSVERSAL 53 A  X CALLE 16 SUR</v>
          </cell>
        </row>
        <row r="287">
          <cell r="C287" t="str">
            <v>3685802-3</v>
          </cell>
          <cell r="D287" t="str">
            <v>Punto de Medición Alcantarillado PMM ID 69</v>
          </cell>
          <cell r="E287" t="str">
            <v>CALLE 139 N. 118-00</v>
          </cell>
        </row>
        <row r="288">
          <cell r="C288" t="str">
            <v>3695892-0</v>
          </cell>
          <cell r="D288" t="str">
            <v>Punto de Medición Alcantarillado PMM ID 7 - 25</v>
          </cell>
          <cell r="E288" t="str">
            <v>AVDA. BOYACA X CALLE59 B SUR</v>
          </cell>
        </row>
        <row r="289">
          <cell r="C289" t="str">
            <v>3682852-3</v>
          </cell>
          <cell r="D289" t="str">
            <v>Punto de Medición Alcantarillado PMM ID 8</v>
          </cell>
          <cell r="E289" t="str">
            <v>CALLE 122 A No. 54B -00</v>
          </cell>
        </row>
        <row r="290">
          <cell r="C290" t="str">
            <v>3700225-3</v>
          </cell>
          <cell r="D290" t="str">
            <v>Punto de Medición Alcantarillado PMM ID 14</v>
          </cell>
          <cell r="E290" t="str">
            <v>CARRERA 96 A NO. 16 H -00</v>
          </cell>
        </row>
        <row r="291">
          <cell r="C291" t="str">
            <v>3724856-0</v>
          </cell>
          <cell r="D291" t="str">
            <v>Punto de Medición Alcantarillado PMM ID 22</v>
          </cell>
          <cell r="E291" t="str">
            <v>CALLE 58 BIS SUR No. 78-01</v>
          </cell>
        </row>
        <row r="292">
          <cell r="C292" t="str">
            <v>3695891-8</v>
          </cell>
          <cell r="D292" t="str">
            <v>Punto de Medición Alcantarillado PMM ID 29</v>
          </cell>
          <cell r="E292" t="str">
            <v>CARRERA 56 NO. 14-48 SUR</v>
          </cell>
        </row>
        <row r="293">
          <cell r="C293" t="str">
            <v>3682843-8</v>
          </cell>
          <cell r="D293" t="str">
            <v>Punto de Medición Alcantarillado PMM ID 73</v>
          </cell>
          <cell r="E293" t="str">
            <v xml:space="preserve">DIAGONAL 61 C X CARRERA 27 A BIS </v>
          </cell>
        </row>
        <row r="294">
          <cell r="C294" t="str">
            <v>3682853-5</v>
          </cell>
          <cell r="D294" t="str">
            <v>Punto de Medición Alcantarillado PMM ID 72</v>
          </cell>
          <cell r="E294" t="str">
            <v>CALLE 128 A BIS No. 55 A BIS -00</v>
          </cell>
        </row>
        <row r="295">
          <cell r="C295" t="str">
            <v>3682850-9</v>
          </cell>
          <cell r="D295" t="str">
            <v>Punto de Medición Alcantarillado PMM ID 10</v>
          </cell>
          <cell r="E295" t="str">
            <v>DIAGONAL 128 BIS No. 56-00</v>
          </cell>
        </row>
        <row r="296">
          <cell r="C296" t="str">
            <v>3682848-8</v>
          </cell>
          <cell r="D296" t="str">
            <v>Punto de Medición Alcantarillado PMM ID 47</v>
          </cell>
          <cell r="E296" t="str">
            <v>DIAGONAL 71 BIS No. 53-30</v>
          </cell>
        </row>
        <row r="297">
          <cell r="C297" t="str">
            <v>3682854-7</v>
          </cell>
          <cell r="D297" t="str">
            <v>CALLE 118 NO. 71 A 80</v>
          </cell>
          <cell r="E297" t="str">
            <v>MACROMEDICION CALLE 118 NO. 71 A 80</v>
          </cell>
        </row>
        <row r="298">
          <cell r="C298" t="str">
            <v>1758388-3</v>
          </cell>
          <cell r="D298" t="str">
            <v>PTAR El Salitre</v>
          </cell>
          <cell r="E298" t="str">
            <v>PTAR SALITRE - SUPLENCIA PLANTA</v>
          </cell>
        </row>
        <row r="299">
          <cell r="C299" t="str">
            <v>3682844-0</v>
          </cell>
          <cell r="D299" t="str">
            <v>Punto de Medición Alcantarillado PMM ID 66</v>
          </cell>
          <cell r="E299" t="str">
            <v>CALLE 53 B 27-10</v>
          </cell>
        </row>
        <row r="300">
          <cell r="C300" t="str">
            <v>3682845-2</v>
          </cell>
          <cell r="D300" t="str">
            <v>Punto de Medición Alcantarillado PMM ID 62</v>
          </cell>
          <cell r="E300" t="str">
            <v>AV CALLE 17 X CARRERA52</v>
          </cell>
        </row>
        <row r="301">
          <cell r="C301" t="str">
            <v>3682846-4</v>
          </cell>
          <cell r="D301" t="str">
            <v>Punto de Medición Alcantarillado PMM ID 36 - 36A</v>
          </cell>
          <cell r="E301" t="str">
            <v>CARRERA 49 A No. 28BIS -00</v>
          </cell>
        </row>
        <row r="302">
          <cell r="C302" t="str">
            <v>3682851-1</v>
          </cell>
          <cell r="D302" t="str">
            <v>Punto de Medición Alcantarillado PMM ID 70</v>
          </cell>
          <cell r="E302" t="str">
            <v>CALLE 108 No. 51-77</v>
          </cell>
        </row>
        <row r="303">
          <cell r="C303" t="str">
            <v>3685800-9</v>
          </cell>
          <cell r="D303" t="str">
            <v>Punto de Medición Alcantarillado PMM ID 49</v>
          </cell>
          <cell r="E303" t="str">
            <v>CALLE 129 B X CARRERA 129</v>
          </cell>
        </row>
        <row r="304">
          <cell r="C304" t="str">
            <v>3685801-1</v>
          </cell>
          <cell r="D304" t="str">
            <v>Punto de Medición Alcantarillado PMM ID 63</v>
          </cell>
          <cell r="E304" t="str">
            <v>CARRERA 119 X CALLE 80 PREDIO EAAB</v>
          </cell>
        </row>
        <row r="305">
          <cell r="C305" t="str">
            <v>3724857-2</v>
          </cell>
          <cell r="D305" t="str">
            <v>Punto de Medición Alcantarillado PMM ID 6 - 42</v>
          </cell>
          <cell r="E305" t="str">
            <v>CALLE 58 I BIS SUR X CARRERA 78 BIS A</v>
          </cell>
        </row>
        <row r="306">
          <cell r="C306" t="str">
            <v>3682847-6</v>
          </cell>
          <cell r="D306" t="str">
            <v>Punto de Medición Alcantarillado PMM ID 37 - 37A</v>
          </cell>
          <cell r="E306" t="str">
            <v>CALLE 71 No. 29 B - 00</v>
          </cell>
        </row>
        <row r="307">
          <cell r="C307" t="str">
            <v>3240509-6</v>
          </cell>
          <cell r="D307" t="str">
            <v>PTAR El Mochuelo Bajo</v>
          </cell>
          <cell r="E307" t="str">
            <v>PLANTA TRATAMIENTO DE AGUAS RESIDUALES</v>
          </cell>
        </row>
        <row r="308">
          <cell r="C308" t="str">
            <v>0403940-9</v>
          </cell>
          <cell r="D308" t="str">
            <v>Casa Corredor de Páramos</v>
          </cell>
          <cell r="E308" t="str">
            <v xml:space="preserve">KR 44 No. 22A-45 SEDE PRINCIPAL (OFICINA) PROYECTO CONSEVACION DE PARAMOS </v>
          </cell>
        </row>
        <row r="309">
          <cell r="C309" t="str">
            <v>4113816-7</v>
          </cell>
          <cell r="D309" t="str">
            <v>Casa La Jungla</v>
          </cell>
          <cell r="E309" t="str">
            <v>VDA CONCEPCION LA JUNGLA GUASCA</v>
          </cell>
        </row>
        <row r="310">
          <cell r="C310">
            <v>373779898</v>
          </cell>
          <cell r="D310" t="str">
            <v>Casa La Jungla</v>
          </cell>
          <cell r="E310" t="str">
            <v>VDA CONCEPCION LA JUNGLA GUASCA</v>
          </cell>
        </row>
        <row r="311">
          <cell r="C311">
            <v>165</v>
          </cell>
          <cell r="D311" t="str">
            <v>Estación Acueducto Alpes</v>
          </cell>
          <cell r="E311" t="str">
            <v>ALPES</v>
          </cell>
        </row>
        <row r="312">
          <cell r="C312">
            <v>164</v>
          </cell>
          <cell r="D312" t="str">
            <v>Estación Acueducto Castillo Nuevo</v>
          </cell>
          <cell r="E312" t="str">
            <v>CASTILLO</v>
          </cell>
        </row>
        <row r="313">
          <cell r="C313">
            <v>202</v>
          </cell>
          <cell r="D313" t="str">
            <v>Estación Acueducto Columnas</v>
          </cell>
          <cell r="E313" t="str">
            <v>COLUMNAS</v>
          </cell>
        </row>
        <row r="314">
          <cell r="C314">
            <v>155</v>
          </cell>
          <cell r="D314" t="str">
            <v>Estación Alcantarillado Sanitario Fontibón</v>
          </cell>
          <cell r="E314" t="str">
            <v>FONTIBON</v>
          </cell>
        </row>
        <row r="315">
          <cell r="C315">
            <v>145</v>
          </cell>
          <cell r="D315" t="str">
            <v>Estación Alcantarillado Sanitario Gibraltar</v>
          </cell>
          <cell r="E315" t="str">
            <v>GIBRALTAR</v>
          </cell>
        </row>
        <row r="316">
          <cell r="C316">
            <v>167</v>
          </cell>
          <cell r="D316" t="str">
            <v>Estación Alcantarillado Sanitario Gran Colombiano</v>
          </cell>
          <cell r="E316" t="str">
            <v>GRAN COLOMBIANO</v>
          </cell>
        </row>
        <row r="317">
          <cell r="C317">
            <v>157</v>
          </cell>
          <cell r="D317" t="str">
            <v>Estación Acueducto Paraíso 1</v>
          </cell>
          <cell r="E317" t="str">
            <v>PARAISO 1</v>
          </cell>
        </row>
        <row r="318">
          <cell r="C318">
            <v>162</v>
          </cell>
          <cell r="D318" t="str">
            <v>Planta El Dorado</v>
          </cell>
          <cell r="E318" t="str">
            <v>PLANTA EL DORADO</v>
          </cell>
        </row>
        <row r="319">
          <cell r="C319">
            <v>147</v>
          </cell>
          <cell r="D319" t="str">
            <v>Estación Acueducto El Quindío</v>
          </cell>
          <cell r="E319" t="str">
            <v>QUINDIO</v>
          </cell>
        </row>
        <row r="320">
          <cell r="C320">
            <v>144</v>
          </cell>
          <cell r="D320" t="str">
            <v>Estación Alcantarillado Sanitario El Salitre</v>
          </cell>
          <cell r="E320" t="str">
            <v>SALITRE</v>
          </cell>
        </row>
        <row r="321">
          <cell r="C321">
            <v>161</v>
          </cell>
          <cell r="D321" t="str">
            <v>Estación Alcantarillado Sanitario y Pluvial San Benito</v>
          </cell>
          <cell r="E321" t="str">
            <v>SAN BENITO</v>
          </cell>
        </row>
        <row r="322">
          <cell r="C322">
            <v>143</v>
          </cell>
          <cell r="D322" t="str">
            <v>Complejo San Rafael</v>
          </cell>
          <cell r="E322" t="str">
            <v>SAN RAFAEL</v>
          </cell>
        </row>
        <row r="323">
          <cell r="C323">
            <v>158</v>
          </cell>
          <cell r="D323" t="str">
            <v xml:space="preserve">Estación Acueducto San Vicente </v>
          </cell>
          <cell r="E323" t="str">
            <v>SAN VICENTE</v>
          </cell>
        </row>
        <row r="324">
          <cell r="C324">
            <v>163</v>
          </cell>
          <cell r="D324" t="str">
            <v>Estación Acueducto Sierra Morena 2</v>
          </cell>
          <cell r="E324" t="str">
            <v>SIERRA MORENA 1</v>
          </cell>
        </row>
        <row r="325">
          <cell r="C325">
            <v>166</v>
          </cell>
          <cell r="D325" t="str">
            <v>Estación Acueducto Sierra Morena 2</v>
          </cell>
          <cell r="E325" t="str">
            <v>SIERRA MORENA 2</v>
          </cell>
        </row>
        <row r="326">
          <cell r="C326">
            <v>159</v>
          </cell>
          <cell r="D326" t="str">
            <v>Estación Acueducto Casablanca</v>
          </cell>
          <cell r="E326" t="str">
            <v>SUBA CASABLANCA - CANTALEJO</v>
          </cell>
        </row>
        <row r="327">
          <cell r="C327">
            <v>152</v>
          </cell>
          <cell r="D327" t="str">
            <v>Planta Tibitoc</v>
          </cell>
          <cell r="E327" t="str">
            <v>TIBITOC 1</v>
          </cell>
        </row>
        <row r="328">
          <cell r="C328">
            <v>148</v>
          </cell>
          <cell r="D328" t="str">
            <v>Planta Tibitoc</v>
          </cell>
          <cell r="E328" t="str">
            <v>TIBITOC 2</v>
          </cell>
        </row>
        <row r="329">
          <cell r="C329">
            <v>149</v>
          </cell>
          <cell r="D329" t="str">
            <v>Planta Tibitoc</v>
          </cell>
          <cell r="E329" t="str">
            <v>TIBITOC 3</v>
          </cell>
        </row>
        <row r="330">
          <cell r="C330">
            <v>153</v>
          </cell>
          <cell r="D330" t="str">
            <v>Estación Alcantarillado Sanitario Villa Gladis</v>
          </cell>
          <cell r="E330" t="str">
            <v>VILLA GLADYS</v>
          </cell>
        </row>
        <row r="331">
          <cell r="C331">
            <v>744</v>
          </cell>
          <cell r="D331" t="str">
            <v>Estación Acueducto Ciudadela Sucre Terreros</v>
          </cell>
          <cell r="E331" t="str">
            <v>SUCRE TERREROS</v>
          </cell>
        </row>
        <row r="332">
          <cell r="C332">
            <v>743</v>
          </cell>
          <cell r="D332" t="str">
            <v>Estación Acueducto Ciudadela Sucre Intermedio</v>
          </cell>
          <cell r="E332" t="str">
            <v>SUCRE INTERMEDIO</v>
          </cell>
        </row>
        <row r="333">
          <cell r="C333">
            <v>160</v>
          </cell>
          <cell r="D333" t="str">
            <v>Planta Vitelma</v>
          </cell>
          <cell r="E333" t="str">
            <v>VITELMA</v>
          </cell>
        </row>
        <row r="334">
          <cell r="C334">
            <v>151</v>
          </cell>
          <cell r="D334" t="str">
            <v>PTAR El Salitre</v>
          </cell>
          <cell r="E334" t="str">
            <v>PTAR SALITRE</v>
          </cell>
        </row>
        <row r="335">
          <cell r="C335">
            <v>154</v>
          </cell>
          <cell r="D335" t="str">
            <v>Estación Acueducto El Volador</v>
          </cell>
          <cell r="E335" t="str">
            <v>VOLADOR 2</v>
          </cell>
        </row>
        <row r="336">
          <cell r="C336">
            <v>750</v>
          </cell>
          <cell r="D336" t="str">
            <v xml:space="preserve">Estación Acueducto Santo Domingo </v>
          </cell>
          <cell r="E336" t="str">
            <v>SANTO DOMINGO</v>
          </cell>
        </row>
        <row r="337">
          <cell r="C337">
            <v>751</v>
          </cell>
          <cell r="D337" t="str">
            <v>Estación Alcantarillado Pluvial La Isla</v>
          </cell>
          <cell r="E337" t="str">
            <v>LA ISLA</v>
          </cell>
        </row>
        <row r="338">
          <cell r="C338">
            <v>142</v>
          </cell>
          <cell r="D338" t="str">
            <v>Central de Operaciones Centro Nariño</v>
          </cell>
          <cell r="E338" t="str">
            <v>SEDE ADMINISTRATIVA</v>
          </cell>
        </row>
        <row r="339">
          <cell r="C339" t="str">
            <v>0873862-1</v>
          </cell>
          <cell r="D339" t="str">
            <v>Finca Bellavista</v>
          </cell>
          <cell r="E339" t="str">
            <v>FINCA BELLAVISTA - LA CALERA</v>
          </cell>
        </row>
        <row r="340">
          <cell r="C340" t="str">
            <v>2440280-0</v>
          </cell>
          <cell r="D340" t="str">
            <v>Complejo San Rafael</v>
          </cell>
          <cell r="E340" t="str">
            <v>TUNEL EL FARO - EL RODEO</v>
          </cell>
        </row>
        <row r="341">
          <cell r="C341" t="str">
            <v>2451540-9</v>
          </cell>
          <cell r="D341" t="str">
            <v>Complejo San Rafael</v>
          </cell>
          <cell r="E341" t="str">
            <v>ALUMBRADO INTERNO EMBALSE SAN RAFAEL</v>
          </cell>
        </row>
        <row r="342">
          <cell r="C342" t="str">
            <v>0763123-6</v>
          </cell>
          <cell r="D342" t="str">
            <v>No asociada a ninguna Sede. Cuenta deshabilitada</v>
          </cell>
          <cell r="E342" t="str">
            <v>ANTIGUO RAMON B. JIMENO</v>
          </cell>
        </row>
        <row r="343">
          <cell r="C343" t="str">
            <v>0897729-9</v>
          </cell>
          <cell r="D343" t="str">
            <v>No asociada a ninguna Sede. Cuenta deshabilitada</v>
          </cell>
          <cell r="E343" t="str">
            <v>SERVICIO MEDICO LOC. 220 URB. S. PABLO</v>
          </cell>
        </row>
        <row r="344">
          <cell r="C344" t="str">
            <v>0897730-8</v>
          </cell>
          <cell r="D344" t="str">
            <v>No asociada a ninguna Sede. Cuenta deshabilitada</v>
          </cell>
          <cell r="E344" t="str">
            <v>SERVICIO MEDICO LOC. 221 URB. S. PABLO</v>
          </cell>
        </row>
        <row r="345">
          <cell r="C345" t="str">
            <v>1271246-3</v>
          </cell>
          <cell r="D345" t="str">
            <v>No asociada a ninguna Sede. Cuenta deshabilitada</v>
          </cell>
          <cell r="E345" t="str">
            <v>CADE BOSA</v>
          </cell>
        </row>
        <row r="346">
          <cell r="C346" t="str">
            <v>1069179-4</v>
          </cell>
          <cell r="D346" t="str">
            <v>No asociada a ninguna Sede. Cuenta deshabilitada</v>
          </cell>
          <cell r="E346" t="str">
            <v>CADE FONTIBON</v>
          </cell>
        </row>
        <row r="347">
          <cell r="C347" t="str">
            <v>0763329-0</v>
          </cell>
          <cell r="D347" t="str">
            <v>No asociada a ninguna Sede. Cuenta deshabilitada</v>
          </cell>
          <cell r="E347" t="str">
            <v>CADE SUBA</v>
          </cell>
        </row>
        <row r="348">
          <cell r="C348" t="str">
            <v>0762341-3</v>
          </cell>
          <cell r="D348" t="str">
            <v>No asociada a ninguna Sede. Cuenta deshabilitada</v>
          </cell>
          <cell r="E348" t="str">
            <v>CHAPINERO</v>
          </cell>
        </row>
        <row r="349">
          <cell r="C349" t="str">
            <v>0881149-3</v>
          </cell>
          <cell r="D349" t="str">
            <v>No asociada a ninguna Sede. Cuenta deshabilitada</v>
          </cell>
          <cell r="E349" t="str">
            <v>PARDO RUBIO 1</v>
          </cell>
        </row>
        <row r="350">
          <cell r="C350" t="str">
            <v>0762698-0</v>
          </cell>
          <cell r="D350" t="str">
            <v>No asociada a ninguna Sede. Cuenta deshabilitada</v>
          </cell>
          <cell r="E350" t="str">
            <v>PARQUE NACIONAL</v>
          </cell>
        </row>
        <row r="351">
          <cell r="C351" t="str">
            <v>0762699-2</v>
          </cell>
          <cell r="D351" t="str">
            <v>No asociada a ninguna Sede. Cuenta deshabilitada</v>
          </cell>
          <cell r="E351" t="str">
            <v>PARQUE NAL. 1 PISO</v>
          </cell>
        </row>
        <row r="352">
          <cell r="C352" t="str">
            <v>0923217-3</v>
          </cell>
          <cell r="D352" t="str">
            <v>No asociada a ninguna Sede. Cuenta deshabilitada</v>
          </cell>
          <cell r="E352" t="str">
            <v>SEMINARIO</v>
          </cell>
        </row>
        <row r="353">
          <cell r="C353" t="str">
            <v>0764384-7</v>
          </cell>
          <cell r="D353" t="str">
            <v>No asociada a ninguna Sede. Cuenta deshabilitada</v>
          </cell>
          <cell r="E353" t="str">
            <v>SUBA ANTIGUO</v>
          </cell>
        </row>
        <row r="354">
          <cell r="C354" t="str">
            <v>2189546-4</v>
          </cell>
          <cell r="D354" t="str">
            <v>No asociada a ninguna Sede. Cuenta deshabilitada</v>
          </cell>
          <cell r="E354" t="str">
            <v>EL VERGEL KENNEDY</v>
          </cell>
        </row>
        <row r="355">
          <cell r="C355" t="str">
            <v>2367234-3</v>
          </cell>
          <cell r="D355" t="str">
            <v>No asociada a ninguna Sede. Cuenta deshabilitada</v>
          </cell>
          <cell r="E355" t="str">
            <v>LA ISLA</v>
          </cell>
        </row>
        <row r="356">
          <cell r="C356" t="str">
            <v>2320397-6</v>
          </cell>
          <cell r="D356" t="str">
            <v>No asociada a ninguna Sede. Cuenta deshabilitada</v>
          </cell>
          <cell r="E356" t="str">
            <v>POZO JUAN AMARILLO</v>
          </cell>
        </row>
        <row r="357">
          <cell r="C357" t="str">
            <v>2017510-0</v>
          </cell>
          <cell r="D357" t="str">
            <v>No asociada a ninguna Sede. Cuenta deshabilitada</v>
          </cell>
          <cell r="E357" t="str">
            <v>TIBANICA</v>
          </cell>
        </row>
        <row r="358">
          <cell r="C358" t="str">
            <v>0763499-5</v>
          </cell>
          <cell r="D358" t="str">
            <v>No asociada a ninguna Sede. Cuenta deshabilitada</v>
          </cell>
          <cell r="E358" t="str">
            <v>TANQUE LOURDES</v>
          </cell>
        </row>
        <row r="359">
          <cell r="C359" t="str">
            <v>2273144-5</v>
          </cell>
          <cell r="D359" t="str">
            <v>No asociada a ninguna Sede. Cuenta deshabilitada</v>
          </cell>
          <cell r="E359" t="str">
            <v>TANQUE SANTILLANA - CAZUCA ALTO</v>
          </cell>
        </row>
        <row r="360">
          <cell r="C360" t="str">
            <v>1096295-3</v>
          </cell>
          <cell r="D360" t="str">
            <v>No asociada a ninguna Sede. Cuenta deshabilitada</v>
          </cell>
          <cell r="E360" t="str">
            <v>TANQUE VOLADOR</v>
          </cell>
        </row>
        <row r="361">
          <cell r="C361" t="str">
            <v>2175149-2</v>
          </cell>
          <cell r="D361" t="str">
            <v>No asociada a ninguna Sede. Cuenta deshabilitada</v>
          </cell>
          <cell r="E361" t="str">
            <v>TANQUE SANTO DOMINGO - ALTOS DE CAZUCA</v>
          </cell>
        </row>
        <row r="362">
          <cell r="C362" t="str">
            <v>2175149-2</v>
          </cell>
          <cell r="D362" t="str">
            <v>No asociada a ninguna Sede. Cuenta deshabilitada</v>
          </cell>
          <cell r="E362" t="str">
            <v>TANQUE SANTO DOMINGO - ALTOS DE CAZUCA</v>
          </cell>
        </row>
        <row r="363">
          <cell r="C363" t="str">
            <v>0424265-4</v>
          </cell>
          <cell r="D363" t="str">
            <v>No asociada a ninguna Sede. Cuenta deshabilitada</v>
          </cell>
          <cell r="E363" t="str">
            <v>FINCA SAN IGNACIO - EMBALSE LA MAGDALENA</v>
          </cell>
        </row>
        <row r="364">
          <cell r="C364" t="str">
            <v>1061413-8</v>
          </cell>
          <cell r="D364" t="str">
            <v>No asociada a ninguna Sede. Cuenta deshabilitada</v>
          </cell>
          <cell r="E364" t="str">
            <v>CASA EN ARRIENDO GIMNASIO</v>
          </cell>
        </row>
        <row r="365">
          <cell r="C365" t="str">
            <v>2650117-9</v>
          </cell>
          <cell r="D365" t="str">
            <v>No asociada a ninguna Sede. Cuenta deshabilitada</v>
          </cell>
          <cell r="E365" t="str">
            <v>BOSQUE MEDINA - ADMON,BOMBAS Y ALUMBRADO</v>
          </cell>
        </row>
        <row r="366">
          <cell r="C366" t="str">
            <v>2103121-4</v>
          </cell>
          <cell r="D366" t="str">
            <v>No asociada a ninguna Sede. Cuenta deshabilitada</v>
          </cell>
          <cell r="E366" t="str">
            <v>TINTAL 3</v>
          </cell>
        </row>
        <row r="367">
          <cell r="C367" t="str">
            <v>2738791-4</v>
          </cell>
          <cell r="D367" t="str">
            <v>No asociada a ninguna Sede. Cuenta deshabilitada</v>
          </cell>
          <cell r="E367" t="str">
            <v>BOMBEO INTERMEDIO CIUDADELA SUCRE</v>
          </cell>
        </row>
        <row r="368">
          <cell r="C368" t="str">
            <v>2689743-5</v>
          </cell>
          <cell r="D368" t="str">
            <v>No asociada a ninguna Sede. Cuenta deshabilitada</v>
          </cell>
          <cell r="E368" t="str">
            <v>BOMBEO CIUDADELA SUCRE</v>
          </cell>
        </row>
        <row r="369">
          <cell r="C369" t="str">
            <v>1912712-6</v>
          </cell>
          <cell r="D369" t="str">
            <v>No asociada a ninguna Sede. Cuenta deshabilitada</v>
          </cell>
          <cell r="E369" t="str">
            <v>CIUDADEL SUCRE VILLA ESPERANZA</v>
          </cell>
        </row>
        <row r="370">
          <cell r="C370" t="str">
            <v>1912721-1</v>
          </cell>
          <cell r="D370" t="str">
            <v>No asociada a ninguna Sede. Cuenta deshabilitada</v>
          </cell>
          <cell r="E370" t="str">
            <v>CIUDADELA SUCRE SAN RAFAEL</v>
          </cell>
        </row>
        <row r="371">
          <cell r="C371" t="str">
            <v>2175149-2</v>
          </cell>
          <cell r="D371" t="str">
            <v>No asociada a ninguna Sede. Cuenta deshabilitada</v>
          </cell>
          <cell r="E371" t="str">
            <v>TANQUE SANTO DOMINGO - ALTOS DE CAZUCA</v>
          </cell>
        </row>
        <row r="372">
          <cell r="C372">
            <v>373777224</v>
          </cell>
          <cell r="D372" t="str">
            <v>No asociada a ninguna Sede. Cuenta deshabilitada</v>
          </cell>
          <cell r="E372" t="str">
            <v>VDA LA CONCEPCION S/MARCOS 1 GUASCA</v>
          </cell>
        </row>
        <row r="373">
          <cell r="C373">
            <v>373775660</v>
          </cell>
          <cell r="D373" t="str">
            <v>No asociada a ninguna Sede. Cuenta deshabilitada</v>
          </cell>
          <cell r="E373" t="str">
            <v>VDA LA CONCEPCION S/MARCOS GUASCA</v>
          </cell>
        </row>
        <row r="374">
          <cell r="C374">
            <v>150</v>
          </cell>
          <cell r="D374" t="str">
            <v>No asociada a ninguna Sede. Cuenta deshabilitada</v>
          </cell>
          <cell r="E374" t="str">
            <v>CERRO NORTE 1</v>
          </cell>
        </row>
        <row r="375">
          <cell r="C375">
            <v>146</v>
          </cell>
          <cell r="D375" t="str">
            <v>No asociada a ninguna Sede. Cuenta deshabilitada</v>
          </cell>
          <cell r="E375" t="str">
            <v>CODITO</v>
          </cell>
        </row>
        <row r="376">
          <cell r="C376" t="str">
            <v>2668541-6</v>
          </cell>
          <cell r="D376" t="str">
            <v>No asociada a ninguna Sede. Cuenta deshabilitada</v>
          </cell>
          <cell r="E376" t="str">
            <v>CASA EN ARRIENDO GIMNASIO</v>
          </cell>
        </row>
        <row r="377">
          <cell r="C377" t="str">
            <v>2738794-0</v>
          </cell>
          <cell r="D377" t="str">
            <v>No asociada a ninguna Sede. Cuenta deshabilitada</v>
          </cell>
          <cell r="E377" t="str">
            <v>ESTACIONDEBOMBEOTERREROS</v>
          </cell>
        </row>
        <row r="378">
          <cell r="C378" t="str">
            <v>0356208-7</v>
          </cell>
          <cell r="D378" t="str">
            <v>No asociada a ninguna Sede. Cuenta deshabilitada</v>
          </cell>
          <cell r="E378" t="str">
            <v>SEDE SINDICAL CUNDINAMARCA</v>
          </cell>
        </row>
        <row r="379">
          <cell r="C379" t="str">
            <v>2757369-9</v>
          </cell>
          <cell r="D379" t="str">
            <v>No asociada a ninguna Sede. Cuenta deshabilitada</v>
          </cell>
          <cell r="E379" t="str">
            <v>ACUEDUCTO INTERVEREDAL 1 LA CALERA</v>
          </cell>
        </row>
        <row r="380">
          <cell r="C380" t="str">
            <v>2763924-0</v>
          </cell>
          <cell r="D380" t="str">
            <v>No asociada a ninguna Sede. Cuenta deshabilitada</v>
          </cell>
          <cell r="E380" t="str">
            <v>VALVULA ACUEDUCTO - BUDAPEST</v>
          </cell>
        </row>
        <row r="381">
          <cell r="C381" t="str">
            <v>2763924-0</v>
          </cell>
          <cell r="D381" t="str">
            <v>No asociada a ninguna Sede. Cuenta deshabilitada</v>
          </cell>
          <cell r="E381" t="str">
            <v>MACROMEDIDOR  - VALVULA ACUEDUCTO</v>
          </cell>
        </row>
        <row r="382">
          <cell r="C382" t="str">
            <v>3286267-2</v>
          </cell>
          <cell r="D382" t="str">
            <v>No asociada a ninguna Sede. Cuenta deshabilitada</v>
          </cell>
          <cell r="E382" t="str">
            <v>POZO C</v>
          </cell>
        </row>
        <row r="383">
          <cell r="C383" t="str">
            <v>1458662-6</v>
          </cell>
          <cell r="D383" t="str">
            <v>No asociada a ninguna Sede. Cuenta deshabilitada</v>
          </cell>
          <cell r="E383" t="str">
            <v>DIRECCION SALUD EDIFICIO INECO piso 2</v>
          </cell>
        </row>
        <row r="384">
          <cell r="C384" t="str">
            <v>3971645-0</v>
          </cell>
          <cell r="D384" t="str">
            <v>No asociada a ninguna Sede. Cuenta deshabilitada</v>
          </cell>
          <cell r="E384" t="str">
            <v>TUNEL ROSALES - SILENCIO</v>
          </cell>
        </row>
        <row r="385">
          <cell r="C385" t="str">
            <v>3558022-9</v>
          </cell>
          <cell r="D385" t="str">
            <v>No asociada a ninguna Sede. Cuenta deshabilitada</v>
          </cell>
          <cell r="E385" t="str">
            <v>CALLE 6 CON CARRERA 31 B LC 1</v>
          </cell>
        </row>
        <row r="386">
          <cell r="C386" t="str">
            <v>0514833-4</v>
          </cell>
          <cell r="D386" t="str">
            <v>No asociada a ninguna Sede. Cuenta deshabilitada</v>
          </cell>
          <cell r="E386" t="str">
            <v>CALLE 82 No. 19A-34 PISO 2</v>
          </cell>
        </row>
        <row r="387">
          <cell r="C387" t="str">
            <v>1703954-5</v>
          </cell>
          <cell r="D387" t="str">
            <v>No asociada a ninguna Sede. Cuenta deshabilitada</v>
          </cell>
          <cell r="E387" t="str">
            <v>CALLE 128A  No. 53-27</v>
          </cell>
        </row>
        <row r="388">
          <cell r="C388" t="str">
            <v>1733097-7</v>
          </cell>
          <cell r="D388" t="str">
            <v>No asociada a ninguna Sede. Cuenta deshabilitada</v>
          </cell>
          <cell r="E388" t="str">
            <v>CALLE 82 No. 19A-34 PISO 3</v>
          </cell>
        </row>
        <row r="389">
          <cell r="C389" t="str">
            <v>1733098-9</v>
          </cell>
          <cell r="D389" t="str">
            <v>No asociada a ninguna Sede. Cuenta deshabilitada</v>
          </cell>
          <cell r="E389" t="str">
            <v>CALLE 82 No. 19A-34 PISO 4</v>
          </cell>
        </row>
        <row r="390">
          <cell r="C390" t="str">
            <v>1733099-1</v>
          </cell>
          <cell r="D390" t="str">
            <v>No asociada a ninguna Sede. Cuenta deshabilitada</v>
          </cell>
          <cell r="E390" t="str">
            <v>CALLE 82 No. 19A-34 PISO 5</v>
          </cell>
        </row>
        <row r="391">
          <cell r="C391" t="str">
            <v>1833745-3</v>
          </cell>
          <cell r="D391" t="str">
            <v>No asociada a ninguna Sede. Cuenta deshabilitada</v>
          </cell>
          <cell r="E391" t="str">
            <v>CALLE 128 A No. 53-31 PISO 10</v>
          </cell>
        </row>
        <row r="392">
          <cell r="C392" t="str">
            <v>1833746-5</v>
          </cell>
          <cell r="D392" t="str">
            <v>No asociada a ninguna Sede. Cuenta deshabilitada</v>
          </cell>
          <cell r="E392" t="str">
            <v>CALLE 128A No. 53-31 2 PISO</v>
          </cell>
        </row>
        <row r="393">
          <cell r="C393" t="str">
            <v>4136775-4</v>
          </cell>
          <cell r="D393" t="str">
            <v>No asociada a ninguna Sede. Cuenta deshabilitada</v>
          </cell>
          <cell r="E393" t="str">
            <v>TUNEL SANTA ANA ROSALES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OS"/>
      <sheetName val="GEO Acción 1"/>
      <sheetName val="GEO Acción 2"/>
      <sheetName val="GEO Acción 3"/>
      <sheetName val="GEO Total"/>
      <sheetName val="GEA Acción 1"/>
      <sheetName val="GEA Acción 2"/>
      <sheetName val="GEA Acción 3"/>
      <sheetName val="GEA Acción 4"/>
      <sheetName val="GEA Acción 5"/>
      <sheetName val="GEA Acción 6"/>
      <sheetName val="GEA Acción 7"/>
      <sheetName val="AAE"/>
    </sheetNames>
    <sheetDataSet>
      <sheetData sheetId="0">
        <row r="36">
          <cell r="C36">
            <v>1.9900000000000001E-4</v>
          </cell>
        </row>
      </sheetData>
      <sheetData sheetId="1"/>
      <sheetData sheetId="2"/>
      <sheetData sheetId="3"/>
      <sheetData sheetId="4">
        <row r="1">
          <cell r="A1" t="str">
            <v xml:space="preserve">Consumo Energía </v>
          </cell>
        </row>
        <row r="2">
          <cell r="B2">
            <v>2014</v>
          </cell>
          <cell r="C2">
            <v>2015</v>
          </cell>
        </row>
        <row r="7">
          <cell r="B7">
            <v>170979467.00000021</v>
          </cell>
          <cell r="C7">
            <v>148034773.32999998</v>
          </cell>
        </row>
        <row r="8">
          <cell r="B8">
            <v>34024.913933000047</v>
          </cell>
          <cell r="C8">
            <v>29458.919892669997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OS"/>
      <sheetName val="GEO Acción 1"/>
      <sheetName val="GEO Acción 2"/>
      <sheetName val="GEO Acción 3"/>
      <sheetName val="GEO Total"/>
      <sheetName val="GEA Acción 1"/>
      <sheetName val="GEA Acción 2"/>
      <sheetName val="GEA Acción 3"/>
      <sheetName val="GEA Acción 4"/>
      <sheetName val="GEA Acción 5"/>
      <sheetName val="GEA Acción 6"/>
      <sheetName val="GEA Acción 7"/>
      <sheetName val="AA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9">
          <cell r="A49" t="str">
            <v>Enero</v>
          </cell>
        </row>
        <row r="50">
          <cell r="A50" t="str">
            <v>Febrero</v>
          </cell>
        </row>
        <row r="51">
          <cell r="A51" t="str">
            <v>Marzo</v>
          </cell>
        </row>
        <row r="52">
          <cell r="A52" t="str">
            <v>Abril</v>
          </cell>
        </row>
        <row r="53">
          <cell r="A53" t="str">
            <v>Mayo</v>
          </cell>
        </row>
        <row r="54">
          <cell r="A54" t="str">
            <v>Junio</v>
          </cell>
        </row>
        <row r="55">
          <cell r="A55" t="str">
            <v>Julio</v>
          </cell>
        </row>
        <row r="56">
          <cell r="A56" t="str">
            <v>Agosto</v>
          </cell>
        </row>
        <row r="57">
          <cell r="A57" t="str">
            <v>Septiembre</v>
          </cell>
        </row>
        <row r="58">
          <cell r="A58" t="str">
            <v>Octubre</v>
          </cell>
        </row>
        <row r="59">
          <cell r="A59" t="str">
            <v>Noviembre</v>
          </cell>
        </row>
        <row r="60">
          <cell r="A60" t="str">
            <v>Diciembre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topLeftCell="A2" zoomScaleNormal="100" workbookViewId="0">
      <selection activeCell="C12" sqref="C12"/>
    </sheetView>
  </sheetViews>
  <sheetFormatPr baseColWidth="10" defaultRowHeight="12.75" x14ac:dyDescent="0.2"/>
  <cols>
    <col min="1" max="1" width="3" style="273" bestFit="1" customWidth="1"/>
    <col min="2" max="2" width="99.140625" style="273" bestFit="1" customWidth="1"/>
    <col min="3" max="3" width="12" style="273" bestFit="1" customWidth="1"/>
    <col min="4" max="4" width="11" style="273" bestFit="1" customWidth="1"/>
    <col min="5" max="7" width="12" style="273" bestFit="1" customWidth="1"/>
    <col min="8" max="8" width="11" style="273" bestFit="1" customWidth="1"/>
    <col min="9" max="11" width="10" style="273" bestFit="1" customWidth="1"/>
    <col min="12" max="12" width="11" style="273" bestFit="1" customWidth="1"/>
    <col min="13" max="13" width="6.5703125" style="273" bestFit="1" customWidth="1"/>
    <col min="14" max="16" width="7.7109375" style="273" bestFit="1" customWidth="1"/>
    <col min="17" max="17" width="9.5703125" style="273" bestFit="1" customWidth="1"/>
    <col min="18" max="18" width="11.5703125" style="273" bestFit="1" customWidth="1"/>
    <col min="19" max="16384" width="11.42578125" style="273"/>
  </cols>
  <sheetData>
    <row r="1" spans="1:18" ht="5.25" hidden="1" customHeight="1" x14ac:dyDescent="0.2"/>
    <row r="3" spans="1:18" x14ac:dyDescent="0.2">
      <c r="O3" s="274"/>
    </row>
    <row r="4" spans="1:18" x14ac:dyDescent="0.2">
      <c r="G4" s="275"/>
      <c r="H4" s="276"/>
      <c r="I4" s="277"/>
    </row>
    <row r="5" spans="1:18" x14ac:dyDescent="0.2">
      <c r="F5" s="277"/>
    </row>
    <row r="6" spans="1:18" ht="13.5" thickBot="1" x14ac:dyDescent="0.25"/>
    <row r="7" spans="1:18" s="227" customFormat="1" ht="27.75" customHeight="1" thickBot="1" x14ac:dyDescent="0.25">
      <c r="B7" s="308" t="s">
        <v>184</v>
      </c>
      <c r="C7" s="313" t="s">
        <v>166</v>
      </c>
      <c r="D7" s="314"/>
      <c r="E7" s="314"/>
      <c r="F7" s="314"/>
      <c r="G7" s="315"/>
      <c r="H7" s="316" t="s">
        <v>167</v>
      </c>
      <c r="I7" s="317"/>
      <c r="J7" s="317"/>
      <c r="K7" s="317"/>
      <c r="L7" s="318"/>
      <c r="M7" s="313" t="s">
        <v>169</v>
      </c>
      <c r="N7" s="314"/>
      <c r="O7" s="314"/>
      <c r="P7" s="314"/>
      <c r="Q7" s="315"/>
      <c r="R7" s="308" t="s">
        <v>168</v>
      </c>
    </row>
    <row r="8" spans="1:18" ht="13.5" customHeight="1" thickBot="1" x14ac:dyDescent="0.25">
      <c r="B8" s="309"/>
      <c r="C8" s="319">
        <v>2014</v>
      </c>
      <c r="D8" s="180">
        <v>2015</v>
      </c>
      <c r="E8" s="100">
        <v>2016</v>
      </c>
      <c r="F8" s="100">
        <v>2017</v>
      </c>
      <c r="G8" s="180">
        <v>2018</v>
      </c>
      <c r="H8" s="100">
        <v>2015</v>
      </c>
      <c r="I8" s="100">
        <v>2016</v>
      </c>
      <c r="J8" s="100">
        <v>2017</v>
      </c>
      <c r="K8" s="100">
        <v>2018</v>
      </c>
      <c r="L8" s="319" t="s">
        <v>0</v>
      </c>
      <c r="M8" s="100">
        <v>2015</v>
      </c>
      <c r="N8" s="100">
        <v>2016</v>
      </c>
      <c r="O8" s="100">
        <v>2017</v>
      </c>
      <c r="P8" s="100">
        <v>2018</v>
      </c>
      <c r="Q8" s="319" t="s">
        <v>0</v>
      </c>
      <c r="R8" s="311"/>
    </row>
    <row r="9" spans="1:18" ht="13.5" customHeight="1" thickBot="1" x14ac:dyDescent="0.25">
      <c r="B9" s="310"/>
      <c r="C9" s="320"/>
      <c r="D9" s="100" t="s">
        <v>35</v>
      </c>
      <c r="E9" s="100" t="s">
        <v>34</v>
      </c>
      <c r="F9" s="100" t="s">
        <v>34</v>
      </c>
      <c r="G9" s="100" t="s">
        <v>34</v>
      </c>
      <c r="H9" s="100" t="s">
        <v>35</v>
      </c>
      <c r="I9" s="100" t="s">
        <v>34</v>
      </c>
      <c r="J9" s="100" t="s">
        <v>34</v>
      </c>
      <c r="K9" s="100" t="s">
        <v>34</v>
      </c>
      <c r="L9" s="320"/>
      <c r="M9" s="100" t="s">
        <v>35</v>
      </c>
      <c r="N9" s="100" t="s">
        <v>34</v>
      </c>
      <c r="O9" s="100" t="s">
        <v>34</v>
      </c>
      <c r="P9" s="100" t="s">
        <v>34</v>
      </c>
      <c r="Q9" s="320"/>
      <c r="R9" s="312"/>
    </row>
    <row r="10" spans="1:18" ht="13.5" thickBot="1" x14ac:dyDescent="0.25">
      <c r="A10" s="278" t="s">
        <v>46</v>
      </c>
      <c r="B10" s="279" t="s">
        <v>171</v>
      </c>
      <c r="C10" s="280">
        <f>SUM(C11:C13)</f>
        <v>124060336.53999999</v>
      </c>
      <c r="D10" s="280">
        <f t="shared" ref="D10:Q10" si="0">SUM(D11:D13)</f>
        <v>95805931.320000008</v>
      </c>
      <c r="E10" s="280">
        <f t="shared" si="0"/>
        <v>116704768.0148</v>
      </c>
      <c r="F10" s="280">
        <f t="shared" si="0"/>
        <v>116704768.0148</v>
      </c>
      <c r="G10" s="280">
        <f t="shared" si="0"/>
        <v>116704768.0148</v>
      </c>
      <c r="H10" s="280">
        <f t="shared" si="0"/>
        <v>28254405.219999984</v>
      </c>
      <c r="I10" s="280">
        <f t="shared" si="0"/>
        <v>7355568.5251999963</v>
      </c>
      <c r="J10" s="280">
        <f t="shared" si="0"/>
        <v>7355568.5251999963</v>
      </c>
      <c r="K10" s="280">
        <f t="shared" si="0"/>
        <v>7355568.5251999963</v>
      </c>
      <c r="L10" s="280">
        <f t="shared" si="0"/>
        <v>50321110.795599975</v>
      </c>
      <c r="M10" s="280">
        <f>SUM(M11:M13)</f>
        <v>5622.6266387799969</v>
      </c>
      <c r="N10" s="280">
        <f t="shared" si="0"/>
        <v>1463.7581365147992</v>
      </c>
      <c r="O10" s="280">
        <f t="shared" si="0"/>
        <v>1463.7581365147992</v>
      </c>
      <c r="P10" s="280">
        <f t="shared" si="0"/>
        <v>1463.7581365147992</v>
      </c>
      <c r="Q10" s="280">
        <f t="shared" si="0"/>
        <v>10013.901048324395</v>
      </c>
      <c r="R10" s="281">
        <f>+Q10/Q24</f>
        <v>0.97859132424556372</v>
      </c>
    </row>
    <row r="11" spans="1:18" ht="38.25" x14ac:dyDescent="0.2">
      <c r="A11" s="278">
        <v>1</v>
      </c>
      <c r="B11" s="282" t="s">
        <v>174</v>
      </c>
      <c r="C11" s="283">
        <f>+'GEO Acción 1'!F19</f>
        <v>85641946.599999994</v>
      </c>
      <c r="D11" s="284">
        <f>+'GEO Acción 1'!M19</f>
        <v>67520334.300000012</v>
      </c>
      <c r="E11" s="284">
        <f>$C$11*0.95</f>
        <v>81359849.269999996</v>
      </c>
      <c r="F11" s="284">
        <f>$C$11*0.95</f>
        <v>81359849.269999996</v>
      </c>
      <c r="G11" s="284">
        <f>$C$11*0.95</f>
        <v>81359849.269999996</v>
      </c>
      <c r="H11" s="284">
        <f>+C11-D11</f>
        <v>18121612.299999982</v>
      </c>
      <c r="I11" s="284">
        <f>+$C$11-E11</f>
        <v>4282097.3299999982</v>
      </c>
      <c r="J11" s="284">
        <f>+$C$11-F11</f>
        <v>4282097.3299999982</v>
      </c>
      <c r="K11" s="284">
        <f t="shared" ref="K11" si="1">+$C$11-G11</f>
        <v>4282097.3299999982</v>
      </c>
      <c r="L11" s="284">
        <f>SUM(H11:K11)</f>
        <v>30967904.289999977</v>
      </c>
      <c r="M11" s="284">
        <f t="shared" ref="M11:P12" si="2">$C$26*H11</f>
        <v>3606.2008476999968</v>
      </c>
      <c r="N11" s="284">
        <f t="shared" si="2"/>
        <v>852.13736866999966</v>
      </c>
      <c r="O11" s="284">
        <f t="shared" si="2"/>
        <v>852.13736866999966</v>
      </c>
      <c r="P11" s="284">
        <f t="shared" si="2"/>
        <v>852.13736866999966</v>
      </c>
      <c r="Q11" s="285">
        <f>SUM(M11:P11)</f>
        <v>6162.612953709996</v>
      </c>
      <c r="R11" s="285"/>
    </row>
    <row r="12" spans="1:18" ht="38.25" x14ac:dyDescent="0.2">
      <c r="A12" s="278">
        <v>2</v>
      </c>
      <c r="B12" s="286" t="s">
        <v>175</v>
      </c>
      <c r="C12" s="287">
        <f>+'GEO Acción 2'!C18</f>
        <v>33946520</v>
      </c>
      <c r="D12" s="288">
        <f>+'GEO Acción 2'!D18</f>
        <v>24182720</v>
      </c>
      <c r="E12" s="288">
        <f>$C$12*0.92</f>
        <v>31230798.400000002</v>
      </c>
      <c r="F12" s="288">
        <f>$C$12*0.92</f>
        <v>31230798.400000002</v>
      </c>
      <c r="G12" s="288">
        <f>$C$12*0.92</f>
        <v>31230798.400000002</v>
      </c>
      <c r="H12" s="288">
        <f>+C12-D12</f>
        <v>9763800</v>
      </c>
      <c r="I12" s="288">
        <f>$C$12-E12</f>
        <v>2715721.5999999978</v>
      </c>
      <c r="J12" s="288">
        <f>$C$12-F12</f>
        <v>2715721.5999999978</v>
      </c>
      <c r="K12" s="288">
        <f>$C$12-G12</f>
        <v>2715721.5999999978</v>
      </c>
      <c r="L12" s="288">
        <f>SUM(H12:K12)</f>
        <v>17910964.799999993</v>
      </c>
      <c r="M12" s="288">
        <f t="shared" si="2"/>
        <v>1942.9962</v>
      </c>
      <c r="N12" s="288">
        <f t="shared" si="2"/>
        <v>540.4285983999996</v>
      </c>
      <c r="O12" s="288">
        <f t="shared" si="2"/>
        <v>540.4285983999996</v>
      </c>
      <c r="P12" s="288">
        <f t="shared" si="2"/>
        <v>540.4285983999996</v>
      </c>
      <c r="Q12" s="289">
        <f>SUM(M12:P12)</f>
        <v>3564.2819951999991</v>
      </c>
      <c r="R12" s="289"/>
    </row>
    <row r="13" spans="1:18" ht="26.25" thickBot="1" x14ac:dyDescent="0.25">
      <c r="A13" s="278">
        <v>3</v>
      </c>
      <c r="B13" s="290" t="s">
        <v>176</v>
      </c>
      <c r="C13" s="291">
        <f>+'GEO Acción 3'!C18</f>
        <v>4471869.9400000004</v>
      </c>
      <c r="D13" s="292">
        <f>+'GEO Acción 3'!D18</f>
        <v>4102877.02</v>
      </c>
      <c r="E13" s="292">
        <f>$C$13*0.92</f>
        <v>4114120.3448000005</v>
      </c>
      <c r="F13" s="292">
        <f>$C$13*0.92</f>
        <v>4114120.3448000005</v>
      </c>
      <c r="G13" s="292">
        <f>$C$13*0.92</f>
        <v>4114120.3448000005</v>
      </c>
      <c r="H13" s="292">
        <f>+C13-D13</f>
        <v>368992.92000000039</v>
      </c>
      <c r="I13" s="292">
        <f>$C$13-E13</f>
        <v>357749.59519999987</v>
      </c>
      <c r="J13" s="292">
        <f>$C$13-F13</f>
        <v>357749.59519999987</v>
      </c>
      <c r="K13" s="292">
        <f>$C$13-G13</f>
        <v>357749.59519999987</v>
      </c>
      <c r="L13" s="292">
        <f>SUM(H13:K13)</f>
        <v>1442241.7056</v>
      </c>
      <c r="M13" s="292">
        <f>$C$26*H13</f>
        <v>73.42959108000008</v>
      </c>
      <c r="N13" s="292">
        <f>$C$26*I13</f>
        <v>71.192169444799973</v>
      </c>
      <c r="O13" s="292">
        <f>J13*$C$26</f>
        <v>71.192169444799973</v>
      </c>
      <c r="P13" s="292">
        <f>K13*$C$26</f>
        <v>71.192169444799973</v>
      </c>
      <c r="Q13" s="293">
        <f>SUM(M13:P13)</f>
        <v>287.00609941439996</v>
      </c>
      <c r="R13" s="293"/>
    </row>
    <row r="14" spans="1:18" ht="13.5" thickBot="1" x14ac:dyDescent="0.25">
      <c r="A14" s="278"/>
      <c r="B14" s="294" t="s">
        <v>172</v>
      </c>
      <c r="C14" s="280">
        <f>SUM(C15:C21)</f>
        <v>835513.92</v>
      </c>
      <c r="D14" s="280">
        <f t="shared" ref="D14:Q14" si="3">SUM(D15:D21)</f>
        <v>241306.56</v>
      </c>
      <c r="E14" s="280">
        <f t="shared" si="3"/>
        <v>543084.04800000007</v>
      </c>
      <c r="F14" s="280">
        <f t="shared" si="3"/>
        <v>560749.96799999999</v>
      </c>
      <c r="G14" s="280">
        <f t="shared" si="3"/>
        <v>560749.96799999999</v>
      </c>
      <c r="H14" s="280">
        <f t="shared" si="3"/>
        <v>154787.04000000004</v>
      </c>
      <c r="I14" s="280">
        <f t="shared" si="3"/>
        <v>292429.87200000003</v>
      </c>
      <c r="J14" s="280">
        <f t="shared" si="3"/>
        <v>292429.87200000003</v>
      </c>
      <c r="K14" s="280">
        <f t="shared" si="3"/>
        <v>292429.87200000003</v>
      </c>
      <c r="L14" s="280">
        <f t="shared" si="3"/>
        <v>1032076.656</v>
      </c>
      <c r="M14" s="280">
        <f t="shared" si="3"/>
        <v>30.802620960000009</v>
      </c>
      <c r="N14" s="280">
        <f t="shared" si="3"/>
        <v>58.193544528000004</v>
      </c>
      <c r="O14" s="280">
        <f t="shared" si="3"/>
        <v>58.193544528000004</v>
      </c>
      <c r="P14" s="280">
        <f t="shared" si="3"/>
        <v>58.193544528000004</v>
      </c>
      <c r="Q14" s="295">
        <f t="shared" si="3"/>
        <v>205.38325454400007</v>
      </c>
      <c r="R14" s="281">
        <f>+Q14/Q24</f>
        <v>2.0070726690045268E-2</v>
      </c>
    </row>
    <row r="15" spans="1:18" ht="25.5" x14ac:dyDescent="0.2">
      <c r="A15" s="278">
        <v>4</v>
      </c>
      <c r="B15" s="305" t="s">
        <v>173</v>
      </c>
      <c r="C15" s="283">
        <f>+'GEA Acción 4'!W30</f>
        <v>396093.60000000003</v>
      </c>
      <c r="D15" s="283">
        <f>+'GEA Acción 4'!W51</f>
        <v>241306.56</v>
      </c>
      <c r="E15" s="283">
        <f>$C$15*0.65</f>
        <v>257460.84000000003</v>
      </c>
      <c r="F15" s="283">
        <f t="shared" ref="F15:G15" si="4">$C$15*0.65</f>
        <v>257460.84000000003</v>
      </c>
      <c r="G15" s="283">
        <f t="shared" si="4"/>
        <v>257460.84000000003</v>
      </c>
      <c r="H15" s="283">
        <f>+C15-D15</f>
        <v>154787.04000000004</v>
      </c>
      <c r="I15" s="283">
        <f>$C$15-E15</f>
        <v>138632.76</v>
      </c>
      <c r="J15" s="283">
        <f>$C$15-F15</f>
        <v>138632.76</v>
      </c>
      <c r="K15" s="283">
        <f>$C$15-G15</f>
        <v>138632.76</v>
      </c>
      <c r="L15" s="283">
        <f t="shared" ref="L15:L21" si="5">SUM(H15:K15)</f>
        <v>570685.32000000007</v>
      </c>
      <c r="M15" s="296">
        <f>$C$26*H15</f>
        <v>30.802620960000009</v>
      </c>
      <c r="N15" s="296">
        <f>$C$26*I15</f>
        <v>27.587919240000005</v>
      </c>
      <c r="O15" s="296">
        <f>$C$26*J15</f>
        <v>27.587919240000005</v>
      </c>
      <c r="P15" s="296">
        <f>$C$26*K15</f>
        <v>27.587919240000005</v>
      </c>
      <c r="Q15" s="285">
        <f t="shared" ref="Q15:Q21" si="6">SUM(M15:P15)</f>
        <v>113.56637868000003</v>
      </c>
      <c r="R15" s="285"/>
    </row>
    <row r="16" spans="1:18" ht="25.5" x14ac:dyDescent="0.2">
      <c r="A16" s="278">
        <v>5</v>
      </c>
      <c r="B16" s="306" t="s">
        <v>177</v>
      </c>
      <c r="C16" s="287">
        <f>+'GEA Acción 5'!G21</f>
        <v>117783.36000000002</v>
      </c>
      <c r="D16" s="288">
        <v>0</v>
      </c>
      <c r="E16" s="287">
        <f t="shared" ref="E16:E21" si="7">C16*0.65</f>
        <v>76559.184000000008</v>
      </c>
      <c r="F16" s="287">
        <f>$C$16*0.65</f>
        <v>76559.184000000008</v>
      </c>
      <c r="G16" s="287">
        <f>$C$16*0.65</f>
        <v>76559.184000000008</v>
      </c>
      <c r="H16" s="288">
        <v>0</v>
      </c>
      <c r="I16" s="287">
        <f t="shared" ref="I16:I21" si="8">C16-E16</f>
        <v>41224.176000000007</v>
      </c>
      <c r="J16" s="287">
        <f t="shared" ref="J16:J21" si="9">I16</f>
        <v>41224.176000000007</v>
      </c>
      <c r="K16" s="287">
        <f t="shared" ref="K16:K21" si="10">I16</f>
        <v>41224.176000000007</v>
      </c>
      <c r="L16" s="287">
        <f t="shared" si="5"/>
        <v>123672.52800000002</v>
      </c>
      <c r="M16" s="287">
        <f t="shared" ref="M16:N21" si="11">$C$26*H16</f>
        <v>0</v>
      </c>
      <c r="N16" s="297">
        <f t="shared" si="11"/>
        <v>8.2036110240000024</v>
      </c>
      <c r="O16" s="297">
        <f t="shared" ref="O16:P21" si="12">J16*$C$26</f>
        <v>8.2036110240000024</v>
      </c>
      <c r="P16" s="297">
        <f t="shared" si="12"/>
        <v>8.2036110240000024</v>
      </c>
      <c r="Q16" s="298">
        <f t="shared" si="6"/>
        <v>24.610833072000005</v>
      </c>
      <c r="R16" s="298"/>
    </row>
    <row r="17" spans="1:18" ht="25.5" x14ac:dyDescent="0.2">
      <c r="A17" s="278">
        <v>6</v>
      </c>
      <c r="B17" s="306" t="s">
        <v>178</v>
      </c>
      <c r="C17" s="287">
        <f>+'GEA Acción 6'!G19</f>
        <v>75147.839999999997</v>
      </c>
      <c r="D17" s="288">
        <v>0</v>
      </c>
      <c r="E17" s="287">
        <f t="shared" si="7"/>
        <v>48846.095999999998</v>
      </c>
      <c r="F17" s="287">
        <f>$C$17*0.75</f>
        <v>56360.88</v>
      </c>
      <c r="G17" s="287">
        <f>$C$17*0.75</f>
        <v>56360.88</v>
      </c>
      <c r="H17" s="288">
        <v>0</v>
      </c>
      <c r="I17" s="287">
        <f t="shared" si="8"/>
        <v>26301.743999999999</v>
      </c>
      <c r="J17" s="287">
        <f t="shared" si="9"/>
        <v>26301.743999999999</v>
      </c>
      <c r="K17" s="287">
        <f t="shared" si="10"/>
        <v>26301.743999999999</v>
      </c>
      <c r="L17" s="287">
        <f t="shared" si="5"/>
        <v>78905.231999999989</v>
      </c>
      <c r="M17" s="287">
        <f t="shared" si="11"/>
        <v>0</v>
      </c>
      <c r="N17" s="297">
        <f t="shared" si="11"/>
        <v>5.2340470559999996</v>
      </c>
      <c r="O17" s="297">
        <f t="shared" si="12"/>
        <v>5.2340470559999996</v>
      </c>
      <c r="P17" s="297">
        <f t="shared" si="12"/>
        <v>5.2340470559999996</v>
      </c>
      <c r="Q17" s="298">
        <f t="shared" si="6"/>
        <v>15.702141167999999</v>
      </c>
      <c r="R17" s="298"/>
    </row>
    <row r="18" spans="1:18" ht="25.5" x14ac:dyDescent="0.2">
      <c r="A18" s="278">
        <v>7</v>
      </c>
      <c r="B18" s="306" t="s">
        <v>179</v>
      </c>
      <c r="C18" s="287">
        <f>+'GEA Acción 7'!G18</f>
        <v>101511.35999999999</v>
      </c>
      <c r="D18" s="288">
        <v>0</v>
      </c>
      <c r="E18" s="287">
        <f t="shared" si="7"/>
        <v>65982.383999999991</v>
      </c>
      <c r="F18" s="287">
        <f>$C$18*0.75</f>
        <v>76133.51999999999</v>
      </c>
      <c r="G18" s="287">
        <f>$C$18*0.75</f>
        <v>76133.51999999999</v>
      </c>
      <c r="H18" s="288">
        <v>0</v>
      </c>
      <c r="I18" s="287">
        <f t="shared" si="8"/>
        <v>35528.975999999995</v>
      </c>
      <c r="J18" s="287">
        <f t="shared" si="9"/>
        <v>35528.975999999995</v>
      </c>
      <c r="K18" s="287">
        <f t="shared" si="10"/>
        <v>35528.975999999995</v>
      </c>
      <c r="L18" s="287">
        <f t="shared" si="5"/>
        <v>106586.92799999999</v>
      </c>
      <c r="M18" s="287">
        <f t="shared" si="11"/>
        <v>0</v>
      </c>
      <c r="N18" s="297">
        <f t="shared" si="11"/>
        <v>7.0702662239999992</v>
      </c>
      <c r="O18" s="297">
        <f t="shared" si="12"/>
        <v>7.0702662239999992</v>
      </c>
      <c r="P18" s="297">
        <f t="shared" si="12"/>
        <v>7.0702662239999992</v>
      </c>
      <c r="Q18" s="298">
        <f t="shared" si="6"/>
        <v>21.210798671999996</v>
      </c>
      <c r="R18" s="298"/>
    </row>
    <row r="19" spans="1:18" ht="25.5" x14ac:dyDescent="0.2">
      <c r="A19" s="278">
        <v>8</v>
      </c>
      <c r="B19" s="306" t="s">
        <v>180</v>
      </c>
      <c r="C19" s="287">
        <f>+'GEA Acción 8'!G17</f>
        <v>46449.216</v>
      </c>
      <c r="D19" s="288">
        <v>0</v>
      </c>
      <c r="E19" s="287">
        <f t="shared" si="7"/>
        <v>30191.990400000002</v>
      </c>
      <c r="F19" s="287">
        <f>E19</f>
        <v>30191.990400000002</v>
      </c>
      <c r="G19" s="287">
        <f>E19</f>
        <v>30191.990400000002</v>
      </c>
      <c r="H19" s="288">
        <v>0</v>
      </c>
      <c r="I19" s="287">
        <f t="shared" si="8"/>
        <v>16257.225599999998</v>
      </c>
      <c r="J19" s="287">
        <f t="shared" si="9"/>
        <v>16257.225599999998</v>
      </c>
      <c r="K19" s="287">
        <f t="shared" si="10"/>
        <v>16257.225599999998</v>
      </c>
      <c r="L19" s="287">
        <f t="shared" si="5"/>
        <v>48771.676799999994</v>
      </c>
      <c r="M19" s="287">
        <f t="shared" si="11"/>
        <v>0</v>
      </c>
      <c r="N19" s="297">
        <f t="shared" si="11"/>
        <v>3.2351878943999997</v>
      </c>
      <c r="O19" s="297">
        <f t="shared" si="12"/>
        <v>3.2351878943999997</v>
      </c>
      <c r="P19" s="297">
        <f t="shared" si="12"/>
        <v>3.2351878943999997</v>
      </c>
      <c r="Q19" s="298">
        <f t="shared" si="6"/>
        <v>9.7055636831999994</v>
      </c>
      <c r="R19" s="298"/>
    </row>
    <row r="20" spans="1:18" ht="25.5" x14ac:dyDescent="0.2">
      <c r="A20" s="278">
        <v>9</v>
      </c>
      <c r="B20" s="306" t="s">
        <v>181</v>
      </c>
      <c r="C20" s="287">
        <f>+'GEA Acción 9'!G10</f>
        <v>43082.784</v>
      </c>
      <c r="D20" s="288">
        <v>0</v>
      </c>
      <c r="E20" s="287">
        <f t="shared" si="7"/>
        <v>28003.809600000001</v>
      </c>
      <c r="F20" s="287">
        <f>E20</f>
        <v>28003.809600000001</v>
      </c>
      <c r="G20" s="287">
        <f>E20</f>
        <v>28003.809600000001</v>
      </c>
      <c r="H20" s="288">
        <v>0</v>
      </c>
      <c r="I20" s="287">
        <f t="shared" si="8"/>
        <v>15078.974399999999</v>
      </c>
      <c r="J20" s="287">
        <f t="shared" si="9"/>
        <v>15078.974399999999</v>
      </c>
      <c r="K20" s="287">
        <f t="shared" si="10"/>
        <v>15078.974399999999</v>
      </c>
      <c r="L20" s="287">
        <f t="shared" si="5"/>
        <v>45236.923199999997</v>
      </c>
      <c r="M20" s="287">
        <f t="shared" si="11"/>
        <v>0</v>
      </c>
      <c r="N20" s="297">
        <f t="shared" si="11"/>
        <v>3.0007159055999999</v>
      </c>
      <c r="O20" s="297">
        <f t="shared" si="12"/>
        <v>3.0007159055999999</v>
      </c>
      <c r="P20" s="297">
        <f t="shared" si="12"/>
        <v>3.0007159055999999</v>
      </c>
      <c r="Q20" s="298">
        <f t="shared" si="6"/>
        <v>9.0021477167999997</v>
      </c>
      <c r="R20" s="298"/>
    </row>
    <row r="21" spans="1:18" ht="26.25" thickBot="1" x14ac:dyDescent="0.25">
      <c r="A21" s="278">
        <v>10</v>
      </c>
      <c r="B21" s="306" t="s">
        <v>182</v>
      </c>
      <c r="C21" s="287">
        <f>+'GEA Acción 10'!P32</f>
        <v>55445.759999999995</v>
      </c>
      <c r="D21" s="288">
        <v>0</v>
      </c>
      <c r="E21" s="287">
        <f t="shared" si="7"/>
        <v>36039.743999999999</v>
      </c>
      <c r="F21" s="287">
        <f>E21</f>
        <v>36039.743999999999</v>
      </c>
      <c r="G21" s="287">
        <f>E21</f>
        <v>36039.743999999999</v>
      </c>
      <c r="H21" s="288">
        <v>0</v>
      </c>
      <c r="I21" s="287">
        <f t="shared" si="8"/>
        <v>19406.015999999996</v>
      </c>
      <c r="J21" s="287">
        <f t="shared" si="9"/>
        <v>19406.015999999996</v>
      </c>
      <c r="K21" s="287">
        <f t="shared" si="10"/>
        <v>19406.015999999996</v>
      </c>
      <c r="L21" s="287">
        <f t="shared" si="5"/>
        <v>58218.047999999988</v>
      </c>
      <c r="M21" s="287">
        <f t="shared" si="11"/>
        <v>0</v>
      </c>
      <c r="N21" s="297">
        <f t="shared" si="11"/>
        <v>3.8617971839999994</v>
      </c>
      <c r="O21" s="297">
        <f t="shared" si="12"/>
        <v>3.8617971839999994</v>
      </c>
      <c r="P21" s="297">
        <f t="shared" si="12"/>
        <v>3.8617971839999994</v>
      </c>
      <c r="Q21" s="298">
        <f t="shared" si="6"/>
        <v>11.585391551999997</v>
      </c>
      <c r="R21" s="298"/>
    </row>
    <row r="22" spans="1:18" ht="13.5" thickBot="1" x14ac:dyDescent="0.25">
      <c r="A22" s="278"/>
      <c r="B22" s="294" t="s">
        <v>33</v>
      </c>
      <c r="C22" s="280">
        <f>SUM(C23)</f>
        <v>49680</v>
      </c>
      <c r="D22" s="280">
        <f>+'AAE Acción 11'!D18</f>
        <v>32480</v>
      </c>
      <c r="E22" s="280">
        <f t="shared" ref="E22:Q22" si="13">SUM(E23)</f>
        <v>32480</v>
      </c>
      <c r="F22" s="280">
        <f t="shared" si="13"/>
        <v>32480</v>
      </c>
      <c r="G22" s="280">
        <f t="shared" si="13"/>
        <v>32480</v>
      </c>
      <c r="H22" s="280">
        <f>+C22-D22</f>
        <v>17200</v>
      </c>
      <c r="I22" s="280">
        <f t="shared" si="13"/>
        <v>17200</v>
      </c>
      <c r="J22" s="280">
        <f t="shared" si="13"/>
        <v>17200</v>
      </c>
      <c r="K22" s="280">
        <f t="shared" si="13"/>
        <v>17200</v>
      </c>
      <c r="L22" s="280">
        <f t="shared" si="13"/>
        <v>68800</v>
      </c>
      <c r="M22" s="280">
        <f t="shared" si="13"/>
        <v>3.4228000000000001</v>
      </c>
      <c r="N22" s="280">
        <f t="shared" si="13"/>
        <v>3.4228000000000001</v>
      </c>
      <c r="O22" s="280">
        <f t="shared" si="13"/>
        <v>3.4228000000000001</v>
      </c>
      <c r="P22" s="280">
        <f t="shared" si="13"/>
        <v>3.4228000000000001</v>
      </c>
      <c r="Q22" s="280">
        <f t="shared" si="13"/>
        <v>13.6912</v>
      </c>
      <c r="R22" s="281">
        <f>+Q22/Q24</f>
        <v>1.3379490643911183E-3</v>
      </c>
    </row>
    <row r="23" spans="1:18" ht="26.25" thickBot="1" x14ac:dyDescent="0.25">
      <c r="A23" s="278">
        <v>11</v>
      </c>
      <c r="B23" s="306" t="s">
        <v>183</v>
      </c>
      <c r="C23" s="288">
        <f>+'AAE Acción 11'!C18</f>
        <v>49680</v>
      </c>
      <c r="D23" s="288"/>
      <c r="E23" s="288">
        <v>32480</v>
      </c>
      <c r="F23" s="288">
        <v>32480</v>
      </c>
      <c r="G23" s="288">
        <v>32480</v>
      </c>
      <c r="H23" s="288">
        <f>+C23-E23</f>
        <v>17200</v>
      </c>
      <c r="I23" s="288">
        <f>$C$23-E23</f>
        <v>17200</v>
      </c>
      <c r="J23" s="288">
        <f>$C$23-F23</f>
        <v>17200</v>
      </c>
      <c r="K23" s="288">
        <f>$C$23-G23</f>
        <v>17200</v>
      </c>
      <c r="L23" s="288">
        <f>SUM(H23:K23)</f>
        <v>68800</v>
      </c>
      <c r="M23" s="299">
        <f>$C$26*H23</f>
        <v>3.4228000000000001</v>
      </c>
      <c r="N23" s="299">
        <f>$C$26*I23</f>
        <v>3.4228000000000001</v>
      </c>
      <c r="O23" s="299">
        <f>$C$26*J23</f>
        <v>3.4228000000000001</v>
      </c>
      <c r="P23" s="299">
        <f>$C$26*K23</f>
        <v>3.4228000000000001</v>
      </c>
      <c r="Q23" s="300">
        <f>SUM(M23:P23)</f>
        <v>13.6912</v>
      </c>
      <c r="R23" s="300"/>
    </row>
    <row r="24" spans="1:18" ht="13.5" thickBot="1" x14ac:dyDescent="0.25">
      <c r="B24" s="294" t="s">
        <v>6</v>
      </c>
      <c r="C24" s="280">
        <f>+C10+C14+C22</f>
        <v>124945530.45999999</v>
      </c>
      <c r="D24" s="280">
        <f t="shared" ref="D24:Q24" si="14">+D10+D14+D22</f>
        <v>96079717.88000001</v>
      </c>
      <c r="E24" s="280">
        <f t="shared" si="14"/>
        <v>117280332.06279999</v>
      </c>
      <c r="F24" s="280">
        <f t="shared" si="14"/>
        <v>117297997.98279999</v>
      </c>
      <c r="G24" s="280">
        <f t="shared" si="14"/>
        <v>117297997.98279999</v>
      </c>
      <c r="H24" s="280">
        <f t="shared" si="14"/>
        <v>28426392.259999983</v>
      </c>
      <c r="I24" s="280">
        <f t="shared" si="14"/>
        <v>7665198.3971999967</v>
      </c>
      <c r="J24" s="280">
        <f t="shared" si="14"/>
        <v>7665198.3971999967</v>
      </c>
      <c r="K24" s="280">
        <f t="shared" si="14"/>
        <v>7665198.3971999967</v>
      </c>
      <c r="L24" s="280">
        <f t="shared" si="14"/>
        <v>51421987.451599978</v>
      </c>
      <c r="M24" s="280">
        <f t="shared" si="14"/>
        <v>5656.8520597399975</v>
      </c>
      <c r="N24" s="280">
        <f t="shared" si="14"/>
        <v>1525.3744810427993</v>
      </c>
      <c r="O24" s="280">
        <f t="shared" si="14"/>
        <v>1525.3744810427993</v>
      </c>
      <c r="P24" s="280">
        <f t="shared" si="14"/>
        <v>1525.3744810427993</v>
      </c>
      <c r="Q24" s="280">
        <f t="shared" si="14"/>
        <v>10232.975502868394</v>
      </c>
      <c r="R24" s="301">
        <f>+Q24/Q24</f>
        <v>1</v>
      </c>
    </row>
    <row r="25" spans="1:18" x14ac:dyDescent="0.2">
      <c r="D25" s="302"/>
      <c r="E25" s="302"/>
      <c r="F25" s="302"/>
      <c r="G25" s="302"/>
      <c r="H25" s="302"/>
      <c r="I25" s="302"/>
      <c r="J25" s="302"/>
      <c r="K25" s="302"/>
      <c r="L25" s="302"/>
    </row>
    <row r="26" spans="1:18" ht="14.25" x14ac:dyDescent="0.2">
      <c r="B26" s="273" t="s">
        <v>170</v>
      </c>
      <c r="C26" s="273">
        <f>0.199/1000</f>
        <v>1.9900000000000001E-4</v>
      </c>
      <c r="L26" s="302"/>
    </row>
    <row r="27" spans="1:18" x14ac:dyDescent="0.2">
      <c r="B27" s="303"/>
      <c r="C27" s="302"/>
      <c r="D27" s="302"/>
      <c r="E27" s="302"/>
      <c r="F27" s="302"/>
      <c r="G27" s="302"/>
      <c r="H27" s="302"/>
      <c r="I27" s="302"/>
      <c r="J27" s="302"/>
      <c r="K27" s="302"/>
      <c r="L27" s="302"/>
    </row>
    <row r="28" spans="1:18" x14ac:dyDescent="0.2">
      <c r="B28" s="303"/>
      <c r="C28" s="277"/>
      <c r="D28" s="302"/>
      <c r="E28" s="302"/>
      <c r="F28" s="302"/>
      <c r="G28" s="302"/>
      <c r="H28" s="302"/>
      <c r="I28" s="302"/>
      <c r="J28" s="302"/>
      <c r="K28" s="302"/>
      <c r="L28" s="302"/>
    </row>
    <row r="29" spans="1:18" x14ac:dyDescent="0.2">
      <c r="B29" s="303"/>
      <c r="C29" s="302"/>
      <c r="D29" s="302"/>
      <c r="E29" s="302"/>
      <c r="F29" s="302"/>
      <c r="G29" s="302"/>
      <c r="H29" s="302"/>
      <c r="I29" s="302"/>
      <c r="J29" s="302"/>
      <c r="K29" s="302"/>
      <c r="L29" s="302"/>
    </row>
    <row r="30" spans="1:18" x14ac:dyDescent="0.2">
      <c r="B30" s="303"/>
      <c r="C30" s="302"/>
      <c r="D30" s="302"/>
      <c r="E30" s="302"/>
      <c r="F30" s="302"/>
      <c r="G30" s="302"/>
      <c r="H30" s="302"/>
      <c r="I30" s="302"/>
      <c r="J30" s="302"/>
      <c r="K30" s="302"/>
      <c r="L30" s="302"/>
    </row>
    <row r="31" spans="1:18" x14ac:dyDescent="0.2">
      <c r="B31" s="304"/>
      <c r="C31" s="302"/>
      <c r="D31" s="302"/>
      <c r="E31" s="302"/>
      <c r="F31" s="302"/>
      <c r="G31" s="302"/>
      <c r="H31" s="302"/>
      <c r="I31" s="302"/>
      <c r="J31" s="302"/>
      <c r="K31" s="302"/>
      <c r="L31" s="302"/>
    </row>
    <row r="32" spans="1:18" x14ac:dyDescent="0.2">
      <c r="B32" s="304"/>
      <c r="C32" s="302"/>
      <c r="D32" s="302"/>
      <c r="E32" s="302"/>
      <c r="F32" s="302"/>
      <c r="G32" s="302"/>
      <c r="H32" s="302"/>
      <c r="I32" s="302"/>
      <c r="J32" s="302"/>
      <c r="K32" s="302"/>
      <c r="L32" s="302"/>
    </row>
  </sheetData>
  <sheetProtection password="DFB2" sheet="1" objects="1" scenarios="1"/>
  <mergeCells count="8">
    <mergeCell ref="B7:B9"/>
    <mergeCell ref="R7:R9"/>
    <mergeCell ref="C7:G7"/>
    <mergeCell ref="H7:L7"/>
    <mergeCell ref="M7:Q7"/>
    <mergeCell ref="C8:C9"/>
    <mergeCell ref="L8:L9"/>
    <mergeCell ref="Q8:Q9"/>
  </mergeCells>
  <pageMargins left="0.7" right="0.7" top="0.75" bottom="0.75" header="0.3" footer="0.3"/>
  <pageSetup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workbookViewId="0">
      <selection activeCell="N16" sqref="N16"/>
    </sheetView>
  </sheetViews>
  <sheetFormatPr baseColWidth="10" defaultRowHeight="12.75" x14ac:dyDescent="0.2"/>
  <cols>
    <col min="1" max="1" width="3.7109375" customWidth="1"/>
    <col min="2" max="2" width="31.42578125" customWidth="1"/>
    <col min="3" max="3" width="8.140625" bestFit="1" customWidth="1"/>
    <col min="4" max="4" width="10.140625" bestFit="1" customWidth="1"/>
    <col min="5" max="5" width="14.7109375" bestFit="1" customWidth="1"/>
    <col min="7" max="7" width="9.5703125" bestFit="1" customWidth="1"/>
    <col min="8" max="8" width="14.7109375" bestFit="1" customWidth="1"/>
  </cols>
  <sheetData>
    <row r="2" spans="2:8" x14ac:dyDescent="0.2">
      <c r="B2" s="39" t="s">
        <v>130</v>
      </c>
    </row>
    <row r="3" spans="2:8" ht="13.5" thickBot="1" x14ac:dyDescent="0.25"/>
    <row r="4" spans="2:8" ht="39" thickBot="1" x14ac:dyDescent="0.25">
      <c r="B4" s="95" t="s">
        <v>100</v>
      </c>
      <c r="C4" s="96" t="s">
        <v>47</v>
      </c>
      <c r="D4" s="120" t="s">
        <v>110</v>
      </c>
      <c r="E4" s="95" t="s">
        <v>64</v>
      </c>
      <c r="F4" s="96" t="s">
        <v>96</v>
      </c>
      <c r="G4" s="118" t="s">
        <v>101</v>
      </c>
      <c r="H4" s="63"/>
    </row>
    <row r="5" spans="2:8" x14ac:dyDescent="0.2">
      <c r="B5" s="13" t="s">
        <v>49</v>
      </c>
      <c r="C5" s="30" t="s">
        <v>50</v>
      </c>
      <c r="D5" s="13">
        <v>17</v>
      </c>
      <c r="E5" s="13">
        <v>86</v>
      </c>
      <c r="F5" s="31">
        <f>E5*D5</f>
        <v>1462</v>
      </c>
      <c r="G5" s="46">
        <f>F5*12*22/1000</f>
        <v>385.96800000000002</v>
      </c>
    </row>
    <row r="6" spans="2:8" x14ac:dyDescent="0.2">
      <c r="B6" s="14" t="s">
        <v>49</v>
      </c>
      <c r="C6" s="33" t="s">
        <v>50</v>
      </c>
      <c r="D6" s="14">
        <v>32</v>
      </c>
      <c r="E6" s="14">
        <v>111</v>
      </c>
      <c r="F6" s="34">
        <f t="shared" ref="F6:F13" si="0">E6*D6</f>
        <v>3552</v>
      </c>
      <c r="G6" s="47">
        <f t="shared" ref="G6:G13" si="1">F6*12*22/1000</f>
        <v>937.72799999999995</v>
      </c>
    </row>
    <row r="7" spans="2:8" x14ac:dyDescent="0.2">
      <c r="B7" s="14" t="s">
        <v>103</v>
      </c>
      <c r="C7" s="33" t="s">
        <v>87</v>
      </c>
      <c r="D7" s="14">
        <v>39</v>
      </c>
      <c r="E7" s="14">
        <v>216</v>
      </c>
      <c r="F7" s="34">
        <f t="shared" si="0"/>
        <v>8424</v>
      </c>
      <c r="G7" s="47">
        <f t="shared" si="1"/>
        <v>2223.9360000000001</v>
      </c>
    </row>
    <row r="8" spans="2:8" x14ac:dyDescent="0.2">
      <c r="B8" s="14" t="s">
        <v>51</v>
      </c>
      <c r="C8" s="33" t="s">
        <v>52</v>
      </c>
      <c r="D8" s="14">
        <v>15</v>
      </c>
      <c r="E8" s="14">
        <v>1</v>
      </c>
      <c r="F8" s="34">
        <f t="shared" si="0"/>
        <v>15</v>
      </c>
      <c r="G8" s="47">
        <f t="shared" si="1"/>
        <v>3.96</v>
      </c>
    </row>
    <row r="9" spans="2:8" x14ac:dyDescent="0.2">
      <c r="B9" s="14" t="s">
        <v>51</v>
      </c>
      <c r="C9" s="33" t="s">
        <v>52</v>
      </c>
      <c r="D9" s="14">
        <v>20</v>
      </c>
      <c r="E9" s="14">
        <v>35</v>
      </c>
      <c r="F9" s="34">
        <f t="shared" si="0"/>
        <v>700</v>
      </c>
      <c r="G9" s="47">
        <f t="shared" si="1"/>
        <v>184.8</v>
      </c>
    </row>
    <row r="10" spans="2:8" x14ac:dyDescent="0.2">
      <c r="B10" s="14" t="s">
        <v>51</v>
      </c>
      <c r="C10" s="33" t="s">
        <v>52</v>
      </c>
      <c r="D10" s="14">
        <v>25</v>
      </c>
      <c r="E10" s="14">
        <v>2</v>
      </c>
      <c r="F10" s="34">
        <f t="shared" si="0"/>
        <v>50</v>
      </c>
      <c r="G10" s="47">
        <f t="shared" si="1"/>
        <v>13.2</v>
      </c>
    </row>
    <row r="11" spans="2:8" x14ac:dyDescent="0.2">
      <c r="B11" s="14" t="s">
        <v>51</v>
      </c>
      <c r="C11" s="33" t="s">
        <v>52</v>
      </c>
      <c r="D11" s="14">
        <v>26</v>
      </c>
      <c r="E11" s="14">
        <v>12</v>
      </c>
      <c r="F11" s="34">
        <f t="shared" si="0"/>
        <v>312</v>
      </c>
      <c r="G11" s="47">
        <f t="shared" si="1"/>
        <v>82.367999999999995</v>
      </c>
    </row>
    <row r="12" spans="2:8" x14ac:dyDescent="0.2">
      <c r="B12" s="14" t="s">
        <v>51</v>
      </c>
      <c r="C12" s="33" t="s">
        <v>52</v>
      </c>
      <c r="D12" s="14">
        <v>27</v>
      </c>
      <c r="E12" s="14">
        <v>1</v>
      </c>
      <c r="F12" s="34">
        <f t="shared" si="0"/>
        <v>27</v>
      </c>
      <c r="G12" s="47">
        <f t="shared" si="1"/>
        <v>7.1280000000000001</v>
      </c>
    </row>
    <row r="13" spans="2:8" ht="13.5" thickBot="1" x14ac:dyDescent="0.25">
      <c r="B13" s="15" t="s">
        <v>104</v>
      </c>
      <c r="C13" s="36" t="s">
        <v>95</v>
      </c>
      <c r="D13" s="15">
        <v>60</v>
      </c>
      <c r="E13" s="15">
        <v>2</v>
      </c>
      <c r="F13" s="37">
        <f t="shared" si="0"/>
        <v>120</v>
      </c>
      <c r="G13" s="79">
        <f t="shared" si="1"/>
        <v>31.68</v>
      </c>
    </row>
    <row r="14" spans="2:8" x14ac:dyDescent="0.2">
      <c r="B14" s="34"/>
      <c r="C14" s="34"/>
      <c r="D14" s="34"/>
      <c r="E14" s="34"/>
      <c r="F14" s="34"/>
      <c r="G14" s="78"/>
    </row>
    <row r="15" spans="2:8" ht="13.5" thickBot="1" x14ac:dyDescent="0.25">
      <c r="H15" s="56" t="s">
        <v>121</v>
      </c>
    </row>
    <row r="16" spans="2:8" ht="13.5" thickBot="1" x14ac:dyDescent="0.25">
      <c r="B16" s="333" t="s">
        <v>6</v>
      </c>
      <c r="C16" s="334"/>
      <c r="D16" s="34"/>
      <c r="E16" s="81">
        <f>SUM(E5:E13)</f>
        <v>466</v>
      </c>
      <c r="F16" s="80">
        <f>SUM(F5:F13)</f>
        <v>14662</v>
      </c>
      <c r="G16" s="155">
        <f>SUM(G5:G13)</f>
        <v>3870.768</v>
      </c>
      <c r="H16" s="155">
        <f>+G16*0.65</f>
        <v>2515.9992000000002</v>
      </c>
    </row>
    <row r="17" spans="2:8" ht="13.5" thickBot="1" x14ac:dyDescent="0.25">
      <c r="B17" s="333" t="s">
        <v>109</v>
      </c>
      <c r="C17" s="334"/>
      <c r="D17" s="34"/>
      <c r="E17" s="40"/>
      <c r="F17" s="52"/>
      <c r="G17" s="155">
        <f>+G16*12</f>
        <v>46449.216</v>
      </c>
      <c r="H17" s="155">
        <f>+H16*12</f>
        <v>30191.990400000002</v>
      </c>
    </row>
    <row r="18" spans="2:8" x14ac:dyDescent="0.2">
      <c r="B18" s="341" t="s">
        <v>113</v>
      </c>
      <c r="C18" s="342"/>
      <c r="D18" s="34"/>
      <c r="E18" s="40"/>
      <c r="F18" s="52"/>
    </row>
    <row r="19" spans="2:8" ht="13.5" thickBot="1" x14ac:dyDescent="0.25">
      <c r="B19" s="343"/>
      <c r="C19" s="344"/>
      <c r="E19" s="29"/>
      <c r="F19" s="4"/>
      <c r="G19" s="4"/>
    </row>
    <row r="20" spans="2:8" x14ac:dyDescent="0.2">
      <c r="B20" s="260"/>
      <c r="C20" s="260"/>
      <c r="E20" s="29"/>
      <c r="F20" s="4"/>
      <c r="G20" s="4"/>
    </row>
    <row r="21" spans="2:8" ht="13.5" thickBot="1" x14ac:dyDescent="0.25">
      <c r="B21" s="91" t="s">
        <v>5</v>
      </c>
    </row>
    <row r="22" spans="2:8" ht="35.25" customHeight="1" thickBot="1" x14ac:dyDescent="0.25">
      <c r="B22" s="319" t="s">
        <v>85</v>
      </c>
      <c r="C22" s="345" t="s">
        <v>160</v>
      </c>
      <c r="D22" s="346"/>
      <c r="E22" s="347"/>
      <c r="F22" s="348" t="s">
        <v>107</v>
      </c>
      <c r="G22" s="349"/>
      <c r="H22" s="350"/>
    </row>
    <row r="23" spans="2:8" ht="13.5" thickBot="1" x14ac:dyDescent="0.25">
      <c r="B23" s="320"/>
      <c r="C23" s="99">
        <v>2014</v>
      </c>
      <c r="D23" s="96">
        <v>2015</v>
      </c>
      <c r="E23" s="96" t="s">
        <v>114</v>
      </c>
      <c r="F23" s="100">
        <v>2014</v>
      </c>
      <c r="G23" s="100">
        <v>2015</v>
      </c>
      <c r="H23" s="96" t="s">
        <v>114</v>
      </c>
    </row>
    <row r="24" spans="2:8" x14ac:dyDescent="0.2">
      <c r="B24" s="13" t="s">
        <v>73</v>
      </c>
      <c r="C24" s="18">
        <v>9040</v>
      </c>
      <c r="D24" s="52">
        <v>7200</v>
      </c>
      <c r="E24" s="10">
        <f>+C24-($G$16-$H$16)</f>
        <v>7685.2312000000002</v>
      </c>
      <c r="F24" s="83">
        <f t="shared" ref="F24:G35" si="2">+$G$16/C24</f>
        <v>0.42818230088495574</v>
      </c>
      <c r="G24" s="83">
        <f t="shared" si="2"/>
        <v>0.53760666666666668</v>
      </c>
      <c r="H24" s="83">
        <f t="shared" ref="H24:H35" si="3">+$H$16/E24</f>
        <v>0.32738106824944968</v>
      </c>
    </row>
    <row r="25" spans="2:8" x14ac:dyDescent="0.2">
      <c r="B25" s="14" t="s">
        <v>74</v>
      </c>
      <c r="C25" s="18">
        <v>7600</v>
      </c>
      <c r="D25" s="52">
        <v>9760</v>
      </c>
      <c r="E25" s="11">
        <f>+C25-($G$16-$H$16)</f>
        <v>6245.2312000000002</v>
      </c>
      <c r="F25" s="84">
        <f t="shared" si="2"/>
        <v>0.50931157894736845</v>
      </c>
      <c r="G25" s="84">
        <f t="shared" si="2"/>
        <v>0.3965950819672131</v>
      </c>
      <c r="H25" s="84">
        <f t="shared" si="3"/>
        <v>0.40286726294456482</v>
      </c>
    </row>
    <row r="26" spans="2:8" x14ac:dyDescent="0.2">
      <c r="B26" s="14" t="s">
        <v>75</v>
      </c>
      <c r="C26" s="18">
        <v>7200</v>
      </c>
      <c r="D26" s="52">
        <v>7760</v>
      </c>
      <c r="E26" s="11">
        <f>+C26-($G$16-$H$16)</f>
        <v>5845.2312000000002</v>
      </c>
      <c r="F26" s="84">
        <f t="shared" si="2"/>
        <v>0.53760666666666668</v>
      </c>
      <c r="G26" s="84">
        <f t="shared" si="2"/>
        <v>0.49881030927835052</v>
      </c>
      <c r="H26" s="84">
        <f t="shared" si="3"/>
        <v>0.43043621610724314</v>
      </c>
    </row>
    <row r="27" spans="2:8" x14ac:dyDescent="0.2">
      <c r="B27" s="14" t="s">
        <v>76</v>
      </c>
      <c r="C27" s="18">
        <v>0</v>
      </c>
      <c r="D27" s="52">
        <v>7520</v>
      </c>
      <c r="E27" s="11">
        <f>8440-($G$16-$H$16)</f>
        <v>7085.2312000000002</v>
      </c>
      <c r="F27" s="84">
        <f>+$G$16/8440</f>
        <v>0.45862180094786731</v>
      </c>
      <c r="G27" s="84">
        <f t="shared" ref="G27:G35" si="4">+$G$16/D27</f>
        <v>0.5147297872340425</v>
      </c>
      <c r="H27" s="84">
        <f t="shared" si="3"/>
        <v>0.35510474238300088</v>
      </c>
    </row>
    <row r="28" spans="2:8" x14ac:dyDescent="0.2">
      <c r="B28" s="14" t="s">
        <v>77</v>
      </c>
      <c r="C28" s="18">
        <v>13440</v>
      </c>
      <c r="D28" s="52">
        <v>8800</v>
      </c>
      <c r="E28" s="11">
        <f t="shared" ref="E28:E35" si="5">+C28-($G$16-$H$16)</f>
        <v>12085.2312</v>
      </c>
      <c r="F28" s="84">
        <f t="shared" si="2"/>
        <v>0.28800357142857141</v>
      </c>
      <c r="G28" s="84">
        <f t="shared" si="4"/>
        <v>0.43986000000000003</v>
      </c>
      <c r="H28" s="84">
        <f t="shared" si="3"/>
        <v>0.20818792444781695</v>
      </c>
    </row>
    <row r="29" spans="2:8" x14ac:dyDescent="0.2">
      <c r="B29" s="14" t="s">
        <v>78</v>
      </c>
      <c r="C29" s="18">
        <v>8000</v>
      </c>
      <c r="D29" s="52">
        <v>8640</v>
      </c>
      <c r="E29" s="11">
        <f t="shared" si="5"/>
        <v>6645.2312000000002</v>
      </c>
      <c r="F29" s="84">
        <f t="shared" si="2"/>
        <v>0.483846</v>
      </c>
      <c r="G29" s="84">
        <f t="shared" si="4"/>
        <v>0.44800555555555555</v>
      </c>
      <c r="H29" s="84">
        <f t="shared" si="3"/>
        <v>0.37861725563438636</v>
      </c>
    </row>
    <row r="30" spans="2:8" x14ac:dyDescent="0.2">
      <c r="B30" s="14" t="s">
        <v>79</v>
      </c>
      <c r="C30" s="18">
        <v>7200</v>
      </c>
      <c r="D30" s="52">
        <v>8080</v>
      </c>
      <c r="E30" s="11">
        <f t="shared" si="5"/>
        <v>5845.2312000000002</v>
      </c>
      <c r="F30" s="84">
        <f t="shared" si="2"/>
        <v>0.53760666666666668</v>
      </c>
      <c r="G30" s="84">
        <f t="shared" si="4"/>
        <v>0.47905544554455448</v>
      </c>
      <c r="H30" s="84">
        <f t="shared" si="3"/>
        <v>0.43043621610724314</v>
      </c>
    </row>
    <row r="31" spans="2:8" x14ac:dyDescent="0.2">
      <c r="B31" s="14" t="s">
        <v>80</v>
      </c>
      <c r="C31" s="18">
        <v>7360</v>
      </c>
      <c r="D31" s="52">
        <v>8000</v>
      </c>
      <c r="E31" s="11">
        <f t="shared" si="5"/>
        <v>6005.2312000000002</v>
      </c>
      <c r="F31" s="84">
        <f t="shared" si="2"/>
        <v>0.52591956521739136</v>
      </c>
      <c r="G31" s="84">
        <f t="shared" si="4"/>
        <v>0.483846</v>
      </c>
      <c r="H31" s="84">
        <f t="shared" si="3"/>
        <v>0.41896791583977649</v>
      </c>
    </row>
    <row r="32" spans="2:8" x14ac:dyDescent="0.2">
      <c r="B32" s="14" t="s">
        <v>81</v>
      </c>
      <c r="C32" s="18">
        <v>8000</v>
      </c>
      <c r="D32" s="52">
        <v>8480</v>
      </c>
      <c r="E32" s="11">
        <f t="shared" si="5"/>
        <v>6645.2312000000002</v>
      </c>
      <c r="F32" s="84">
        <f t="shared" si="2"/>
        <v>0.483846</v>
      </c>
      <c r="G32" s="84">
        <f t="shared" si="4"/>
        <v>0.45645849056603777</v>
      </c>
      <c r="H32" s="84">
        <f t="shared" si="3"/>
        <v>0.37861725563438636</v>
      </c>
    </row>
    <row r="33" spans="2:8" x14ac:dyDescent="0.2">
      <c r="B33" s="14" t="s">
        <v>82</v>
      </c>
      <c r="C33" s="18">
        <v>7600</v>
      </c>
      <c r="D33" s="52">
        <v>8400</v>
      </c>
      <c r="E33" s="11">
        <f t="shared" si="5"/>
        <v>6245.2312000000002</v>
      </c>
      <c r="F33" s="84">
        <f t="shared" si="2"/>
        <v>0.50931157894736845</v>
      </c>
      <c r="G33" s="84">
        <f t="shared" si="4"/>
        <v>0.46080571428571426</v>
      </c>
      <c r="H33" s="84">
        <f t="shared" si="3"/>
        <v>0.40286726294456482</v>
      </c>
    </row>
    <row r="34" spans="2:8" x14ac:dyDescent="0.2">
      <c r="B34" s="14" t="s">
        <v>83</v>
      </c>
      <c r="C34" s="18">
        <v>7520</v>
      </c>
      <c r="D34" s="52">
        <v>8240</v>
      </c>
      <c r="E34" s="11">
        <f t="shared" si="5"/>
        <v>6165.2312000000002</v>
      </c>
      <c r="F34" s="84">
        <f t="shared" si="2"/>
        <v>0.5147297872340425</v>
      </c>
      <c r="G34" s="84">
        <f t="shared" si="4"/>
        <v>0.46975339805825245</v>
      </c>
      <c r="H34" s="84">
        <f t="shared" si="3"/>
        <v>0.40809486593138633</v>
      </c>
    </row>
    <row r="35" spans="2:8" ht="13.5" thickBot="1" x14ac:dyDescent="0.25">
      <c r="B35" s="15" t="s">
        <v>84</v>
      </c>
      <c r="C35" s="19">
        <v>8400</v>
      </c>
      <c r="D35" s="58">
        <v>8720</v>
      </c>
      <c r="E35" s="12">
        <f t="shared" si="5"/>
        <v>7045.2312000000002</v>
      </c>
      <c r="F35" s="85">
        <f t="shared" si="2"/>
        <v>0.46080571428571426</v>
      </c>
      <c r="G35" s="85">
        <f t="shared" si="4"/>
        <v>0.44389541284403672</v>
      </c>
      <c r="H35" s="85">
        <f t="shared" si="3"/>
        <v>0.35712088483341753</v>
      </c>
    </row>
    <row r="36" spans="2:8" ht="13.5" thickBot="1" x14ac:dyDescent="0.25">
      <c r="G36" s="74"/>
      <c r="H36" s="74"/>
    </row>
    <row r="37" spans="2:8" ht="13.5" thickBot="1" x14ac:dyDescent="0.25">
      <c r="B37" s="93" t="s">
        <v>112</v>
      </c>
      <c r="C37" s="86">
        <f>SUM(C24:C35)</f>
        <v>91360</v>
      </c>
      <c r="D37" s="86">
        <f t="shared" ref="D37:E37" si="6">SUM(D24:D35)</f>
        <v>99600</v>
      </c>
      <c r="E37" s="86">
        <f t="shared" si="6"/>
        <v>83542.774399999995</v>
      </c>
      <c r="F37" s="87">
        <f>+G17/D37</f>
        <v>0.46635759036144581</v>
      </c>
      <c r="G37" s="87">
        <f>+G17/E37</f>
        <v>0.55599321824772918</v>
      </c>
      <c r="H37" s="87">
        <f>+H17/E37</f>
        <v>0.36139559186102399</v>
      </c>
    </row>
    <row r="38" spans="2:8" x14ac:dyDescent="0.2">
      <c r="G38" s="74"/>
      <c r="H38" s="74"/>
    </row>
    <row r="39" spans="2:8" x14ac:dyDescent="0.2">
      <c r="B39" s="91" t="s">
        <v>25</v>
      </c>
      <c r="C39" s="111">
        <f>C37-D37</f>
        <v>-8240</v>
      </c>
      <c r="G39" s="183"/>
      <c r="H39" s="74"/>
    </row>
    <row r="40" spans="2:8" x14ac:dyDescent="0.2">
      <c r="B40" s="91" t="s">
        <v>111</v>
      </c>
      <c r="C40" s="1">
        <f>(C37-D37)/C37</f>
        <v>-9.0192644483362519E-2</v>
      </c>
    </row>
  </sheetData>
  <sheetProtection password="DE72" sheet="1" objects="1" scenarios="1"/>
  <mergeCells count="6">
    <mergeCell ref="F22:H22"/>
    <mergeCell ref="B16:C16"/>
    <mergeCell ref="B17:C17"/>
    <mergeCell ref="B18:C19"/>
    <mergeCell ref="B22:B23"/>
    <mergeCell ref="C22:E2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3"/>
  <sheetViews>
    <sheetView workbookViewId="0">
      <selection activeCell="R17" sqref="R17"/>
    </sheetView>
  </sheetViews>
  <sheetFormatPr baseColWidth="10" defaultRowHeight="12.75" x14ac:dyDescent="0.2"/>
  <cols>
    <col min="1" max="1" width="3.7109375" customWidth="1"/>
    <col min="2" max="2" width="27.42578125" customWidth="1"/>
    <col min="3" max="3" width="7.28515625" bestFit="1" customWidth="1"/>
    <col min="4" max="4" width="10.140625" bestFit="1" customWidth="1"/>
    <col min="5" max="5" width="14.7109375" bestFit="1" customWidth="1"/>
    <col min="6" max="6" width="11.7109375" bestFit="1" customWidth="1"/>
    <col min="7" max="7" width="9.5703125" bestFit="1" customWidth="1"/>
    <col min="8" max="8" width="14.7109375" bestFit="1" customWidth="1"/>
  </cols>
  <sheetData>
    <row r="2" spans="2:8" x14ac:dyDescent="0.2">
      <c r="B2" s="39" t="s">
        <v>131</v>
      </c>
    </row>
    <row r="3" spans="2:8" ht="13.5" thickBot="1" x14ac:dyDescent="0.25"/>
    <row r="4" spans="2:8" ht="39" thickBot="1" x14ac:dyDescent="0.25">
      <c r="B4" s="95" t="s">
        <v>100</v>
      </c>
      <c r="C4" s="96" t="s">
        <v>47</v>
      </c>
      <c r="D4" s="120" t="s">
        <v>110</v>
      </c>
      <c r="E4" s="95" t="s">
        <v>64</v>
      </c>
      <c r="F4" s="96" t="s">
        <v>96</v>
      </c>
      <c r="G4" s="118" t="s">
        <v>101</v>
      </c>
      <c r="H4" s="63"/>
    </row>
    <row r="5" spans="2:8" x14ac:dyDescent="0.2">
      <c r="B5" s="13" t="s">
        <v>49</v>
      </c>
      <c r="C5" s="30" t="s">
        <v>50</v>
      </c>
      <c r="D5" s="13">
        <v>32</v>
      </c>
      <c r="E5" s="13">
        <v>379</v>
      </c>
      <c r="F5" s="32">
        <f>E5*D5</f>
        <v>12128</v>
      </c>
      <c r="G5" s="46">
        <f>F5*12*22/1000</f>
        <v>3201.7919999999999</v>
      </c>
    </row>
    <row r="6" spans="2:8" ht="13.5" thickBot="1" x14ac:dyDescent="0.25">
      <c r="B6" s="15" t="s">
        <v>51</v>
      </c>
      <c r="C6" s="36" t="s">
        <v>52</v>
      </c>
      <c r="D6" s="15">
        <v>26</v>
      </c>
      <c r="E6" s="15">
        <v>83</v>
      </c>
      <c r="F6" s="38">
        <f>E6*D6</f>
        <v>2158</v>
      </c>
      <c r="G6" s="15">
        <f>F6*9*20/1000</f>
        <v>388.44</v>
      </c>
    </row>
    <row r="7" spans="2:8" x14ac:dyDescent="0.2">
      <c r="B7" s="34"/>
      <c r="C7" s="34"/>
      <c r="D7" s="34"/>
      <c r="E7" s="34"/>
      <c r="F7" s="34"/>
      <c r="G7" s="78"/>
    </row>
    <row r="8" spans="2:8" ht="13.5" thickBot="1" x14ac:dyDescent="0.25">
      <c r="H8" s="56" t="s">
        <v>121</v>
      </c>
    </row>
    <row r="9" spans="2:8" ht="13.5" thickBot="1" x14ac:dyDescent="0.25">
      <c r="B9" s="333" t="s">
        <v>6</v>
      </c>
      <c r="C9" s="334"/>
      <c r="D9" s="34"/>
      <c r="E9" s="81">
        <f>SUM(E5:E6)</f>
        <v>462</v>
      </c>
      <c r="F9" s="80">
        <f>SUM(F5:F6)</f>
        <v>14286</v>
      </c>
      <c r="G9" s="155">
        <f>SUM(G5:G6)</f>
        <v>3590.232</v>
      </c>
      <c r="H9" s="155">
        <f>+G9*0.65</f>
        <v>2333.6507999999999</v>
      </c>
    </row>
    <row r="10" spans="2:8" ht="13.5" thickBot="1" x14ac:dyDescent="0.25">
      <c r="B10" s="333" t="s">
        <v>109</v>
      </c>
      <c r="C10" s="334"/>
      <c r="D10" s="34"/>
      <c r="E10" s="40"/>
      <c r="F10" s="52"/>
      <c r="G10" s="155">
        <f>+G9*12</f>
        <v>43082.784</v>
      </c>
      <c r="H10" s="155">
        <f>+H9*12</f>
        <v>28003.809600000001</v>
      </c>
    </row>
    <row r="11" spans="2:8" x14ac:dyDescent="0.2">
      <c r="B11" s="341" t="s">
        <v>113</v>
      </c>
      <c r="C11" s="342"/>
      <c r="D11" s="34"/>
      <c r="E11" s="40"/>
      <c r="F11" s="52"/>
    </row>
    <row r="12" spans="2:8" ht="13.5" thickBot="1" x14ac:dyDescent="0.25">
      <c r="B12" s="343"/>
      <c r="C12" s="344"/>
      <c r="E12" s="29"/>
      <c r="F12" s="4"/>
      <c r="G12" s="4"/>
    </row>
    <row r="13" spans="2:8" x14ac:dyDescent="0.2">
      <c r="B13" s="260"/>
      <c r="C13" s="260"/>
      <c r="E13" s="29"/>
      <c r="F13" s="4"/>
      <c r="G13" s="4"/>
    </row>
    <row r="14" spans="2:8" ht="13.5" thickBot="1" x14ac:dyDescent="0.25">
      <c r="B14" s="91" t="s">
        <v>5</v>
      </c>
    </row>
    <row r="15" spans="2:8" ht="35.25" customHeight="1" thickBot="1" x14ac:dyDescent="0.25">
      <c r="B15" s="319" t="s">
        <v>85</v>
      </c>
      <c r="C15" s="345" t="s">
        <v>160</v>
      </c>
      <c r="D15" s="346"/>
      <c r="E15" s="347"/>
      <c r="F15" s="348" t="s">
        <v>107</v>
      </c>
      <c r="G15" s="349"/>
      <c r="H15" s="350"/>
    </row>
    <row r="16" spans="2:8" ht="13.5" thickBot="1" x14ac:dyDescent="0.25">
      <c r="B16" s="320"/>
      <c r="C16" s="99">
        <v>2014</v>
      </c>
      <c r="D16" s="96">
        <v>2015</v>
      </c>
      <c r="E16" s="96" t="s">
        <v>114</v>
      </c>
      <c r="F16" s="100">
        <v>2014</v>
      </c>
      <c r="G16" s="100">
        <v>2015</v>
      </c>
      <c r="H16" s="96" t="s">
        <v>114</v>
      </c>
    </row>
    <row r="17" spans="2:8" x14ac:dyDescent="0.2">
      <c r="B17" s="13" t="s">
        <v>73</v>
      </c>
      <c r="C17" s="18">
        <v>5440</v>
      </c>
      <c r="D17" s="52">
        <v>4800</v>
      </c>
      <c r="E17" s="10">
        <f>+C17-($G$9-$H$9)</f>
        <v>4183.4187999999995</v>
      </c>
      <c r="F17" s="83">
        <f t="shared" ref="F17:G28" si="0">+$G$9/C17</f>
        <v>0.65996911764705879</v>
      </c>
      <c r="G17" s="83">
        <f t="shared" si="0"/>
        <v>0.74796499999999999</v>
      </c>
      <c r="H17" s="83">
        <f t="shared" ref="H17:H28" si="1">+$H$9/E17</f>
        <v>0.55783341605674297</v>
      </c>
    </row>
    <row r="18" spans="2:8" x14ac:dyDescent="0.2">
      <c r="B18" s="14" t="s">
        <v>74</v>
      </c>
      <c r="C18" s="18">
        <v>5040</v>
      </c>
      <c r="D18" s="52">
        <v>4800</v>
      </c>
      <c r="E18" s="11">
        <f>+C18-($G$9-$H$9)</f>
        <v>3783.4187999999999</v>
      </c>
      <c r="F18" s="84">
        <f t="shared" si="0"/>
        <v>0.71234761904761901</v>
      </c>
      <c r="G18" s="84">
        <f t="shared" si="0"/>
        <v>0.74796499999999999</v>
      </c>
      <c r="H18" s="84">
        <f t="shared" si="1"/>
        <v>0.61681006607040167</v>
      </c>
    </row>
    <row r="19" spans="2:8" x14ac:dyDescent="0.2">
      <c r="B19" s="14" t="s">
        <v>75</v>
      </c>
      <c r="C19" s="18">
        <v>5040</v>
      </c>
      <c r="D19" s="52">
        <v>5760</v>
      </c>
      <c r="E19" s="11">
        <f>+C19-($G$9-$H$9)</f>
        <v>3783.4187999999999</v>
      </c>
      <c r="F19" s="84">
        <f t="shared" si="0"/>
        <v>0.71234761904761901</v>
      </c>
      <c r="G19" s="84">
        <f t="shared" si="0"/>
        <v>0.62330416666666666</v>
      </c>
      <c r="H19" s="84">
        <f t="shared" si="1"/>
        <v>0.61681006607040167</v>
      </c>
    </row>
    <row r="20" spans="2:8" x14ac:dyDescent="0.2">
      <c r="B20" s="14" t="s">
        <v>76</v>
      </c>
      <c r="C20" s="18">
        <v>0</v>
      </c>
      <c r="D20" s="52">
        <v>5600</v>
      </c>
      <c r="E20" s="11">
        <f>5070-($G$9-$H$9)</f>
        <v>3813.4187999999999</v>
      </c>
      <c r="F20" s="84">
        <f>+$G$9/5070</f>
        <v>0.70813254437869821</v>
      </c>
      <c r="G20" s="84">
        <f t="shared" ref="G20:G28" si="2">+$G$9/D20</f>
        <v>0.64111285714285715</v>
      </c>
      <c r="H20" s="84">
        <f t="shared" si="1"/>
        <v>0.61195764808208319</v>
      </c>
    </row>
    <row r="21" spans="2:8" x14ac:dyDescent="0.2">
      <c r="B21" s="14" t="s">
        <v>77</v>
      </c>
      <c r="C21" s="18">
        <v>5920</v>
      </c>
      <c r="D21" s="52">
        <v>5040</v>
      </c>
      <c r="E21" s="11">
        <f t="shared" ref="E21:E28" si="3">+C21-($G$9-$H$9)</f>
        <v>4663.4187999999995</v>
      </c>
      <c r="F21" s="84">
        <f t="shared" si="0"/>
        <v>0.60645810810810807</v>
      </c>
      <c r="G21" s="84">
        <f t="shared" si="2"/>
        <v>0.71234761904761901</v>
      </c>
      <c r="H21" s="84">
        <f t="shared" si="1"/>
        <v>0.50041630402141879</v>
      </c>
    </row>
    <row r="22" spans="2:8" x14ac:dyDescent="0.2">
      <c r="B22" s="14" t="s">
        <v>78</v>
      </c>
      <c r="C22" s="18">
        <v>4880</v>
      </c>
      <c r="D22" s="52">
        <v>5280</v>
      </c>
      <c r="E22" s="11">
        <f t="shared" si="3"/>
        <v>3623.4187999999999</v>
      </c>
      <c r="F22" s="84">
        <f t="shared" si="0"/>
        <v>0.73570327868852459</v>
      </c>
      <c r="G22" s="84">
        <f t="shared" si="2"/>
        <v>0.67996818181818186</v>
      </c>
      <c r="H22" s="84">
        <f t="shared" si="1"/>
        <v>0.64404666664532406</v>
      </c>
    </row>
    <row r="23" spans="2:8" x14ac:dyDescent="0.2">
      <c r="B23" s="14" t="s">
        <v>79</v>
      </c>
      <c r="C23" s="18">
        <v>5360</v>
      </c>
      <c r="D23" s="52">
        <v>5200</v>
      </c>
      <c r="E23" s="11">
        <f t="shared" si="3"/>
        <v>4103.4187999999995</v>
      </c>
      <c r="F23" s="84">
        <f t="shared" si="0"/>
        <v>0.66981940298507459</v>
      </c>
      <c r="G23" s="84">
        <f t="shared" si="2"/>
        <v>0.6904292307692308</v>
      </c>
      <c r="H23" s="84">
        <f t="shared" si="1"/>
        <v>0.56870890195268398</v>
      </c>
    </row>
    <row r="24" spans="2:8" x14ac:dyDescent="0.2">
      <c r="B24" s="14" t="s">
        <v>80</v>
      </c>
      <c r="C24" s="18">
        <v>4640</v>
      </c>
      <c r="D24" s="52">
        <v>5120</v>
      </c>
      <c r="E24" s="11">
        <f t="shared" si="3"/>
        <v>3383.4187999999999</v>
      </c>
      <c r="F24" s="84">
        <f t="shared" si="0"/>
        <v>0.77375689655172408</v>
      </c>
      <c r="G24" s="84">
        <f t="shared" si="2"/>
        <v>0.70121718749999995</v>
      </c>
      <c r="H24" s="84">
        <f t="shared" si="1"/>
        <v>0.68973158155886582</v>
      </c>
    </row>
    <row r="25" spans="2:8" x14ac:dyDescent="0.2">
      <c r="B25" s="14" t="s">
        <v>81</v>
      </c>
      <c r="C25" s="18">
        <v>5440</v>
      </c>
      <c r="D25" s="52">
        <v>5280</v>
      </c>
      <c r="E25" s="11">
        <f t="shared" si="3"/>
        <v>4183.4187999999995</v>
      </c>
      <c r="F25" s="84">
        <f t="shared" si="0"/>
        <v>0.65996911764705879</v>
      </c>
      <c r="G25" s="84">
        <f t="shared" si="2"/>
        <v>0.67996818181818186</v>
      </c>
      <c r="H25" s="84">
        <f t="shared" si="1"/>
        <v>0.55783341605674297</v>
      </c>
    </row>
    <row r="26" spans="2:8" x14ac:dyDescent="0.2">
      <c r="B26" s="14" t="s">
        <v>82</v>
      </c>
      <c r="C26" s="18">
        <v>4880</v>
      </c>
      <c r="D26" s="52">
        <v>5840</v>
      </c>
      <c r="E26" s="11">
        <f t="shared" si="3"/>
        <v>3623.4187999999999</v>
      </c>
      <c r="F26" s="84">
        <f t="shared" si="0"/>
        <v>0.73570327868852459</v>
      </c>
      <c r="G26" s="84">
        <f t="shared" si="2"/>
        <v>0.61476575342465756</v>
      </c>
      <c r="H26" s="84">
        <f t="shared" si="1"/>
        <v>0.64404666664532406</v>
      </c>
    </row>
    <row r="27" spans="2:8" x14ac:dyDescent="0.2">
      <c r="B27" s="14" t="s">
        <v>83</v>
      </c>
      <c r="C27" s="18">
        <v>4960</v>
      </c>
      <c r="D27" s="52">
        <v>5200</v>
      </c>
      <c r="E27" s="11">
        <f t="shared" si="3"/>
        <v>3703.4187999999999</v>
      </c>
      <c r="F27" s="84">
        <f t="shared" si="0"/>
        <v>0.7238370967741935</v>
      </c>
      <c r="G27" s="84">
        <f t="shared" si="2"/>
        <v>0.6904292307692308</v>
      </c>
      <c r="H27" s="84">
        <f t="shared" si="1"/>
        <v>0.63013418844231173</v>
      </c>
    </row>
    <row r="28" spans="2:8" ht="13.5" thickBot="1" x14ac:dyDescent="0.25">
      <c r="B28" s="15" t="s">
        <v>84</v>
      </c>
      <c r="C28" s="19">
        <v>4480</v>
      </c>
      <c r="D28" s="58">
        <v>5200</v>
      </c>
      <c r="E28" s="12">
        <f t="shared" si="3"/>
        <v>3223.4187999999999</v>
      </c>
      <c r="F28" s="85">
        <f t="shared" si="0"/>
        <v>0.80139107142857147</v>
      </c>
      <c r="G28" s="85">
        <f t="shared" si="2"/>
        <v>0.6904292307692308</v>
      </c>
      <c r="H28" s="85">
        <f t="shared" si="1"/>
        <v>0.72396760855275766</v>
      </c>
    </row>
    <row r="29" spans="2:8" ht="13.5" thickBot="1" x14ac:dyDescent="0.25">
      <c r="G29" s="74"/>
      <c r="H29" s="74"/>
    </row>
    <row r="30" spans="2:8" ht="13.5" thickBot="1" x14ac:dyDescent="0.25">
      <c r="B30" s="93" t="s">
        <v>112</v>
      </c>
      <c r="C30" s="86">
        <f>SUM(C17:C28)</f>
        <v>56080</v>
      </c>
      <c r="D30" s="86">
        <f t="shared" ref="D30:E30" si="4">SUM(D17:D28)</f>
        <v>63120</v>
      </c>
      <c r="E30" s="86">
        <f t="shared" si="4"/>
        <v>46071.025599999994</v>
      </c>
      <c r="F30" s="87">
        <f>+G10/D30</f>
        <v>0.68255361216730037</v>
      </c>
      <c r="G30" s="87">
        <f>+G10/E30</f>
        <v>0.93513837469248795</v>
      </c>
      <c r="H30" s="87">
        <f>+H10/E30</f>
        <v>0.60783994355011717</v>
      </c>
    </row>
    <row r="31" spans="2:8" x14ac:dyDescent="0.2">
      <c r="G31" s="74"/>
      <c r="H31" s="74"/>
    </row>
    <row r="32" spans="2:8" x14ac:dyDescent="0.2">
      <c r="B32" s="91" t="s">
        <v>25</v>
      </c>
      <c r="C32" s="111">
        <f>C30-D30</f>
        <v>-7040</v>
      </c>
      <c r="G32" s="183"/>
      <c r="H32" s="74"/>
    </row>
    <row r="33" spans="2:3" x14ac:dyDescent="0.2">
      <c r="B33" s="91" t="s">
        <v>111</v>
      </c>
      <c r="C33" s="1">
        <f>(C30-D30)/C30</f>
        <v>-0.12553495007132667</v>
      </c>
    </row>
  </sheetData>
  <sheetProtection password="DE72" sheet="1" objects="1" scenarios="1"/>
  <mergeCells count="6">
    <mergeCell ref="F15:H15"/>
    <mergeCell ref="B9:C9"/>
    <mergeCell ref="B10:C10"/>
    <mergeCell ref="B11:C12"/>
    <mergeCell ref="B15:B16"/>
    <mergeCell ref="C15:E1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77"/>
  <sheetViews>
    <sheetView workbookViewId="0">
      <selection activeCell="AA70" sqref="AA70"/>
    </sheetView>
  </sheetViews>
  <sheetFormatPr baseColWidth="10" defaultRowHeight="12.75" x14ac:dyDescent="0.2"/>
  <cols>
    <col min="1" max="1" width="3.7109375" customWidth="1"/>
    <col min="2" max="2" width="40.42578125" customWidth="1"/>
    <col min="3" max="3" width="8.42578125" bestFit="1" customWidth="1"/>
    <col min="4" max="4" width="10.140625" bestFit="1" customWidth="1"/>
    <col min="5" max="5" width="10.5703125" customWidth="1"/>
    <col min="6" max="6" width="11.7109375" bestFit="1" customWidth="1"/>
    <col min="7" max="7" width="10" customWidth="1"/>
    <col min="8" max="8" width="13" customWidth="1"/>
    <col min="10" max="10" width="11.85546875" customWidth="1"/>
    <col min="12" max="12" width="12" customWidth="1"/>
    <col min="14" max="14" width="12" customWidth="1"/>
    <col min="15" max="15" width="15" customWidth="1"/>
    <col min="16" max="16" width="10.28515625" customWidth="1"/>
    <col min="17" max="17" width="8.42578125" customWidth="1"/>
    <col min="18" max="18" width="15.28515625" customWidth="1"/>
  </cols>
  <sheetData>
    <row r="2" spans="2:16" x14ac:dyDescent="0.2">
      <c r="B2" s="39" t="s">
        <v>132</v>
      </c>
    </row>
    <row r="3" spans="2:16" ht="13.5" thickBot="1" x14ac:dyDescent="0.25"/>
    <row r="4" spans="2:16" ht="13.5" thickBot="1" x14ac:dyDescent="0.25">
      <c r="B4" s="20" t="s">
        <v>31</v>
      </c>
      <c r="C4" s="364" t="s">
        <v>65</v>
      </c>
      <c r="D4" s="365"/>
      <c r="E4" s="365"/>
      <c r="F4" s="366"/>
    </row>
    <row r="5" spans="2:16" x14ac:dyDescent="0.2">
      <c r="B5" s="13" t="s">
        <v>27</v>
      </c>
      <c r="C5" s="184" t="s">
        <v>66</v>
      </c>
      <c r="D5" s="185"/>
      <c r="E5" s="185"/>
      <c r="F5" s="186"/>
    </row>
    <row r="6" spans="2:16" x14ac:dyDescent="0.2">
      <c r="B6" s="14" t="s">
        <v>28</v>
      </c>
      <c r="C6" s="6" t="s">
        <v>67</v>
      </c>
      <c r="D6" s="8"/>
      <c r="E6" s="8"/>
      <c r="F6" s="9"/>
    </row>
    <row r="7" spans="2:16" x14ac:dyDescent="0.2">
      <c r="B7" s="14" t="s">
        <v>32</v>
      </c>
      <c r="C7" s="6">
        <v>142</v>
      </c>
      <c r="D7" s="8"/>
      <c r="E7" s="8"/>
      <c r="F7" s="9"/>
    </row>
    <row r="8" spans="2:16" x14ac:dyDescent="0.2">
      <c r="B8" s="14" t="s">
        <v>29</v>
      </c>
      <c r="C8" s="6" t="s">
        <v>68</v>
      </c>
      <c r="D8" s="8"/>
      <c r="E8" s="8"/>
      <c r="F8" s="9"/>
    </row>
    <row r="9" spans="2:16" ht="13.5" thickBot="1" x14ac:dyDescent="0.25">
      <c r="B9" s="15" t="s">
        <v>30</v>
      </c>
      <c r="C9" s="7" t="s">
        <v>69</v>
      </c>
      <c r="D9" s="187" t="s">
        <v>70</v>
      </c>
      <c r="E9" s="187" t="s">
        <v>71</v>
      </c>
      <c r="F9" s="188" t="s">
        <v>72</v>
      </c>
    </row>
    <row r="10" spans="2:16" ht="13.5" thickBot="1" x14ac:dyDescent="0.25"/>
    <row r="11" spans="2:16" ht="18.75" customHeight="1" thickBot="1" x14ac:dyDescent="0.25">
      <c r="B11" s="327" t="s">
        <v>100</v>
      </c>
      <c r="C11" s="327" t="s">
        <v>47</v>
      </c>
      <c r="D11" s="327" t="s">
        <v>110</v>
      </c>
      <c r="E11" s="331" t="s">
        <v>133</v>
      </c>
      <c r="F11" s="332"/>
      <c r="G11" s="331" t="s">
        <v>134</v>
      </c>
      <c r="H11" s="332"/>
      <c r="I11" s="331" t="s">
        <v>135</v>
      </c>
      <c r="J11" s="332"/>
      <c r="K11" s="331" t="s">
        <v>136</v>
      </c>
      <c r="L11" s="332"/>
      <c r="M11" s="331" t="s">
        <v>137</v>
      </c>
      <c r="N11" s="332"/>
      <c r="O11" s="360" t="s">
        <v>143</v>
      </c>
      <c r="P11" s="360" t="s">
        <v>101</v>
      </c>
    </row>
    <row r="12" spans="2:16" ht="18.75" customHeight="1" thickBot="1" x14ac:dyDescent="0.25">
      <c r="B12" s="328"/>
      <c r="C12" s="328"/>
      <c r="D12" s="328"/>
      <c r="E12" s="96" t="s">
        <v>64</v>
      </c>
      <c r="F12" s="96" t="s">
        <v>96</v>
      </c>
      <c r="G12" s="96" t="s">
        <v>64</v>
      </c>
      <c r="H12" s="96" t="s">
        <v>96</v>
      </c>
      <c r="I12" s="96" t="s">
        <v>64</v>
      </c>
      <c r="J12" s="96" t="s">
        <v>96</v>
      </c>
      <c r="K12" s="96" t="s">
        <v>64</v>
      </c>
      <c r="L12" s="96" t="s">
        <v>96</v>
      </c>
      <c r="M12" s="96" t="s">
        <v>64</v>
      </c>
      <c r="N12" s="96" t="s">
        <v>96</v>
      </c>
      <c r="O12" s="361"/>
      <c r="P12" s="361"/>
    </row>
    <row r="13" spans="2:16" x14ac:dyDescent="0.2">
      <c r="B13" s="189" t="s">
        <v>138</v>
      </c>
      <c r="C13" s="253" t="s">
        <v>139</v>
      </c>
      <c r="D13" s="59">
        <v>54</v>
      </c>
      <c r="E13" s="121">
        <v>28</v>
      </c>
      <c r="F13" s="59">
        <f>$D13*E13</f>
        <v>1512</v>
      </c>
      <c r="G13" s="121">
        <v>0</v>
      </c>
      <c r="H13" s="59">
        <f>$D13*G13</f>
        <v>0</v>
      </c>
      <c r="I13" s="121">
        <v>0</v>
      </c>
      <c r="J13" s="59">
        <f>$D13*I13</f>
        <v>0</v>
      </c>
      <c r="K13" s="121">
        <v>0</v>
      </c>
      <c r="L13" s="59">
        <f>$D13*K13</f>
        <v>0</v>
      </c>
      <c r="M13" s="121">
        <v>0</v>
      </c>
      <c r="N13" s="59">
        <f>$D13*M13</f>
        <v>0</v>
      </c>
      <c r="O13" s="190">
        <f>F13+H13+J13+L13+N13</f>
        <v>1512</v>
      </c>
      <c r="P13" s="10">
        <f>O13*12*20/1000</f>
        <v>362.88</v>
      </c>
    </row>
    <row r="14" spans="2:16" x14ac:dyDescent="0.2">
      <c r="B14" s="191" t="s">
        <v>49</v>
      </c>
      <c r="C14" s="254" t="s">
        <v>50</v>
      </c>
      <c r="D14" s="60">
        <v>32</v>
      </c>
      <c r="E14" s="192">
        <v>2</v>
      </c>
      <c r="F14" s="60">
        <f t="shared" ref="F14:F27" si="0">$D14*E14</f>
        <v>64</v>
      </c>
      <c r="G14" s="192">
        <v>36</v>
      </c>
      <c r="H14" s="60">
        <f t="shared" ref="H14:H27" si="1">$D14*G14</f>
        <v>1152</v>
      </c>
      <c r="I14" s="192">
        <v>19</v>
      </c>
      <c r="J14" s="60">
        <f t="shared" ref="J14:J27" si="2">$D14*I14</f>
        <v>608</v>
      </c>
      <c r="K14" s="192">
        <v>20</v>
      </c>
      <c r="L14" s="60">
        <f t="shared" ref="L14:L27" si="3">$D14*K14</f>
        <v>640</v>
      </c>
      <c r="M14" s="192">
        <v>0</v>
      </c>
      <c r="N14" s="60">
        <f t="shared" ref="N14:N27" si="4">$D14*M14</f>
        <v>0</v>
      </c>
      <c r="O14" s="52">
        <f t="shared" ref="O14:O27" si="5">F14+H14+J14+L14+N14</f>
        <v>2464</v>
      </c>
      <c r="P14" s="11">
        <f t="shared" ref="P14:P27" si="6">O14*12*20/1000</f>
        <v>591.36</v>
      </c>
    </row>
    <row r="15" spans="2:16" x14ac:dyDescent="0.2">
      <c r="B15" s="191" t="s">
        <v>51</v>
      </c>
      <c r="C15" s="254" t="s">
        <v>52</v>
      </c>
      <c r="D15" s="60">
        <v>11</v>
      </c>
      <c r="E15" s="192">
        <v>2</v>
      </c>
      <c r="F15" s="60">
        <f t="shared" si="0"/>
        <v>22</v>
      </c>
      <c r="G15" s="192">
        <v>312</v>
      </c>
      <c r="H15" s="60">
        <f t="shared" si="1"/>
        <v>3432</v>
      </c>
      <c r="I15" s="192">
        <v>44</v>
      </c>
      <c r="J15" s="60">
        <f t="shared" si="2"/>
        <v>484</v>
      </c>
      <c r="K15" s="192">
        <v>16</v>
      </c>
      <c r="L15" s="60">
        <f t="shared" si="3"/>
        <v>176</v>
      </c>
      <c r="M15" s="192">
        <v>0</v>
      </c>
      <c r="N15" s="60">
        <f t="shared" si="4"/>
        <v>0</v>
      </c>
      <c r="O15" s="52">
        <f t="shared" si="5"/>
        <v>4114</v>
      </c>
      <c r="P15" s="11">
        <f t="shared" si="6"/>
        <v>987.36</v>
      </c>
    </row>
    <row r="16" spans="2:16" x14ac:dyDescent="0.2">
      <c r="B16" s="191" t="s">
        <v>51</v>
      </c>
      <c r="C16" s="254" t="s">
        <v>52</v>
      </c>
      <c r="D16" s="60">
        <v>25</v>
      </c>
      <c r="E16" s="192">
        <v>37</v>
      </c>
      <c r="F16" s="60">
        <f t="shared" si="0"/>
        <v>925</v>
      </c>
      <c r="G16" s="192">
        <v>0</v>
      </c>
      <c r="H16" s="60">
        <f t="shared" si="1"/>
        <v>0</v>
      </c>
      <c r="I16" s="192">
        <v>0</v>
      </c>
      <c r="J16" s="60">
        <f t="shared" si="2"/>
        <v>0</v>
      </c>
      <c r="K16" s="192">
        <v>3</v>
      </c>
      <c r="L16" s="60">
        <f t="shared" si="3"/>
        <v>75</v>
      </c>
      <c r="M16" s="192">
        <v>74</v>
      </c>
      <c r="N16" s="60">
        <f t="shared" si="4"/>
        <v>1850</v>
      </c>
      <c r="O16" s="52">
        <f t="shared" si="5"/>
        <v>2850</v>
      </c>
      <c r="P16" s="11">
        <f t="shared" si="6"/>
        <v>684</v>
      </c>
    </row>
    <row r="17" spans="2:18" x14ac:dyDescent="0.2">
      <c r="B17" s="191" t="s">
        <v>51</v>
      </c>
      <c r="C17" s="254" t="s">
        <v>48</v>
      </c>
      <c r="D17" s="60">
        <v>2</v>
      </c>
      <c r="E17" s="192">
        <v>4</v>
      </c>
      <c r="F17" s="60">
        <f t="shared" si="0"/>
        <v>8</v>
      </c>
      <c r="G17" s="192">
        <v>0</v>
      </c>
      <c r="H17" s="60">
        <f t="shared" si="1"/>
        <v>0</v>
      </c>
      <c r="I17" s="192">
        <v>0</v>
      </c>
      <c r="J17" s="60">
        <f t="shared" si="2"/>
        <v>0</v>
      </c>
      <c r="K17" s="192">
        <v>0</v>
      </c>
      <c r="L17" s="60">
        <f t="shared" si="3"/>
        <v>0</v>
      </c>
      <c r="M17" s="192">
        <v>0</v>
      </c>
      <c r="N17" s="60">
        <f t="shared" si="4"/>
        <v>0</v>
      </c>
      <c r="O17" s="52">
        <f t="shared" si="5"/>
        <v>8</v>
      </c>
      <c r="P17" s="11">
        <f t="shared" si="6"/>
        <v>1.92</v>
      </c>
    </row>
    <row r="18" spans="2:18" x14ac:dyDescent="0.2">
      <c r="B18" s="191" t="s">
        <v>51</v>
      </c>
      <c r="C18" s="254" t="s">
        <v>48</v>
      </c>
      <c r="D18" s="60">
        <v>3</v>
      </c>
      <c r="E18" s="192">
        <v>9</v>
      </c>
      <c r="F18" s="60">
        <f t="shared" si="0"/>
        <v>27</v>
      </c>
      <c r="G18" s="192">
        <v>0</v>
      </c>
      <c r="H18" s="60">
        <f t="shared" si="1"/>
        <v>0</v>
      </c>
      <c r="I18" s="192">
        <v>0</v>
      </c>
      <c r="J18" s="60">
        <f t="shared" si="2"/>
        <v>0</v>
      </c>
      <c r="K18" s="192">
        <v>0</v>
      </c>
      <c r="L18" s="60">
        <f t="shared" si="3"/>
        <v>0</v>
      </c>
      <c r="M18" s="192">
        <v>0</v>
      </c>
      <c r="N18" s="60">
        <f t="shared" si="4"/>
        <v>0</v>
      </c>
      <c r="O18" s="52">
        <f t="shared" si="5"/>
        <v>27</v>
      </c>
      <c r="P18" s="11">
        <f t="shared" si="6"/>
        <v>6.48</v>
      </c>
    </row>
    <row r="19" spans="2:18" x14ac:dyDescent="0.2">
      <c r="B19" s="191" t="s">
        <v>53</v>
      </c>
      <c r="C19" s="254" t="s">
        <v>54</v>
      </c>
      <c r="D19" s="60">
        <v>50</v>
      </c>
      <c r="E19" s="192">
        <v>3</v>
      </c>
      <c r="F19" s="60">
        <f t="shared" si="0"/>
        <v>150</v>
      </c>
      <c r="G19" s="192">
        <v>7</v>
      </c>
      <c r="H19" s="60">
        <f t="shared" si="1"/>
        <v>350</v>
      </c>
      <c r="I19" s="192">
        <v>16</v>
      </c>
      <c r="J19" s="60">
        <f t="shared" si="2"/>
        <v>800</v>
      </c>
      <c r="K19" s="192">
        <v>12</v>
      </c>
      <c r="L19" s="60">
        <f t="shared" si="3"/>
        <v>600</v>
      </c>
      <c r="M19" s="192">
        <v>1</v>
      </c>
      <c r="N19" s="60">
        <f t="shared" si="4"/>
        <v>50</v>
      </c>
      <c r="O19" s="52">
        <f t="shared" si="5"/>
        <v>1950</v>
      </c>
      <c r="P19" s="11">
        <f t="shared" si="6"/>
        <v>468</v>
      </c>
    </row>
    <row r="20" spans="2:18" x14ac:dyDescent="0.2">
      <c r="B20" s="191" t="s">
        <v>90</v>
      </c>
      <c r="C20" s="254" t="s">
        <v>91</v>
      </c>
      <c r="D20" s="60">
        <v>150</v>
      </c>
      <c r="E20" s="192">
        <v>4</v>
      </c>
      <c r="F20" s="60">
        <f t="shared" si="0"/>
        <v>600</v>
      </c>
      <c r="G20" s="192">
        <v>4</v>
      </c>
      <c r="H20" s="60">
        <f t="shared" si="1"/>
        <v>600</v>
      </c>
      <c r="I20" s="192">
        <v>0</v>
      </c>
      <c r="J20" s="60">
        <f t="shared" si="2"/>
        <v>0</v>
      </c>
      <c r="K20" s="192">
        <v>2</v>
      </c>
      <c r="L20" s="60">
        <f t="shared" si="3"/>
        <v>300</v>
      </c>
      <c r="M20" s="192">
        <v>0</v>
      </c>
      <c r="N20" s="60">
        <f t="shared" si="4"/>
        <v>0</v>
      </c>
      <c r="O20" s="52">
        <f t="shared" si="5"/>
        <v>1500</v>
      </c>
      <c r="P20" s="11">
        <f t="shared" si="6"/>
        <v>360</v>
      </c>
    </row>
    <row r="21" spans="2:18" x14ac:dyDescent="0.2">
      <c r="B21" s="193" t="s">
        <v>140</v>
      </c>
      <c r="C21" s="255" t="s">
        <v>48</v>
      </c>
      <c r="D21" s="60">
        <v>7</v>
      </c>
      <c r="E21" s="192">
        <v>0</v>
      </c>
      <c r="F21" s="60">
        <f t="shared" si="0"/>
        <v>0</v>
      </c>
      <c r="G21" s="192">
        <v>0</v>
      </c>
      <c r="H21" s="60">
        <f t="shared" si="1"/>
        <v>0</v>
      </c>
      <c r="I21" s="192">
        <v>3</v>
      </c>
      <c r="J21" s="60">
        <f t="shared" si="2"/>
        <v>21</v>
      </c>
      <c r="K21" s="192">
        <v>0</v>
      </c>
      <c r="L21" s="60">
        <f t="shared" si="3"/>
        <v>0</v>
      </c>
      <c r="M21" s="192">
        <v>0</v>
      </c>
      <c r="N21" s="60">
        <f t="shared" si="4"/>
        <v>0</v>
      </c>
      <c r="O21" s="52">
        <f t="shared" si="5"/>
        <v>21</v>
      </c>
      <c r="P21" s="11">
        <f t="shared" si="6"/>
        <v>5.04</v>
      </c>
    </row>
    <row r="22" spans="2:18" x14ac:dyDescent="0.2">
      <c r="B22" s="193" t="s">
        <v>51</v>
      </c>
      <c r="C22" s="256" t="s">
        <v>52</v>
      </c>
      <c r="D22" s="60">
        <v>8</v>
      </c>
      <c r="E22" s="192">
        <v>0</v>
      </c>
      <c r="F22" s="60">
        <f t="shared" si="0"/>
        <v>0</v>
      </c>
      <c r="G22" s="192">
        <v>0</v>
      </c>
      <c r="H22" s="60">
        <f t="shared" si="1"/>
        <v>0</v>
      </c>
      <c r="I22" s="192">
        <v>73</v>
      </c>
      <c r="J22" s="60">
        <f t="shared" si="2"/>
        <v>584</v>
      </c>
      <c r="K22" s="192">
        <v>0</v>
      </c>
      <c r="L22" s="60">
        <f t="shared" si="3"/>
        <v>0</v>
      </c>
      <c r="M22" s="192">
        <v>0</v>
      </c>
      <c r="N22" s="60">
        <f t="shared" si="4"/>
        <v>0</v>
      </c>
      <c r="O22" s="52">
        <f t="shared" si="5"/>
        <v>584</v>
      </c>
      <c r="P22" s="11">
        <f t="shared" si="6"/>
        <v>140.16</v>
      </c>
    </row>
    <row r="23" spans="2:18" x14ac:dyDescent="0.2">
      <c r="B23" s="193" t="s">
        <v>51</v>
      </c>
      <c r="C23" s="256" t="s">
        <v>52</v>
      </c>
      <c r="D23" s="60">
        <v>15</v>
      </c>
      <c r="E23" s="192">
        <v>0</v>
      </c>
      <c r="F23" s="60">
        <f t="shared" si="0"/>
        <v>0</v>
      </c>
      <c r="G23" s="192">
        <v>0</v>
      </c>
      <c r="H23" s="60">
        <f t="shared" si="1"/>
        <v>0</v>
      </c>
      <c r="I23" s="192">
        <v>25</v>
      </c>
      <c r="J23" s="60">
        <f t="shared" si="2"/>
        <v>375</v>
      </c>
      <c r="K23" s="192">
        <v>30</v>
      </c>
      <c r="L23" s="60">
        <f t="shared" si="3"/>
        <v>450</v>
      </c>
      <c r="M23" s="192">
        <v>0</v>
      </c>
      <c r="N23" s="60">
        <f t="shared" si="4"/>
        <v>0</v>
      </c>
      <c r="O23" s="52">
        <f t="shared" si="5"/>
        <v>825</v>
      </c>
      <c r="P23" s="11">
        <f t="shared" si="6"/>
        <v>198</v>
      </c>
    </row>
    <row r="24" spans="2:18" x14ac:dyDescent="0.2">
      <c r="B24" s="193" t="s">
        <v>51</v>
      </c>
      <c r="C24" s="256" t="s">
        <v>52</v>
      </c>
      <c r="D24" s="60">
        <v>20</v>
      </c>
      <c r="E24" s="192">
        <v>0</v>
      </c>
      <c r="F24" s="60">
        <f t="shared" si="0"/>
        <v>0</v>
      </c>
      <c r="G24" s="192">
        <v>0</v>
      </c>
      <c r="H24" s="60">
        <f t="shared" si="1"/>
        <v>0</v>
      </c>
      <c r="I24" s="192">
        <v>25</v>
      </c>
      <c r="J24" s="60">
        <f t="shared" si="2"/>
        <v>500</v>
      </c>
      <c r="K24" s="192">
        <v>63</v>
      </c>
      <c r="L24" s="60">
        <f t="shared" si="3"/>
        <v>1260</v>
      </c>
      <c r="M24" s="192">
        <v>20</v>
      </c>
      <c r="N24" s="60">
        <f t="shared" si="4"/>
        <v>400</v>
      </c>
      <c r="O24" s="52">
        <f t="shared" si="5"/>
        <v>2160</v>
      </c>
      <c r="P24" s="11">
        <f t="shared" si="6"/>
        <v>518.4</v>
      </c>
    </row>
    <row r="25" spans="2:18" ht="13.5" customHeight="1" x14ac:dyDescent="0.2">
      <c r="B25" s="193" t="s">
        <v>94</v>
      </c>
      <c r="C25" s="257" t="s">
        <v>95</v>
      </c>
      <c r="D25" s="60">
        <v>100</v>
      </c>
      <c r="E25" s="192">
        <v>0</v>
      </c>
      <c r="F25" s="60">
        <f t="shared" si="0"/>
        <v>0</v>
      </c>
      <c r="G25" s="192">
        <v>0</v>
      </c>
      <c r="H25" s="60">
        <f t="shared" si="1"/>
        <v>0</v>
      </c>
      <c r="I25" s="192">
        <v>1</v>
      </c>
      <c r="J25" s="60">
        <f t="shared" si="2"/>
        <v>100</v>
      </c>
      <c r="K25" s="192">
        <v>0</v>
      </c>
      <c r="L25" s="60">
        <f t="shared" si="3"/>
        <v>0</v>
      </c>
      <c r="M25" s="192">
        <v>0</v>
      </c>
      <c r="N25" s="60">
        <f t="shared" si="4"/>
        <v>0</v>
      </c>
      <c r="O25" s="52">
        <f t="shared" si="5"/>
        <v>100</v>
      </c>
      <c r="P25" s="11">
        <f t="shared" si="6"/>
        <v>24</v>
      </c>
    </row>
    <row r="26" spans="2:18" x14ac:dyDescent="0.2">
      <c r="B26" s="194" t="s">
        <v>141</v>
      </c>
      <c r="C26" s="258" t="s">
        <v>50</v>
      </c>
      <c r="D26" s="195">
        <v>17</v>
      </c>
      <c r="E26" s="192">
        <v>0</v>
      </c>
      <c r="F26" s="60">
        <f t="shared" si="0"/>
        <v>0</v>
      </c>
      <c r="G26" s="192">
        <v>0</v>
      </c>
      <c r="H26" s="60">
        <f t="shared" si="1"/>
        <v>0</v>
      </c>
      <c r="I26" s="192">
        <v>0</v>
      </c>
      <c r="J26" s="60">
        <f t="shared" si="2"/>
        <v>0</v>
      </c>
      <c r="K26" s="192">
        <v>1</v>
      </c>
      <c r="L26" s="60">
        <f t="shared" si="3"/>
        <v>17</v>
      </c>
      <c r="M26" s="192">
        <v>0</v>
      </c>
      <c r="N26" s="60">
        <f t="shared" si="4"/>
        <v>0</v>
      </c>
      <c r="O26" s="52">
        <f t="shared" si="5"/>
        <v>17</v>
      </c>
      <c r="P26" s="11">
        <f t="shared" si="6"/>
        <v>4.08</v>
      </c>
    </row>
    <row r="27" spans="2:18" ht="13.5" thickBot="1" x14ac:dyDescent="0.25">
      <c r="B27" s="196" t="s">
        <v>105</v>
      </c>
      <c r="C27" s="259" t="s">
        <v>142</v>
      </c>
      <c r="D27" s="197">
        <v>70</v>
      </c>
      <c r="E27" s="198">
        <v>0</v>
      </c>
      <c r="F27" s="61">
        <f t="shared" si="0"/>
        <v>0</v>
      </c>
      <c r="G27" s="198">
        <v>0</v>
      </c>
      <c r="H27" s="61">
        <f t="shared" si="1"/>
        <v>0</v>
      </c>
      <c r="I27" s="198">
        <v>0</v>
      </c>
      <c r="J27" s="61">
        <f t="shared" si="2"/>
        <v>0</v>
      </c>
      <c r="K27" s="198">
        <v>16</v>
      </c>
      <c r="L27" s="61">
        <f t="shared" si="3"/>
        <v>1120</v>
      </c>
      <c r="M27" s="198">
        <v>0</v>
      </c>
      <c r="N27" s="61">
        <f t="shared" si="4"/>
        <v>0</v>
      </c>
      <c r="O27" s="58">
        <f t="shared" si="5"/>
        <v>1120</v>
      </c>
      <c r="P27" s="12">
        <f t="shared" si="6"/>
        <v>268.8</v>
      </c>
    </row>
    <row r="28" spans="2:18" ht="13.5" thickBot="1" x14ac:dyDescent="0.25"/>
    <row r="29" spans="2:18" ht="13.5" thickBot="1" x14ac:dyDescent="0.25">
      <c r="B29" s="89"/>
      <c r="C29" s="90" t="s">
        <v>6</v>
      </c>
      <c r="D29" s="45"/>
      <c r="E29" s="51">
        <f>SUM(E13:E27)</f>
        <v>89</v>
      </c>
      <c r="F29" s="51">
        <f t="shared" ref="F29:P29" si="7">SUM(F13:F27)</f>
        <v>3308</v>
      </c>
      <c r="G29" s="51">
        <f t="shared" si="7"/>
        <v>359</v>
      </c>
      <c r="H29" s="51">
        <f t="shared" si="7"/>
        <v>5534</v>
      </c>
      <c r="I29" s="51">
        <f t="shared" si="7"/>
        <v>206</v>
      </c>
      <c r="J29" s="51">
        <f t="shared" si="7"/>
        <v>3472</v>
      </c>
      <c r="K29" s="51">
        <f t="shared" si="7"/>
        <v>163</v>
      </c>
      <c r="L29" s="51">
        <f t="shared" si="7"/>
        <v>4638</v>
      </c>
      <c r="M29" s="51">
        <f t="shared" si="7"/>
        <v>95</v>
      </c>
      <c r="N29" s="51">
        <f t="shared" si="7"/>
        <v>2300</v>
      </c>
      <c r="O29" s="51">
        <f t="shared" si="7"/>
        <v>19252</v>
      </c>
      <c r="P29" s="51">
        <f t="shared" si="7"/>
        <v>4620.4799999999996</v>
      </c>
    </row>
    <row r="30" spans="2:18" ht="13.5" thickBot="1" x14ac:dyDescent="0.25">
      <c r="B30" s="91"/>
      <c r="C30" s="94"/>
      <c r="D30" s="34"/>
      <c r="E30" s="34"/>
      <c r="F30" s="34"/>
      <c r="R30" s="56" t="s">
        <v>121</v>
      </c>
    </row>
    <row r="31" spans="2:18" ht="13.5" thickBot="1" x14ac:dyDescent="0.25">
      <c r="B31" s="333" t="s">
        <v>108</v>
      </c>
      <c r="C31" s="334"/>
      <c r="D31" s="68"/>
      <c r="E31" s="335">
        <f>F29*9*20/1000</f>
        <v>595.44000000000005</v>
      </c>
      <c r="F31" s="363"/>
      <c r="G31" s="335">
        <f>H29*9*20/1000</f>
        <v>996.12</v>
      </c>
      <c r="H31" s="363"/>
      <c r="I31" s="335">
        <f>J29*9*20/1000</f>
        <v>624.96</v>
      </c>
      <c r="J31" s="336"/>
      <c r="K31" s="363">
        <f t="shared" ref="K31" si="8">L29*9*20/1000</f>
        <v>834.84</v>
      </c>
      <c r="L31" s="363"/>
      <c r="M31" s="335">
        <f t="shared" ref="M31" si="9">N29*9*20/1000</f>
        <v>414</v>
      </c>
      <c r="N31" s="336"/>
      <c r="O31" s="199"/>
      <c r="P31" s="155">
        <f>O29*12*20/1000</f>
        <v>4620.4799999999996</v>
      </c>
      <c r="R31" s="155">
        <f>+P31*0.65</f>
        <v>3003.3119999999999</v>
      </c>
    </row>
    <row r="32" spans="2:18" ht="13.5" thickBot="1" x14ac:dyDescent="0.25">
      <c r="B32" s="333" t="s">
        <v>109</v>
      </c>
      <c r="C32" s="334"/>
      <c r="D32" s="68"/>
      <c r="E32" s="337">
        <f>E31*12</f>
        <v>7145.2800000000007</v>
      </c>
      <c r="F32" s="362"/>
      <c r="G32" s="337">
        <f>G31*12</f>
        <v>11953.44</v>
      </c>
      <c r="H32" s="362"/>
      <c r="I32" s="337">
        <f t="shared" ref="I32" si="10">I31*12</f>
        <v>7499.52</v>
      </c>
      <c r="J32" s="338"/>
      <c r="K32" s="362">
        <f t="shared" ref="K32" si="11">K31*12</f>
        <v>10018.08</v>
      </c>
      <c r="L32" s="362"/>
      <c r="M32" s="337">
        <f t="shared" ref="M32" si="12">M31*12</f>
        <v>4968</v>
      </c>
      <c r="N32" s="338"/>
      <c r="O32" s="199"/>
      <c r="P32" s="155">
        <f>+P31*12</f>
        <v>55445.759999999995</v>
      </c>
      <c r="R32" s="155">
        <f>+R31*12</f>
        <v>36039.743999999999</v>
      </c>
    </row>
    <row r="33" spans="2:18" x14ac:dyDescent="0.2">
      <c r="B33" s="34"/>
      <c r="C33" s="34"/>
      <c r="D33" s="34"/>
      <c r="E33" s="34"/>
      <c r="F33" s="34"/>
      <c r="G33" s="78"/>
    </row>
    <row r="34" spans="2:18" ht="13.5" thickBot="1" x14ac:dyDescent="0.25">
      <c r="B34" s="91" t="s">
        <v>5</v>
      </c>
      <c r="C34" s="34"/>
      <c r="D34" s="34"/>
      <c r="E34" s="34"/>
      <c r="F34" s="34"/>
      <c r="G34" s="78"/>
    </row>
    <row r="35" spans="2:18" ht="13.5" thickBot="1" x14ac:dyDescent="0.25">
      <c r="B35" s="327" t="s">
        <v>85</v>
      </c>
      <c r="C35" s="351" t="s">
        <v>160</v>
      </c>
      <c r="D35" s="352"/>
      <c r="E35" s="352"/>
      <c r="F35" s="352"/>
      <c r="G35" s="352"/>
      <c r="H35" s="352"/>
      <c r="I35" s="352"/>
      <c r="J35" s="352"/>
      <c r="K35" s="352"/>
      <c r="L35" s="352"/>
      <c r="M35" s="352"/>
      <c r="N35" s="352"/>
      <c r="O35" s="353"/>
      <c r="P35" s="354" t="s">
        <v>107</v>
      </c>
      <c r="Q35" s="355"/>
      <c r="R35" s="356"/>
    </row>
    <row r="36" spans="2:18" ht="13.5" customHeight="1" thickBot="1" x14ac:dyDescent="0.25">
      <c r="B36" s="340"/>
      <c r="C36" s="331" t="s">
        <v>133</v>
      </c>
      <c r="D36" s="332"/>
      <c r="E36" s="331" t="s">
        <v>134</v>
      </c>
      <c r="F36" s="332"/>
      <c r="G36" s="331" t="s">
        <v>135</v>
      </c>
      <c r="H36" s="332"/>
      <c r="I36" s="331" t="s">
        <v>136</v>
      </c>
      <c r="J36" s="332"/>
      <c r="K36" s="331" t="s">
        <v>137</v>
      </c>
      <c r="L36" s="332"/>
      <c r="M36" s="331" t="s">
        <v>6</v>
      </c>
      <c r="N36" s="339"/>
      <c r="O36" s="332"/>
      <c r="P36" s="357"/>
      <c r="Q36" s="358"/>
      <c r="R36" s="359"/>
    </row>
    <row r="37" spans="2:18" ht="13.5" thickBot="1" x14ac:dyDescent="0.25">
      <c r="B37" s="328"/>
      <c r="C37" s="96">
        <v>2014</v>
      </c>
      <c r="D37" s="96">
        <v>2015</v>
      </c>
      <c r="E37" s="96">
        <v>2014</v>
      </c>
      <c r="F37" s="96">
        <v>2015</v>
      </c>
      <c r="G37" s="96">
        <v>2014</v>
      </c>
      <c r="H37" s="96">
        <v>2015</v>
      </c>
      <c r="I37" s="96">
        <v>2014</v>
      </c>
      <c r="J37" s="96">
        <v>2015</v>
      </c>
      <c r="K37" s="96">
        <v>2014</v>
      </c>
      <c r="L37" s="96">
        <v>2015</v>
      </c>
      <c r="M37" s="96">
        <v>2014</v>
      </c>
      <c r="N37" s="96">
        <v>2015</v>
      </c>
      <c r="O37" s="96" t="s">
        <v>114</v>
      </c>
      <c r="P37" s="96">
        <v>2014</v>
      </c>
      <c r="Q37" s="208">
        <v>2015</v>
      </c>
      <c r="R37" s="96" t="s">
        <v>114</v>
      </c>
    </row>
    <row r="38" spans="2:18" x14ac:dyDescent="0.2">
      <c r="B38" s="13" t="s">
        <v>73</v>
      </c>
      <c r="C38" s="18">
        <v>1602</v>
      </c>
      <c r="D38" s="16">
        <v>1111</v>
      </c>
      <c r="E38" s="18">
        <v>3666</v>
      </c>
      <c r="F38" s="16">
        <v>2780</v>
      </c>
      <c r="G38" s="18">
        <v>215648.6</v>
      </c>
      <c r="H38" s="16">
        <v>186426.2</v>
      </c>
      <c r="I38" s="18">
        <v>1083</v>
      </c>
      <c r="J38" s="16">
        <v>996</v>
      </c>
      <c r="K38" s="18">
        <v>1382</v>
      </c>
      <c r="L38" s="16">
        <v>1677</v>
      </c>
      <c r="M38" s="10">
        <f>C38+E38+G38+I38+K38</f>
        <v>223381.6</v>
      </c>
      <c r="N38" s="22">
        <f>D38+F38+H38+J38+L38</f>
        <v>192990.2</v>
      </c>
      <c r="O38" s="10">
        <f>M38-($P$36-$Q$36)</f>
        <v>223381.6</v>
      </c>
      <c r="P38" s="205">
        <f>$P$32/M38</f>
        <v>0.24821095381177319</v>
      </c>
      <c r="Q38" s="201">
        <f>+$P$32/N38</f>
        <v>0.28729831877473566</v>
      </c>
      <c r="R38" s="201">
        <f>+$R$32/O38</f>
        <v>0.16133711997765257</v>
      </c>
    </row>
    <row r="39" spans="2:18" x14ac:dyDescent="0.2">
      <c r="B39" s="14" t="s">
        <v>74</v>
      </c>
      <c r="C39" s="18">
        <v>1240</v>
      </c>
      <c r="D39" s="16">
        <v>1111</v>
      </c>
      <c r="E39" s="18">
        <v>3039</v>
      </c>
      <c r="F39" s="16">
        <v>2780</v>
      </c>
      <c r="G39" s="18">
        <v>201333.6</v>
      </c>
      <c r="H39" s="16">
        <v>172867</v>
      </c>
      <c r="I39" s="18">
        <v>976</v>
      </c>
      <c r="J39" s="16">
        <v>954</v>
      </c>
      <c r="K39" s="18">
        <v>1321</v>
      </c>
      <c r="L39" s="16">
        <v>1677</v>
      </c>
      <c r="M39" s="11">
        <f t="shared" ref="M39:N49" si="13">C39+E39+G39+I39+K39</f>
        <v>207909.6</v>
      </c>
      <c r="N39" s="16">
        <f t="shared" si="13"/>
        <v>179389</v>
      </c>
      <c r="O39" s="11">
        <f t="shared" ref="O39:O49" si="14">M39-($P$36-$Q$36)</f>
        <v>207909.6</v>
      </c>
      <c r="P39" s="206">
        <f t="shared" ref="P39:P49" si="15">$P$32/M39</f>
        <v>0.26668205797134903</v>
      </c>
      <c r="Q39" s="200">
        <f t="shared" ref="Q39:Q49" si="16">+$P$32/N39</f>
        <v>0.3090811588224473</v>
      </c>
      <c r="R39" s="200">
        <f t="shared" ref="R39:R49" si="17">+$R$32/O39</f>
        <v>0.17334333768137689</v>
      </c>
    </row>
    <row r="40" spans="2:18" ht="13.5" customHeight="1" x14ac:dyDescent="0.2">
      <c r="B40" s="14" t="s">
        <v>75</v>
      </c>
      <c r="C40" s="18">
        <v>1163</v>
      </c>
      <c r="D40" s="16">
        <v>1043</v>
      </c>
      <c r="E40" s="18">
        <v>2719</v>
      </c>
      <c r="F40" s="16">
        <v>2686</v>
      </c>
      <c r="G40" s="18">
        <v>219127.4</v>
      </c>
      <c r="H40" s="16">
        <v>192068.1</v>
      </c>
      <c r="I40" s="18">
        <v>892</v>
      </c>
      <c r="J40" s="16">
        <v>1051</v>
      </c>
      <c r="K40" s="18">
        <v>1261</v>
      </c>
      <c r="L40" s="16">
        <v>1315</v>
      </c>
      <c r="M40" s="11">
        <f t="shared" si="13"/>
        <v>225162.4</v>
      </c>
      <c r="N40" s="16">
        <f t="shared" si="13"/>
        <v>198163.1</v>
      </c>
      <c r="O40" s="11">
        <f t="shared" si="14"/>
        <v>225162.4</v>
      </c>
      <c r="P40" s="206">
        <f t="shared" si="15"/>
        <v>0.24624786376410979</v>
      </c>
      <c r="Q40" s="200">
        <f t="shared" si="16"/>
        <v>0.27979861033663683</v>
      </c>
      <c r="R40" s="200">
        <f t="shared" si="17"/>
        <v>0.16006111144667137</v>
      </c>
    </row>
    <row r="41" spans="2:18" x14ac:dyDescent="0.2">
      <c r="B41" s="14" t="s">
        <v>76</v>
      </c>
      <c r="C41" s="209">
        <v>0</v>
      </c>
      <c r="D41" s="16">
        <v>1018</v>
      </c>
      <c r="E41" s="18">
        <v>1861</v>
      </c>
      <c r="F41" s="16">
        <v>2413</v>
      </c>
      <c r="G41" s="18">
        <v>205888.3</v>
      </c>
      <c r="H41" s="16">
        <v>179532.2</v>
      </c>
      <c r="I41" s="18">
        <v>0</v>
      </c>
      <c r="J41" s="16">
        <v>912</v>
      </c>
      <c r="K41" s="18">
        <v>789</v>
      </c>
      <c r="L41" s="16">
        <v>1320</v>
      </c>
      <c r="M41" s="11">
        <f t="shared" si="13"/>
        <v>208538.3</v>
      </c>
      <c r="N41" s="16">
        <f t="shared" si="13"/>
        <v>185195.2</v>
      </c>
      <c r="O41" s="11">
        <f t="shared" si="14"/>
        <v>208538.3</v>
      </c>
      <c r="P41" s="206">
        <f t="shared" si="15"/>
        <v>0.26587806652303198</v>
      </c>
      <c r="Q41" s="200">
        <f t="shared" si="16"/>
        <v>0.29939091293942821</v>
      </c>
      <c r="R41" s="200">
        <f t="shared" si="17"/>
        <v>0.17282074323997079</v>
      </c>
    </row>
    <row r="42" spans="2:18" x14ac:dyDescent="0.2">
      <c r="B42" s="14" t="s">
        <v>77</v>
      </c>
      <c r="C42" s="18">
        <v>1529</v>
      </c>
      <c r="D42" s="16">
        <v>1056</v>
      </c>
      <c r="E42" s="18">
        <v>3054</v>
      </c>
      <c r="F42" s="16">
        <v>2625</v>
      </c>
      <c r="G42" s="18">
        <v>204544.8</v>
      </c>
      <c r="H42" s="16">
        <v>185553.1</v>
      </c>
      <c r="I42" s="18">
        <v>1000</v>
      </c>
      <c r="J42" s="16">
        <v>963</v>
      </c>
      <c r="K42" s="18">
        <v>1218</v>
      </c>
      <c r="L42" s="16">
        <v>1413</v>
      </c>
      <c r="M42" s="11">
        <f t="shared" si="13"/>
        <v>211345.8</v>
      </c>
      <c r="N42" s="16">
        <f t="shared" si="13"/>
        <v>191610.1</v>
      </c>
      <c r="O42" s="11">
        <f t="shared" si="14"/>
        <v>211345.8</v>
      </c>
      <c r="P42" s="206">
        <f t="shared" si="15"/>
        <v>0.26234616443761832</v>
      </c>
      <c r="Q42" s="200">
        <f t="shared" si="16"/>
        <v>0.28936762728060783</v>
      </c>
      <c r="R42" s="200">
        <f t="shared" si="17"/>
        <v>0.17052500688445194</v>
      </c>
    </row>
    <row r="43" spans="2:18" x14ac:dyDescent="0.2">
      <c r="B43" s="14" t="s">
        <v>78</v>
      </c>
      <c r="C43" s="18">
        <v>1181</v>
      </c>
      <c r="D43" s="16">
        <v>1054</v>
      </c>
      <c r="E43" s="18">
        <v>2804</v>
      </c>
      <c r="F43" s="16">
        <v>2636</v>
      </c>
      <c r="G43" s="18">
        <v>194727.6</v>
      </c>
      <c r="H43" s="16">
        <v>180669.9</v>
      </c>
      <c r="I43" s="18">
        <v>894</v>
      </c>
      <c r="J43" s="16">
        <v>957</v>
      </c>
      <c r="K43" s="18">
        <v>1442</v>
      </c>
      <c r="L43" s="16">
        <v>1505</v>
      </c>
      <c r="M43" s="11">
        <f t="shared" si="13"/>
        <v>201048.6</v>
      </c>
      <c r="N43" s="16">
        <f t="shared" si="13"/>
        <v>186821.9</v>
      </c>
      <c r="O43" s="11">
        <f t="shared" si="14"/>
        <v>201048.6</v>
      </c>
      <c r="P43" s="206">
        <f t="shared" si="15"/>
        <v>0.27578287041043803</v>
      </c>
      <c r="Q43" s="200">
        <f t="shared" si="16"/>
        <v>0.29678404940748382</v>
      </c>
      <c r="R43" s="200">
        <f t="shared" si="17"/>
        <v>0.17925886576678474</v>
      </c>
    </row>
    <row r="44" spans="2:18" x14ac:dyDescent="0.2">
      <c r="B44" s="14" t="s">
        <v>79</v>
      </c>
      <c r="C44" s="18">
        <v>1116</v>
      </c>
      <c r="D44" s="16">
        <v>1045</v>
      </c>
      <c r="E44" s="18">
        <v>2790</v>
      </c>
      <c r="F44" s="16">
        <v>2285</v>
      </c>
      <c r="G44" s="18">
        <v>206816.3</v>
      </c>
      <c r="H44" s="16">
        <v>192491</v>
      </c>
      <c r="I44" s="18">
        <v>898</v>
      </c>
      <c r="J44" s="16">
        <v>947</v>
      </c>
      <c r="K44" s="18">
        <v>1437</v>
      </c>
      <c r="L44" s="16">
        <v>1032</v>
      </c>
      <c r="M44" s="11">
        <f t="shared" si="13"/>
        <v>213057.3</v>
      </c>
      <c r="N44" s="16">
        <f t="shared" si="13"/>
        <v>197800</v>
      </c>
      <c r="O44" s="11">
        <f t="shared" si="14"/>
        <v>213057.3</v>
      </c>
      <c r="P44" s="206">
        <f t="shared" si="15"/>
        <v>0.26023872451213825</v>
      </c>
      <c r="Q44" s="200">
        <f t="shared" si="16"/>
        <v>0.28031223458038418</v>
      </c>
      <c r="R44" s="200">
        <f t="shared" si="17"/>
        <v>0.1691551709328899</v>
      </c>
    </row>
    <row r="45" spans="2:18" x14ac:dyDescent="0.2">
      <c r="B45" s="14" t="s">
        <v>80</v>
      </c>
      <c r="C45" s="18">
        <v>1154</v>
      </c>
      <c r="D45" s="16">
        <v>1119</v>
      </c>
      <c r="E45" s="18">
        <v>2948</v>
      </c>
      <c r="F45" s="16">
        <v>2516</v>
      </c>
      <c r="G45" s="18">
        <v>194138.2</v>
      </c>
      <c r="H45" s="16">
        <v>189143.7</v>
      </c>
      <c r="I45" s="18">
        <v>984</v>
      </c>
      <c r="J45" s="16">
        <v>875</v>
      </c>
      <c r="K45" s="18">
        <v>1378</v>
      </c>
      <c r="L45" s="16">
        <v>1162</v>
      </c>
      <c r="M45" s="11">
        <f t="shared" si="13"/>
        <v>200602.2</v>
      </c>
      <c r="N45" s="16">
        <f t="shared" si="13"/>
        <v>194815.7</v>
      </c>
      <c r="O45" s="11">
        <f t="shared" si="14"/>
        <v>200602.2</v>
      </c>
      <c r="P45" s="206">
        <f t="shared" si="15"/>
        <v>0.27639656992794692</v>
      </c>
      <c r="Q45" s="200">
        <f t="shared" si="16"/>
        <v>0.28460622013523545</v>
      </c>
      <c r="R45" s="200">
        <f t="shared" si="17"/>
        <v>0.1796577704531655</v>
      </c>
    </row>
    <row r="46" spans="2:18" x14ac:dyDescent="0.2">
      <c r="B46" s="14" t="s">
        <v>81</v>
      </c>
      <c r="C46" s="18">
        <v>1146</v>
      </c>
      <c r="D46" s="16">
        <v>1075</v>
      </c>
      <c r="E46" s="18">
        <v>2926</v>
      </c>
      <c r="F46" s="16">
        <v>2623</v>
      </c>
      <c r="G46" s="18">
        <v>198791.4</v>
      </c>
      <c r="H46" s="16">
        <v>190776.2</v>
      </c>
      <c r="I46" s="18">
        <v>804</v>
      </c>
      <c r="J46" s="16">
        <v>919</v>
      </c>
      <c r="K46" s="18">
        <v>1455</v>
      </c>
      <c r="L46" s="16">
        <v>1149</v>
      </c>
      <c r="M46" s="11">
        <f t="shared" si="13"/>
        <v>205122.4</v>
      </c>
      <c r="N46" s="16">
        <f t="shared" si="13"/>
        <v>196542.2</v>
      </c>
      <c r="O46" s="11">
        <f t="shared" si="14"/>
        <v>205122.4</v>
      </c>
      <c r="P46" s="206">
        <f t="shared" si="15"/>
        <v>0.27030572965214916</v>
      </c>
      <c r="Q46" s="200">
        <f t="shared" si="16"/>
        <v>0.28210613293226589</v>
      </c>
      <c r="R46" s="200">
        <f t="shared" si="17"/>
        <v>0.17569872427389696</v>
      </c>
    </row>
    <row r="47" spans="2:18" x14ac:dyDescent="0.2">
      <c r="B47" s="14" t="s">
        <v>82</v>
      </c>
      <c r="C47" s="18">
        <v>1049</v>
      </c>
      <c r="D47" s="16">
        <v>1145</v>
      </c>
      <c r="E47" s="18">
        <v>2699</v>
      </c>
      <c r="F47" s="16">
        <v>2179</v>
      </c>
      <c r="G47" s="18">
        <v>203999</v>
      </c>
      <c r="H47" s="16">
        <v>193989</v>
      </c>
      <c r="I47" s="18">
        <v>825</v>
      </c>
      <c r="J47" s="16">
        <v>924</v>
      </c>
      <c r="K47" s="18">
        <v>1383</v>
      </c>
      <c r="L47" s="16">
        <v>1179</v>
      </c>
      <c r="M47" s="11">
        <f t="shared" si="13"/>
        <v>209955</v>
      </c>
      <c r="N47" s="16">
        <f t="shared" si="13"/>
        <v>199416</v>
      </c>
      <c r="O47" s="11">
        <f t="shared" si="14"/>
        <v>209955</v>
      </c>
      <c r="P47" s="206">
        <f t="shared" si="15"/>
        <v>0.26408401800385795</v>
      </c>
      <c r="Q47" s="200">
        <f t="shared" si="16"/>
        <v>0.27804067878204353</v>
      </c>
      <c r="R47" s="200">
        <f t="shared" si="17"/>
        <v>0.17165461170250768</v>
      </c>
    </row>
    <row r="48" spans="2:18" x14ac:dyDescent="0.2">
      <c r="B48" s="14" t="s">
        <v>83</v>
      </c>
      <c r="C48" s="18">
        <v>1062</v>
      </c>
      <c r="D48" s="16">
        <v>1095</v>
      </c>
      <c r="E48" s="18">
        <v>2611</v>
      </c>
      <c r="F48" s="16">
        <v>2146</v>
      </c>
      <c r="G48" s="18">
        <v>191077.4</v>
      </c>
      <c r="H48" s="16">
        <v>180606</v>
      </c>
      <c r="I48" s="18">
        <v>918</v>
      </c>
      <c r="J48" s="16">
        <v>902</v>
      </c>
      <c r="K48" s="18">
        <v>1410</v>
      </c>
      <c r="L48" s="16">
        <v>1201</v>
      </c>
      <c r="M48" s="11">
        <f t="shared" si="13"/>
        <v>197078.39999999999</v>
      </c>
      <c r="N48" s="16">
        <f t="shared" si="13"/>
        <v>185950</v>
      </c>
      <c r="O48" s="11">
        <f t="shared" si="14"/>
        <v>197078.39999999999</v>
      </c>
      <c r="P48" s="206">
        <f t="shared" si="15"/>
        <v>0.2813385941838375</v>
      </c>
      <c r="Q48" s="200">
        <f t="shared" si="16"/>
        <v>0.29817563861253021</v>
      </c>
      <c r="R48" s="200">
        <f t="shared" si="17"/>
        <v>0.18287008621949438</v>
      </c>
    </row>
    <row r="49" spans="2:18" ht="13.5" thickBot="1" x14ac:dyDescent="0.25">
      <c r="B49" s="15" t="s">
        <v>84</v>
      </c>
      <c r="C49" s="19">
        <v>1024</v>
      </c>
      <c r="D49" s="17">
        <v>1066</v>
      </c>
      <c r="E49" s="19">
        <v>2724</v>
      </c>
      <c r="F49" s="17">
        <v>2211</v>
      </c>
      <c r="G49" s="19">
        <v>190064.5</v>
      </c>
      <c r="H49" s="17">
        <v>182342.39999999999</v>
      </c>
      <c r="I49" s="19">
        <v>904</v>
      </c>
      <c r="J49" s="17">
        <v>1060</v>
      </c>
      <c r="K49" s="19">
        <v>1235</v>
      </c>
      <c r="L49" s="17">
        <v>1297</v>
      </c>
      <c r="M49" s="12">
        <f t="shared" si="13"/>
        <v>195951.5</v>
      </c>
      <c r="N49" s="17">
        <f t="shared" si="13"/>
        <v>187976.4</v>
      </c>
      <c r="O49" s="12">
        <f t="shared" si="14"/>
        <v>195951.5</v>
      </c>
      <c r="P49" s="207">
        <f t="shared" si="15"/>
        <v>0.28295654792129682</v>
      </c>
      <c r="Q49" s="202">
        <f t="shared" si="16"/>
        <v>0.29496128237374475</v>
      </c>
      <c r="R49" s="202">
        <f t="shared" si="17"/>
        <v>0.18392175614884296</v>
      </c>
    </row>
    <row r="50" spans="2:18" ht="13.5" thickBot="1" x14ac:dyDescent="0.25">
      <c r="M50" s="4"/>
      <c r="N50" s="4"/>
      <c r="O50" s="4"/>
    </row>
    <row r="51" spans="2:18" ht="13.5" thickBot="1" x14ac:dyDescent="0.25">
      <c r="B51" s="203" t="s">
        <v>6</v>
      </c>
      <c r="C51" s="80">
        <f>SUM(C38:C49)</f>
        <v>13266</v>
      </c>
      <c r="D51" s="80">
        <f t="shared" ref="D51:O51" si="18">SUM(D38:D49)</f>
        <v>12938</v>
      </c>
      <c r="E51" s="80">
        <f t="shared" si="18"/>
        <v>33841</v>
      </c>
      <c r="F51" s="80">
        <f t="shared" si="18"/>
        <v>29880</v>
      </c>
      <c r="G51" s="80">
        <f t="shared" si="18"/>
        <v>2426157.1</v>
      </c>
      <c r="H51" s="80">
        <f t="shared" si="18"/>
        <v>2226464.7999999998</v>
      </c>
      <c r="I51" s="80">
        <f t="shared" si="18"/>
        <v>10178</v>
      </c>
      <c r="J51" s="80">
        <f t="shared" si="18"/>
        <v>11460</v>
      </c>
      <c r="K51" s="80">
        <f t="shared" si="18"/>
        <v>15711</v>
      </c>
      <c r="L51" s="80">
        <f t="shared" si="18"/>
        <v>15927</v>
      </c>
      <c r="M51" s="80">
        <f t="shared" si="18"/>
        <v>2499153.1</v>
      </c>
      <c r="N51" s="80">
        <f t="shared" si="18"/>
        <v>2296669.7999999998</v>
      </c>
      <c r="O51" s="80">
        <f t="shared" si="18"/>
        <v>2499153.1</v>
      </c>
      <c r="P51" s="204"/>
      <c r="Q51" s="204"/>
      <c r="R51" s="204"/>
    </row>
    <row r="53" spans="2:18" x14ac:dyDescent="0.2">
      <c r="B53" s="34"/>
      <c r="C53" s="34"/>
      <c r="D53" s="34"/>
      <c r="E53" s="34"/>
      <c r="F53" s="34"/>
      <c r="G53" s="78"/>
    </row>
    <row r="54" spans="2:18" x14ac:dyDescent="0.2">
      <c r="B54" s="34"/>
      <c r="C54" s="34"/>
      <c r="D54" s="34"/>
      <c r="E54" s="34"/>
      <c r="F54" s="34"/>
      <c r="G54" s="78"/>
    </row>
    <row r="55" spans="2:18" x14ac:dyDescent="0.2">
      <c r="B55" s="34"/>
      <c r="C55" s="34"/>
      <c r="D55" s="34"/>
      <c r="E55" s="34"/>
      <c r="F55" s="34"/>
      <c r="G55" s="78"/>
    </row>
    <row r="56" spans="2:18" x14ac:dyDescent="0.2">
      <c r="B56" s="34"/>
      <c r="C56" s="34"/>
      <c r="D56" s="34"/>
      <c r="E56" s="34"/>
      <c r="F56" s="34"/>
      <c r="G56" s="78"/>
    </row>
    <row r="57" spans="2:18" x14ac:dyDescent="0.2">
      <c r="B57" s="34"/>
      <c r="C57" s="34"/>
      <c r="D57" s="34"/>
      <c r="E57" s="34"/>
      <c r="F57" s="34"/>
      <c r="G57" s="78"/>
    </row>
    <row r="58" spans="2:18" x14ac:dyDescent="0.2">
      <c r="B58" s="34"/>
      <c r="C58" s="34"/>
      <c r="D58" s="34"/>
      <c r="E58" s="34"/>
      <c r="F58" s="34"/>
      <c r="G58" s="78"/>
    </row>
    <row r="59" spans="2:18" x14ac:dyDescent="0.2">
      <c r="B59" s="34"/>
      <c r="C59" s="34"/>
      <c r="D59" s="34"/>
      <c r="E59" s="34"/>
      <c r="F59" s="34"/>
      <c r="G59" s="78"/>
    </row>
    <row r="60" spans="2:18" x14ac:dyDescent="0.2">
      <c r="B60" s="34"/>
      <c r="C60" s="34"/>
      <c r="D60" s="34"/>
      <c r="E60" s="34"/>
      <c r="F60" s="34"/>
      <c r="G60" s="78"/>
    </row>
    <row r="61" spans="2:18" x14ac:dyDescent="0.2">
      <c r="B61" s="34"/>
      <c r="C61" s="34"/>
      <c r="D61" s="34"/>
      <c r="E61" s="34"/>
      <c r="F61" s="34"/>
      <c r="G61" s="78"/>
    </row>
    <row r="62" spans="2:18" x14ac:dyDescent="0.2">
      <c r="B62" s="34"/>
      <c r="C62" s="34"/>
      <c r="D62" s="34"/>
      <c r="E62" s="34"/>
      <c r="F62" s="34"/>
      <c r="G62" s="78"/>
    </row>
    <row r="63" spans="2:18" x14ac:dyDescent="0.2">
      <c r="B63" s="34"/>
      <c r="C63" s="34"/>
      <c r="D63" s="34"/>
      <c r="E63" s="34"/>
      <c r="F63" s="34"/>
      <c r="G63" s="78"/>
    </row>
    <row r="64" spans="2:18" x14ac:dyDescent="0.2">
      <c r="B64" s="34"/>
      <c r="C64" s="34"/>
      <c r="D64" s="34"/>
      <c r="E64" s="34"/>
      <c r="F64" s="34"/>
      <c r="G64" s="78"/>
    </row>
    <row r="65" spans="2:7" x14ac:dyDescent="0.2">
      <c r="B65" s="34"/>
      <c r="C65" s="34"/>
      <c r="D65" s="34"/>
      <c r="E65" s="34"/>
      <c r="F65" s="34"/>
      <c r="G65" s="78"/>
    </row>
    <row r="66" spans="2:7" x14ac:dyDescent="0.2">
      <c r="B66" s="34"/>
      <c r="C66" s="34"/>
      <c r="D66" s="34"/>
      <c r="E66" s="34"/>
      <c r="F66" s="34"/>
      <c r="G66" s="78"/>
    </row>
    <row r="67" spans="2:7" x14ac:dyDescent="0.2">
      <c r="B67" s="34"/>
      <c r="C67" s="34"/>
      <c r="D67" s="34"/>
      <c r="E67" s="34"/>
      <c r="F67" s="34"/>
      <c r="G67" s="78"/>
    </row>
    <row r="68" spans="2:7" x14ac:dyDescent="0.2">
      <c r="B68" s="34"/>
      <c r="C68" s="34"/>
      <c r="D68" s="34"/>
      <c r="E68" s="34"/>
      <c r="F68" s="34"/>
      <c r="G68" s="78"/>
    </row>
    <row r="69" spans="2:7" x14ac:dyDescent="0.2">
      <c r="B69" s="34"/>
      <c r="C69" s="34"/>
      <c r="D69" s="34"/>
      <c r="E69" s="34"/>
      <c r="F69" s="34"/>
      <c r="G69" s="78"/>
    </row>
    <row r="70" spans="2:7" x14ac:dyDescent="0.2">
      <c r="B70" s="34"/>
      <c r="C70" s="34"/>
      <c r="D70" s="34"/>
      <c r="E70" s="34"/>
      <c r="F70" s="34"/>
      <c r="G70" s="78"/>
    </row>
    <row r="71" spans="2:7" x14ac:dyDescent="0.2">
      <c r="B71" s="34"/>
      <c r="C71" s="34"/>
      <c r="D71" s="34"/>
      <c r="E71" s="34"/>
      <c r="F71" s="34"/>
      <c r="G71" s="78"/>
    </row>
    <row r="72" spans="2:7" x14ac:dyDescent="0.2">
      <c r="B72" s="34"/>
      <c r="C72" s="34"/>
      <c r="D72" s="34"/>
      <c r="E72" s="34"/>
      <c r="F72" s="34"/>
      <c r="G72" s="78"/>
    </row>
    <row r="73" spans="2:7" x14ac:dyDescent="0.2">
      <c r="B73" s="34"/>
      <c r="C73" s="34"/>
      <c r="D73" s="34"/>
      <c r="E73" s="34"/>
      <c r="F73" s="34"/>
      <c r="G73" s="78"/>
    </row>
    <row r="74" spans="2:7" x14ac:dyDescent="0.2">
      <c r="B74" s="34"/>
      <c r="C74" s="34"/>
      <c r="D74" s="34"/>
      <c r="E74" s="34"/>
      <c r="F74" s="34"/>
      <c r="G74" s="78"/>
    </row>
    <row r="75" spans="2:7" x14ac:dyDescent="0.2">
      <c r="B75" s="34"/>
      <c r="C75" s="34"/>
      <c r="D75" s="34"/>
      <c r="E75" s="34"/>
      <c r="F75" s="34"/>
      <c r="G75" s="78"/>
    </row>
    <row r="76" spans="2:7" x14ac:dyDescent="0.2">
      <c r="B76" s="34"/>
      <c r="C76" s="34"/>
      <c r="D76" s="34"/>
      <c r="E76" s="34"/>
      <c r="F76" s="34"/>
      <c r="G76" s="78"/>
    </row>
    <row r="77" spans="2:7" x14ac:dyDescent="0.2">
      <c r="B77" s="34"/>
      <c r="C77" s="34"/>
      <c r="D77" s="34"/>
      <c r="E77" s="34"/>
      <c r="F77" s="34"/>
      <c r="G77" s="78"/>
    </row>
  </sheetData>
  <sheetProtection password="DE72" sheet="1" objects="1" scenarios="1"/>
  <mergeCells count="32">
    <mergeCell ref="C4:F4"/>
    <mergeCell ref="E11:F11"/>
    <mergeCell ref="G11:H11"/>
    <mergeCell ref="I11:J11"/>
    <mergeCell ref="K11:L11"/>
    <mergeCell ref="M32:N32"/>
    <mergeCell ref="M11:N11"/>
    <mergeCell ref="B31:C31"/>
    <mergeCell ref="E31:F31"/>
    <mergeCell ref="G31:H31"/>
    <mergeCell ref="I31:J31"/>
    <mergeCell ref="K31:L31"/>
    <mergeCell ref="M31:N31"/>
    <mergeCell ref="D11:D12"/>
    <mergeCell ref="C11:C12"/>
    <mergeCell ref="B11:B12"/>
    <mergeCell ref="C35:O35"/>
    <mergeCell ref="B35:B37"/>
    <mergeCell ref="M36:O36"/>
    <mergeCell ref="P35:R36"/>
    <mergeCell ref="O11:O12"/>
    <mergeCell ref="P11:P12"/>
    <mergeCell ref="C36:D36"/>
    <mergeCell ref="E36:F36"/>
    <mergeCell ref="G36:H36"/>
    <mergeCell ref="I36:J36"/>
    <mergeCell ref="K36:L36"/>
    <mergeCell ref="B32:C32"/>
    <mergeCell ref="E32:F32"/>
    <mergeCell ref="G32:H32"/>
    <mergeCell ref="I32:J32"/>
    <mergeCell ref="K32:L3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48"/>
  <sheetViews>
    <sheetView workbookViewId="0">
      <selection activeCell="O20" sqref="O20"/>
    </sheetView>
  </sheetViews>
  <sheetFormatPr baseColWidth="10" defaultRowHeight="12.75" x14ac:dyDescent="0.2"/>
  <cols>
    <col min="1" max="1" width="3.7109375" style="91" customWidth="1"/>
    <col min="2" max="2" width="13.85546875" style="91" customWidth="1"/>
    <col min="3" max="5" width="12.7109375" style="91" customWidth="1"/>
    <col min="6" max="6" width="13.85546875" style="91" bestFit="1" customWidth="1"/>
    <col min="7" max="8" width="12.7109375" style="91" customWidth="1"/>
    <col min="9" max="14" width="11.42578125" style="91"/>
    <col min="15" max="15" width="12" style="91" bestFit="1" customWidth="1"/>
    <col min="16" max="16" width="12.7109375" style="91" bestFit="1" customWidth="1"/>
    <col min="17" max="17" width="12.7109375" style="91" customWidth="1"/>
    <col min="18" max="16384" width="11.42578125" style="91"/>
  </cols>
  <sheetData>
    <row r="2" spans="2:28" x14ac:dyDescent="0.2">
      <c r="B2" s="39" t="s">
        <v>158</v>
      </c>
    </row>
    <row r="3" spans="2:28" x14ac:dyDescent="0.2">
      <c r="B3" s="91" t="s">
        <v>5</v>
      </c>
    </row>
    <row r="4" spans="2:28" ht="13.5" thickBot="1" x14ac:dyDescent="0.25"/>
    <row r="5" spans="2:28" x14ac:dyDescent="0.2">
      <c r="B5" s="249" t="s">
        <v>85</v>
      </c>
      <c r="C5" s="249">
        <v>2014</v>
      </c>
      <c r="D5" s="249">
        <v>2015</v>
      </c>
      <c r="E5" s="222"/>
    </row>
    <row r="6" spans="2:28" x14ac:dyDescent="0.2">
      <c r="B6" s="131" t="s">
        <v>7</v>
      </c>
      <c r="C6" s="133">
        <v>6000</v>
      </c>
      <c r="D6" s="133">
        <v>1920</v>
      </c>
      <c r="E6" s="213"/>
    </row>
    <row r="7" spans="2:28" x14ac:dyDescent="0.2">
      <c r="B7" s="131" t="s">
        <v>8</v>
      </c>
      <c r="C7" s="133">
        <v>7280</v>
      </c>
      <c r="D7" s="133">
        <v>2800</v>
      </c>
      <c r="E7" s="213"/>
    </row>
    <row r="8" spans="2:28" x14ac:dyDescent="0.2">
      <c r="B8" s="131" t="s">
        <v>9</v>
      </c>
      <c r="C8" s="133">
        <v>7440</v>
      </c>
      <c r="D8" s="133">
        <v>3200</v>
      </c>
      <c r="E8" s="213"/>
    </row>
    <row r="9" spans="2:28" x14ac:dyDescent="0.2">
      <c r="B9" s="131" t="s">
        <v>10</v>
      </c>
      <c r="C9" s="133">
        <v>1040</v>
      </c>
      <c r="D9" s="133">
        <v>2800</v>
      </c>
      <c r="E9" s="213"/>
      <c r="S9" s="223"/>
      <c r="T9" s="223"/>
      <c r="U9" s="221"/>
      <c r="V9" s="221"/>
      <c r="W9" s="221"/>
      <c r="X9" s="221"/>
      <c r="Y9" s="221"/>
      <c r="Z9" s="221"/>
      <c r="AA9" s="221"/>
      <c r="AB9" s="221"/>
    </row>
    <row r="10" spans="2:28" x14ac:dyDescent="0.2">
      <c r="B10" s="131" t="s">
        <v>11</v>
      </c>
      <c r="C10" s="133">
        <v>4960</v>
      </c>
      <c r="D10" s="133">
        <v>2560</v>
      </c>
      <c r="E10" s="213"/>
      <c r="S10" s="223"/>
      <c r="T10" s="223"/>
      <c r="U10" s="219"/>
      <c r="V10" s="219"/>
      <c r="W10" s="219"/>
      <c r="X10" s="219"/>
      <c r="Y10" s="219"/>
      <c r="Z10" s="219"/>
      <c r="AA10" s="219"/>
      <c r="AB10" s="219"/>
    </row>
    <row r="11" spans="2:28" x14ac:dyDescent="0.2">
      <c r="B11" s="131" t="s">
        <v>12</v>
      </c>
      <c r="C11" s="133">
        <v>5040</v>
      </c>
      <c r="D11" s="133">
        <v>2800</v>
      </c>
      <c r="E11" s="213"/>
      <c r="S11" s="220"/>
      <c r="T11" s="220"/>
      <c r="U11" s="221"/>
      <c r="V11" s="219"/>
      <c r="W11" s="219"/>
      <c r="X11" s="219"/>
      <c r="Y11" s="221"/>
      <c r="Z11" s="221"/>
      <c r="AA11" s="219"/>
      <c r="AB11" s="219"/>
    </row>
    <row r="12" spans="2:28" ht="12.75" customHeight="1" x14ac:dyDescent="0.2">
      <c r="B12" s="131" t="s">
        <v>13</v>
      </c>
      <c r="C12" s="133">
        <v>3920</v>
      </c>
      <c r="D12" s="133">
        <v>2560</v>
      </c>
      <c r="E12" s="213"/>
      <c r="S12" s="223"/>
      <c r="T12" s="223"/>
      <c r="U12" s="221"/>
      <c r="V12" s="219"/>
      <c r="W12" s="219"/>
      <c r="X12" s="219"/>
      <c r="Y12" s="221"/>
      <c r="Z12" s="221"/>
      <c r="AA12" s="219"/>
      <c r="AB12" s="219"/>
    </row>
    <row r="13" spans="2:28" x14ac:dyDescent="0.2">
      <c r="B13" s="131" t="s">
        <v>14</v>
      </c>
      <c r="C13" s="133">
        <v>2640</v>
      </c>
      <c r="D13" s="133">
        <v>2960</v>
      </c>
      <c r="E13" s="213"/>
      <c r="S13" s="223"/>
      <c r="T13" s="223"/>
      <c r="U13" s="221"/>
      <c r="V13" s="219"/>
      <c r="W13" s="219"/>
      <c r="X13" s="219"/>
      <c r="Y13" s="221"/>
      <c r="Z13" s="221"/>
      <c r="AA13" s="219"/>
      <c r="AB13" s="219"/>
    </row>
    <row r="14" spans="2:28" x14ac:dyDescent="0.2">
      <c r="B14" s="131" t="s">
        <v>15</v>
      </c>
      <c r="C14" s="133">
        <v>3040</v>
      </c>
      <c r="D14" s="133">
        <v>2560</v>
      </c>
      <c r="E14" s="213"/>
      <c r="S14" s="223"/>
      <c r="T14" s="223"/>
      <c r="U14" s="221"/>
      <c r="V14" s="219"/>
      <c r="W14" s="219"/>
      <c r="X14" s="219"/>
      <c r="Y14" s="221"/>
      <c r="Z14" s="221"/>
      <c r="AA14" s="223"/>
      <c r="AB14" s="223"/>
    </row>
    <row r="15" spans="2:28" x14ac:dyDescent="0.2">
      <c r="B15" s="131" t="s">
        <v>16</v>
      </c>
      <c r="C15" s="133">
        <v>2640</v>
      </c>
      <c r="D15" s="133">
        <v>2560</v>
      </c>
      <c r="E15" s="213"/>
      <c r="S15" s="223"/>
      <c r="T15" s="223"/>
      <c r="U15" s="221"/>
      <c r="V15" s="219"/>
      <c r="W15" s="219"/>
      <c r="X15" s="219"/>
      <c r="Y15" s="221"/>
      <c r="Z15" s="221"/>
      <c r="AA15" s="223"/>
      <c r="AB15" s="223"/>
    </row>
    <row r="16" spans="2:28" x14ac:dyDescent="0.2">
      <c r="B16" s="131" t="s">
        <v>17</v>
      </c>
      <c r="C16" s="133">
        <v>3280</v>
      </c>
      <c r="D16" s="133">
        <v>3040</v>
      </c>
      <c r="E16" s="213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</row>
    <row r="17" spans="2:27" x14ac:dyDescent="0.2">
      <c r="B17" s="131" t="s">
        <v>18</v>
      </c>
      <c r="C17" s="133">
        <v>2400</v>
      </c>
      <c r="D17" s="133">
        <v>2720</v>
      </c>
      <c r="E17" s="213"/>
    </row>
    <row r="18" spans="2:27" ht="13.5" thickBot="1" x14ac:dyDescent="0.25">
      <c r="B18" s="132" t="s">
        <v>6</v>
      </c>
      <c r="C18" s="134">
        <f>SUM(C6:C17)</f>
        <v>49680</v>
      </c>
      <c r="D18" s="134">
        <f>SUM(D6:D17)</f>
        <v>32480</v>
      </c>
      <c r="E18" s="213"/>
    </row>
    <row r="19" spans="2:27" x14ac:dyDescent="0.2">
      <c r="C19" s="224"/>
      <c r="D19" s="224"/>
      <c r="E19" s="224"/>
    </row>
    <row r="20" spans="2:27" x14ac:dyDescent="0.2">
      <c r="C20" s="224"/>
      <c r="D20" s="224"/>
      <c r="E20" s="224"/>
    </row>
    <row r="21" spans="2:27" ht="13.5" thickBot="1" x14ac:dyDescent="0.25">
      <c r="B21" s="218">
        <v>2013</v>
      </c>
      <c r="C21" s="224"/>
      <c r="D21" s="224"/>
      <c r="E21" s="224"/>
      <c r="G21" s="218">
        <v>2014</v>
      </c>
      <c r="H21" s="224"/>
      <c r="I21" s="224"/>
    </row>
    <row r="22" spans="2:27" ht="39" thickBot="1" x14ac:dyDescent="0.25">
      <c r="B22" s="264" t="s">
        <v>115</v>
      </c>
      <c r="C22" s="263" t="s">
        <v>188</v>
      </c>
      <c r="D22" s="263" t="s">
        <v>189</v>
      </c>
      <c r="E22" s="263" t="s">
        <v>191</v>
      </c>
      <c r="G22" s="264" t="s">
        <v>115</v>
      </c>
      <c r="H22" s="263" t="s">
        <v>188</v>
      </c>
      <c r="I22" s="263" t="s">
        <v>189</v>
      </c>
      <c r="J22" s="263" t="s">
        <v>191</v>
      </c>
    </row>
    <row r="23" spans="2:27" ht="13.5" thickBot="1" x14ac:dyDescent="0.25">
      <c r="B23" s="246" t="s">
        <v>162</v>
      </c>
      <c r="C23" s="225">
        <f>+D47</f>
        <v>380</v>
      </c>
      <c r="D23" s="226">
        <f>+E47</f>
        <v>11202</v>
      </c>
      <c r="E23" s="226">
        <f>+F47</f>
        <v>2688.48</v>
      </c>
      <c r="G23" s="246" t="s">
        <v>162</v>
      </c>
      <c r="H23" s="226">
        <f>+G47</f>
        <v>216</v>
      </c>
      <c r="I23" s="226">
        <f>+H47</f>
        <v>3751</v>
      </c>
      <c r="J23" s="226">
        <f>+I47</f>
        <v>900.24</v>
      </c>
    </row>
    <row r="24" spans="2:27" ht="13.5" thickBot="1" x14ac:dyDescent="0.25">
      <c r="B24" s="246" t="s">
        <v>147</v>
      </c>
      <c r="C24" s="225">
        <f>+J47</f>
        <v>400</v>
      </c>
      <c r="D24" s="226">
        <f>+K47</f>
        <v>6800</v>
      </c>
      <c r="E24" s="226">
        <f>+L47</f>
        <v>1632</v>
      </c>
      <c r="G24" s="246" t="s">
        <v>147</v>
      </c>
      <c r="H24" s="226">
        <f>+M47</f>
        <v>214</v>
      </c>
      <c r="I24" s="226">
        <f>+N47</f>
        <v>4450</v>
      </c>
      <c r="J24" s="226">
        <f>+O47</f>
        <v>1068</v>
      </c>
    </row>
    <row r="25" spans="2:27" ht="26.25" thickBot="1" x14ac:dyDescent="0.25">
      <c r="B25" s="246" t="s">
        <v>148</v>
      </c>
      <c r="C25" s="225">
        <f>+P47</f>
        <v>101</v>
      </c>
      <c r="D25" s="226">
        <f>+Q47</f>
        <v>3422</v>
      </c>
      <c r="E25" s="226">
        <f>+R47</f>
        <v>821.28</v>
      </c>
      <c r="G25" s="246" t="s">
        <v>148</v>
      </c>
      <c r="H25" s="226">
        <f>+S47</f>
        <v>41</v>
      </c>
      <c r="I25" s="226">
        <f>+T47</f>
        <v>844</v>
      </c>
      <c r="J25" s="226">
        <f>+U47</f>
        <v>202.56</v>
      </c>
    </row>
    <row r="26" spans="2:27" ht="13.5" thickBot="1" x14ac:dyDescent="0.25">
      <c r="B26" s="247" t="s">
        <v>149</v>
      </c>
      <c r="C26" s="225">
        <f>SUM(C23:C25)</f>
        <v>881</v>
      </c>
      <c r="D26" s="226">
        <f t="shared" ref="D26:E26" si="0">SUM(D23:D25)</f>
        <v>21424</v>
      </c>
      <c r="E26" s="226">
        <f t="shared" si="0"/>
        <v>5141.7599999999993</v>
      </c>
      <c r="G26" s="247" t="s">
        <v>149</v>
      </c>
      <c r="H26" s="226">
        <f>SUM(H23:H25)</f>
        <v>471</v>
      </c>
      <c r="I26" s="226">
        <f>SUM(I23:I25)</f>
        <v>9045</v>
      </c>
      <c r="J26" s="226">
        <f>SUM(J23:J25)</f>
        <v>2170.8000000000002</v>
      </c>
    </row>
    <row r="27" spans="2:27" ht="13.5" thickBot="1" x14ac:dyDescent="0.25">
      <c r="C27" s="224"/>
      <c r="D27" s="224"/>
    </row>
    <row r="28" spans="2:27" ht="26.25" customHeight="1" thickBot="1" x14ac:dyDescent="0.25">
      <c r="B28" s="373" t="s">
        <v>100</v>
      </c>
      <c r="C28" s="373" t="s">
        <v>96</v>
      </c>
      <c r="D28" s="370" t="s">
        <v>161</v>
      </c>
      <c r="E28" s="371"/>
      <c r="F28" s="371"/>
      <c r="G28" s="371"/>
      <c r="H28" s="371"/>
      <c r="I28" s="372"/>
      <c r="J28" s="367" t="s">
        <v>163</v>
      </c>
      <c r="K28" s="368"/>
      <c r="L28" s="368"/>
      <c r="M28" s="368"/>
      <c r="N28" s="368"/>
      <c r="O28" s="369"/>
      <c r="P28" s="367" t="s">
        <v>164</v>
      </c>
      <c r="Q28" s="368"/>
      <c r="R28" s="368"/>
      <c r="S28" s="368"/>
      <c r="T28" s="368"/>
      <c r="U28" s="369"/>
      <c r="V28" s="367" t="s">
        <v>6</v>
      </c>
      <c r="W28" s="368"/>
      <c r="X28" s="368"/>
      <c r="Y28" s="368"/>
      <c r="Z28" s="368"/>
      <c r="AA28" s="369"/>
    </row>
    <row r="29" spans="2:27" ht="13.5" thickBot="1" x14ac:dyDescent="0.25">
      <c r="B29" s="374"/>
      <c r="C29" s="374"/>
      <c r="D29" s="370">
        <v>2013</v>
      </c>
      <c r="E29" s="371"/>
      <c r="F29" s="372"/>
      <c r="G29" s="370">
        <v>2014</v>
      </c>
      <c r="H29" s="371"/>
      <c r="I29" s="372"/>
      <c r="J29" s="370">
        <v>2013</v>
      </c>
      <c r="K29" s="371"/>
      <c r="L29" s="372"/>
      <c r="M29" s="370">
        <v>2014</v>
      </c>
      <c r="N29" s="371"/>
      <c r="O29" s="372"/>
      <c r="P29" s="370">
        <v>2013</v>
      </c>
      <c r="Q29" s="371"/>
      <c r="R29" s="372"/>
      <c r="S29" s="370">
        <v>2014</v>
      </c>
      <c r="T29" s="371"/>
      <c r="U29" s="372"/>
      <c r="V29" s="370">
        <v>2013</v>
      </c>
      <c r="W29" s="371"/>
      <c r="X29" s="372"/>
      <c r="Y29" s="370">
        <v>2014</v>
      </c>
      <c r="Z29" s="371"/>
      <c r="AA29" s="372"/>
    </row>
    <row r="30" spans="2:27" s="227" customFormat="1" ht="29.25" customHeight="1" thickBot="1" x14ac:dyDescent="0.25">
      <c r="B30" s="375"/>
      <c r="C30" s="375"/>
      <c r="D30" s="264" t="s">
        <v>64</v>
      </c>
      <c r="E30" s="264" t="s">
        <v>190</v>
      </c>
      <c r="F30" s="264" t="s">
        <v>150</v>
      </c>
      <c r="G30" s="264" t="s">
        <v>64</v>
      </c>
      <c r="H30" s="264" t="s">
        <v>190</v>
      </c>
      <c r="I30" s="264" t="s">
        <v>150</v>
      </c>
      <c r="J30" s="264" t="s">
        <v>64</v>
      </c>
      <c r="K30" s="264" t="s">
        <v>190</v>
      </c>
      <c r="L30" s="264" t="s">
        <v>150</v>
      </c>
      <c r="M30" s="264" t="s">
        <v>64</v>
      </c>
      <c r="N30" s="264" t="s">
        <v>190</v>
      </c>
      <c r="O30" s="264" t="s">
        <v>150</v>
      </c>
      <c r="P30" s="264" t="s">
        <v>64</v>
      </c>
      <c r="Q30" s="264" t="s">
        <v>190</v>
      </c>
      <c r="R30" s="264" t="s">
        <v>150</v>
      </c>
      <c r="S30" s="264" t="s">
        <v>64</v>
      </c>
      <c r="T30" s="264" t="s">
        <v>190</v>
      </c>
      <c r="U30" s="264" t="s">
        <v>150</v>
      </c>
      <c r="V30" s="271" t="s">
        <v>64</v>
      </c>
      <c r="W30" s="264" t="s">
        <v>190</v>
      </c>
      <c r="X30" s="271" t="s">
        <v>150</v>
      </c>
      <c r="Y30" s="264" t="s">
        <v>64</v>
      </c>
      <c r="Z30" s="264" t="s">
        <v>190</v>
      </c>
      <c r="AA30" s="264" t="s">
        <v>150</v>
      </c>
    </row>
    <row r="31" spans="2:27" ht="13.5" customHeight="1" x14ac:dyDescent="0.2">
      <c r="B31" s="230" t="s">
        <v>51</v>
      </c>
      <c r="C31" s="265">
        <v>20</v>
      </c>
      <c r="D31" s="230">
        <v>48</v>
      </c>
      <c r="E31" s="228">
        <f>+D31*C31</f>
        <v>960</v>
      </c>
      <c r="F31" s="229">
        <f>+E31*12*20/1000</f>
        <v>230.4</v>
      </c>
      <c r="G31" s="228">
        <v>0</v>
      </c>
      <c r="H31" s="228">
        <f>+G31*C31</f>
        <v>0</v>
      </c>
      <c r="I31" s="229">
        <f>+H31*12*0.02</f>
        <v>0</v>
      </c>
      <c r="J31" s="231">
        <v>0</v>
      </c>
      <c r="K31" s="231">
        <f>+J31*C31</f>
        <v>0</v>
      </c>
      <c r="L31" s="232">
        <f>+K31*20*12/1000</f>
        <v>0</v>
      </c>
      <c r="M31" s="233">
        <v>2</v>
      </c>
      <c r="N31" s="231">
        <f>+M31*C31</f>
        <v>40</v>
      </c>
      <c r="O31" s="229">
        <f>+N31*12*0.02</f>
        <v>9.6</v>
      </c>
      <c r="P31" s="233">
        <v>13</v>
      </c>
      <c r="Q31" s="231">
        <f>+P31*C31</f>
        <v>260</v>
      </c>
      <c r="R31" s="232">
        <f>+Q31*12*20/1000</f>
        <v>62.4</v>
      </c>
      <c r="S31" s="231">
        <v>0</v>
      </c>
      <c r="T31" s="231">
        <f>+S31*C31</f>
        <v>0</v>
      </c>
      <c r="U31" s="232">
        <f>+T31*12*20/1000</f>
        <v>0</v>
      </c>
      <c r="V31" s="210">
        <f>+D31+J31+P31</f>
        <v>61</v>
      </c>
      <c r="W31" s="210">
        <f>+E31+K31+Q31</f>
        <v>1220</v>
      </c>
      <c r="X31" s="228">
        <f>+F31+L31+R31</f>
        <v>292.8</v>
      </c>
      <c r="Y31" s="210">
        <f>+G31+M31+S31</f>
        <v>2</v>
      </c>
      <c r="Z31" s="210">
        <f t="shared" ref="Z31:AA46" si="1">+H31+N31+T31</f>
        <v>40</v>
      </c>
      <c r="AA31" s="210">
        <f t="shared" si="1"/>
        <v>9.6</v>
      </c>
    </row>
    <row r="32" spans="2:27" x14ac:dyDescent="0.2">
      <c r="B32" s="233" t="s">
        <v>53</v>
      </c>
      <c r="C32" s="266">
        <v>50</v>
      </c>
      <c r="D32" s="233">
        <v>2</v>
      </c>
      <c r="E32" s="231">
        <f t="shared" ref="E32:E46" si="2">+D32*C32</f>
        <v>100</v>
      </c>
      <c r="F32" s="234">
        <f t="shared" ref="F32:F46" si="3">+E32*12*20/1000</f>
        <v>24</v>
      </c>
      <c r="G32" s="231">
        <v>0</v>
      </c>
      <c r="H32" s="231">
        <f t="shared" ref="H32:H46" si="4">+G32*C32</f>
        <v>0</v>
      </c>
      <c r="I32" s="234">
        <f t="shared" ref="I32:I46" si="5">+H32*12*0.02</f>
        <v>0</v>
      </c>
      <c r="J32" s="231">
        <v>0</v>
      </c>
      <c r="K32" s="231">
        <f t="shared" ref="K32:K46" si="6">+J32*C32</f>
        <v>0</v>
      </c>
      <c r="L32" s="91">
        <f t="shared" ref="L32:L46" si="7">+K32*20*12/1000</f>
        <v>0</v>
      </c>
      <c r="M32" s="233">
        <v>0</v>
      </c>
      <c r="N32" s="231">
        <f t="shared" ref="N32:N46" si="8">+M32*C32</f>
        <v>0</v>
      </c>
      <c r="O32" s="234">
        <f t="shared" ref="O32:O46" si="9">+N32*12*0.02</f>
        <v>0</v>
      </c>
      <c r="P32" s="233">
        <v>0</v>
      </c>
      <c r="Q32" s="231">
        <f t="shared" ref="Q32:Q46" si="10">+P32*C32</f>
        <v>0</v>
      </c>
      <c r="R32" s="235">
        <f t="shared" ref="R32:R46" si="11">+Q32*12*20/1000</f>
        <v>0</v>
      </c>
      <c r="S32" s="231">
        <v>0</v>
      </c>
      <c r="T32" s="231">
        <f t="shared" ref="T32:T46" si="12">+S32*C32</f>
        <v>0</v>
      </c>
      <c r="U32" s="235">
        <f t="shared" ref="U32:U46" si="13">+T32*12*20/1000</f>
        <v>0</v>
      </c>
      <c r="V32" s="142">
        <f t="shared" ref="V32:V46" si="14">+D32+J32+P32</f>
        <v>2</v>
      </c>
      <c r="W32" s="142">
        <f t="shared" ref="W32:W46" si="15">+E32+K32+Q32</f>
        <v>100</v>
      </c>
      <c r="X32" s="235">
        <f t="shared" ref="X32:X46" si="16">+F32+L32+R32</f>
        <v>24</v>
      </c>
      <c r="Y32" s="142">
        <f t="shared" ref="Y32:Y46" si="17">+G32+M32+S32</f>
        <v>0</v>
      </c>
      <c r="Z32" s="142">
        <f t="shared" si="1"/>
        <v>0</v>
      </c>
      <c r="AA32" s="142">
        <f t="shared" si="1"/>
        <v>0</v>
      </c>
    </row>
    <row r="33" spans="2:27" x14ac:dyDescent="0.2">
      <c r="B33" s="233" t="s">
        <v>49</v>
      </c>
      <c r="C33" s="266">
        <v>17</v>
      </c>
      <c r="D33" s="233">
        <v>124</v>
      </c>
      <c r="E33" s="231">
        <f t="shared" si="2"/>
        <v>2108</v>
      </c>
      <c r="F33" s="234">
        <f t="shared" si="3"/>
        <v>505.92</v>
      </c>
      <c r="G33" s="231">
        <v>39</v>
      </c>
      <c r="H33" s="231">
        <f t="shared" si="4"/>
        <v>663</v>
      </c>
      <c r="I33" s="234">
        <f t="shared" si="5"/>
        <v>159.12</v>
      </c>
      <c r="J33" s="231">
        <v>400</v>
      </c>
      <c r="K33" s="231">
        <f t="shared" si="6"/>
        <v>6800</v>
      </c>
      <c r="L33" s="235">
        <f t="shared" si="7"/>
        <v>1632</v>
      </c>
      <c r="M33" s="233">
        <v>16</v>
      </c>
      <c r="N33" s="231">
        <f t="shared" si="8"/>
        <v>272</v>
      </c>
      <c r="O33" s="234">
        <f t="shared" si="9"/>
        <v>65.28</v>
      </c>
      <c r="P33" s="233">
        <v>36</v>
      </c>
      <c r="Q33" s="231">
        <f t="shared" si="10"/>
        <v>612</v>
      </c>
      <c r="R33" s="235">
        <f t="shared" si="11"/>
        <v>146.88</v>
      </c>
      <c r="S33" s="231">
        <v>0</v>
      </c>
      <c r="T33" s="231">
        <f t="shared" si="12"/>
        <v>0</v>
      </c>
      <c r="U33" s="235">
        <f t="shared" si="13"/>
        <v>0</v>
      </c>
      <c r="V33" s="142">
        <f t="shared" si="14"/>
        <v>560</v>
      </c>
      <c r="W33" s="142">
        <f t="shared" si="15"/>
        <v>9520</v>
      </c>
      <c r="X33" s="235">
        <f t="shared" si="16"/>
        <v>2284.8000000000002</v>
      </c>
      <c r="Y33" s="142">
        <f t="shared" si="17"/>
        <v>55</v>
      </c>
      <c r="Z33" s="142">
        <f t="shared" si="1"/>
        <v>935</v>
      </c>
      <c r="AA33" s="142">
        <f t="shared" si="1"/>
        <v>224.4</v>
      </c>
    </row>
    <row r="34" spans="2:27" x14ac:dyDescent="0.2">
      <c r="B34" s="233" t="s">
        <v>49</v>
      </c>
      <c r="C34" s="266">
        <v>32</v>
      </c>
      <c r="D34" s="233">
        <v>0</v>
      </c>
      <c r="E34" s="231">
        <f t="shared" si="2"/>
        <v>0</v>
      </c>
      <c r="F34" s="234">
        <f t="shared" si="3"/>
        <v>0</v>
      </c>
      <c r="G34" s="231">
        <v>2</v>
      </c>
      <c r="H34" s="231">
        <f t="shared" si="4"/>
        <v>64</v>
      </c>
      <c r="I34" s="234">
        <f t="shared" si="5"/>
        <v>15.36</v>
      </c>
      <c r="J34" s="231">
        <v>0</v>
      </c>
      <c r="K34" s="231">
        <f t="shared" si="6"/>
        <v>0</v>
      </c>
      <c r="L34" s="235">
        <f t="shared" si="7"/>
        <v>0</v>
      </c>
      <c r="M34" s="233">
        <v>2</v>
      </c>
      <c r="N34" s="231">
        <f t="shared" si="8"/>
        <v>64</v>
      </c>
      <c r="O34" s="234">
        <f t="shared" si="9"/>
        <v>15.36</v>
      </c>
      <c r="P34" s="233">
        <v>18</v>
      </c>
      <c r="Q34" s="231">
        <f t="shared" si="10"/>
        <v>576</v>
      </c>
      <c r="R34" s="235">
        <f t="shared" si="11"/>
        <v>138.24</v>
      </c>
      <c r="S34" s="236">
        <v>2</v>
      </c>
      <c r="T34" s="236">
        <f t="shared" si="12"/>
        <v>64</v>
      </c>
      <c r="U34" s="235">
        <f t="shared" si="13"/>
        <v>15.36</v>
      </c>
      <c r="V34" s="142">
        <f t="shared" si="14"/>
        <v>18</v>
      </c>
      <c r="W34" s="142">
        <f t="shared" si="15"/>
        <v>576</v>
      </c>
      <c r="X34" s="235">
        <f t="shared" si="16"/>
        <v>138.24</v>
      </c>
      <c r="Y34" s="142">
        <f t="shared" si="17"/>
        <v>6</v>
      </c>
      <c r="Z34" s="142">
        <f t="shared" si="1"/>
        <v>192</v>
      </c>
      <c r="AA34" s="142">
        <f t="shared" si="1"/>
        <v>46.08</v>
      </c>
    </row>
    <row r="35" spans="2:27" x14ac:dyDescent="0.2">
      <c r="B35" s="233" t="s">
        <v>86</v>
      </c>
      <c r="C35" s="266">
        <v>39</v>
      </c>
      <c r="D35" s="233">
        <v>206</v>
      </c>
      <c r="E35" s="231">
        <f t="shared" si="2"/>
        <v>8034</v>
      </c>
      <c r="F35" s="234">
        <f t="shared" si="3"/>
        <v>1928.16</v>
      </c>
      <c r="G35" s="231">
        <v>2</v>
      </c>
      <c r="H35" s="231">
        <f t="shared" si="4"/>
        <v>78</v>
      </c>
      <c r="I35" s="234">
        <f t="shared" si="5"/>
        <v>18.72</v>
      </c>
      <c r="J35" s="231">
        <v>0</v>
      </c>
      <c r="K35" s="231">
        <f t="shared" si="6"/>
        <v>0</v>
      </c>
      <c r="L35" s="235">
        <f t="shared" si="7"/>
        <v>0</v>
      </c>
      <c r="M35" s="233">
        <v>0</v>
      </c>
      <c r="N35" s="231">
        <f t="shared" si="8"/>
        <v>0</v>
      </c>
      <c r="O35" s="234">
        <f t="shared" si="9"/>
        <v>0</v>
      </c>
      <c r="P35" s="233">
        <v>16</v>
      </c>
      <c r="Q35" s="231">
        <f t="shared" si="10"/>
        <v>624</v>
      </c>
      <c r="R35" s="235">
        <f t="shared" si="11"/>
        <v>149.76</v>
      </c>
      <c r="S35" s="236">
        <v>0</v>
      </c>
      <c r="T35" s="236">
        <f t="shared" si="12"/>
        <v>0</v>
      </c>
      <c r="U35" s="235">
        <f t="shared" si="13"/>
        <v>0</v>
      </c>
      <c r="V35" s="142">
        <f t="shared" si="14"/>
        <v>222</v>
      </c>
      <c r="W35" s="142">
        <f t="shared" si="15"/>
        <v>8658</v>
      </c>
      <c r="X35" s="235">
        <f t="shared" si="16"/>
        <v>2077.92</v>
      </c>
      <c r="Y35" s="142">
        <f t="shared" si="17"/>
        <v>2</v>
      </c>
      <c r="Z35" s="142">
        <f t="shared" si="1"/>
        <v>78</v>
      </c>
      <c r="AA35" s="142">
        <f t="shared" si="1"/>
        <v>18.72</v>
      </c>
    </row>
    <row r="36" spans="2:27" x14ac:dyDescent="0.2">
      <c r="B36" s="233" t="s">
        <v>86</v>
      </c>
      <c r="C36" s="266">
        <v>75</v>
      </c>
      <c r="D36" s="233">
        <v>0</v>
      </c>
      <c r="E36" s="231">
        <f t="shared" si="2"/>
        <v>0</v>
      </c>
      <c r="F36" s="234">
        <f t="shared" si="3"/>
        <v>0</v>
      </c>
      <c r="G36" s="231">
        <v>0</v>
      </c>
      <c r="H36" s="231">
        <f t="shared" si="4"/>
        <v>0</v>
      </c>
      <c r="I36" s="234">
        <f t="shared" si="5"/>
        <v>0</v>
      </c>
      <c r="J36" s="231">
        <v>0</v>
      </c>
      <c r="K36" s="231">
        <f t="shared" si="6"/>
        <v>0</v>
      </c>
      <c r="L36" s="235">
        <f t="shared" si="7"/>
        <v>0</v>
      </c>
      <c r="M36" s="233">
        <v>0</v>
      </c>
      <c r="N36" s="231">
        <f t="shared" si="8"/>
        <v>0</v>
      </c>
      <c r="O36" s="234">
        <f t="shared" si="9"/>
        <v>0</v>
      </c>
      <c r="P36" s="233">
        <v>18</v>
      </c>
      <c r="Q36" s="231">
        <f t="shared" si="10"/>
        <v>1350</v>
      </c>
      <c r="R36" s="235">
        <f t="shared" si="11"/>
        <v>324</v>
      </c>
      <c r="S36" s="236">
        <v>0</v>
      </c>
      <c r="T36" s="236">
        <f t="shared" si="12"/>
        <v>0</v>
      </c>
      <c r="U36" s="235">
        <f t="shared" si="13"/>
        <v>0</v>
      </c>
      <c r="V36" s="142">
        <f t="shared" si="14"/>
        <v>18</v>
      </c>
      <c r="W36" s="142">
        <f t="shared" si="15"/>
        <v>1350</v>
      </c>
      <c r="X36" s="235">
        <f t="shared" si="16"/>
        <v>324</v>
      </c>
      <c r="Y36" s="142">
        <f t="shared" si="17"/>
        <v>0</v>
      </c>
      <c r="Z36" s="142">
        <f t="shared" si="1"/>
        <v>0</v>
      </c>
      <c r="AA36" s="142">
        <f t="shared" si="1"/>
        <v>0</v>
      </c>
    </row>
    <row r="37" spans="2:27" x14ac:dyDescent="0.2">
      <c r="B37" s="233" t="s">
        <v>94</v>
      </c>
      <c r="C37" s="266">
        <v>60</v>
      </c>
      <c r="D37" s="233">
        <v>0</v>
      </c>
      <c r="E37" s="231">
        <f t="shared" si="2"/>
        <v>0</v>
      </c>
      <c r="F37" s="234">
        <f t="shared" si="3"/>
        <v>0</v>
      </c>
      <c r="G37" s="231">
        <v>0</v>
      </c>
      <c r="H37" s="231">
        <f t="shared" si="4"/>
        <v>0</v>
      </c>
      <c r="I37" s="234">
        <f t="shared" si="5"/>
        <v>0</v>
      </c>
      <c r="J37" s="231">
        <v>0</v>
      </c>
      <c r="K37" s="231">
        <f t="shared" si="6"/>
        <v>0</v>
      </c>
      <c r="L37" s="235">
        <f t="shared" si="7"/>
        <v>0</v>
      </c>
      <c r="M37" s="237">
        <v>0</v>
      </c>
      <c r="N37" s="236">
        <f t="shared" si="8"/>
        <v>0</v>
      </c>
      <c r="O37" s="234">
        <f t="shared" si="9"/>
        <v>0</v>
      </c>
      <c r="P37" s="233">
        <v>0</v>
      </c>
      <c r="Q37" s="231">
        <f t="shared" si="10"/>
        <v>0</v>
      </c>
      <c r="R37" s="235">
        <f t="shared" si="11"/>
        <v>0</v>
      </c>
      <c r="S37" s="236">
        <v>0</v>
      </c>
      <c r="T37" s="236">
        <f t="shared" si="12"/>
        <v>0</v>
      </c>
      <c r="U37" s="235">
        <f t="shared" si="13"/>
        <v>0</v>
      </c>
      <c r="V37" s="142">
        <f t="shared" si="14"/>
        <v>0</v>
      </c>
      <c r="W37" s="142">
        <f t="shared" si="15"/>
        <v>0</v>
      </c>
      <c r="X37" s="235">
        <f t="shared" si="16"/>
        <v>0</v>
      </c>
      <c r="Y37" s="142">
        <f t="shared" si="17"/>
        <v>0</v>
      </c>
      <c r="Z37" s="142">
        <f t="shared" si="1"/>
        <v>0</v>
      </c>
      <c r="AA37" s="142">
        <f t="shared" si="1"/>
        <v>0</v>
      </c>
    </row>
    <row r="38" spans="2:27" x14ac:dyDescent="0.2">
      <c r="B38" s="233" t="s">
        <v>105</v>
      </c>
      <c r="C38" s="266">
        <v>150</v>
      </c>
      <c r="D38" s="233">
        <v>0</v>
      </c>
      <c r="E38" s="231">
        <f t="shared" si="2"/>
        <v>0</v>
      </c>
      <c r="F38" s="234">
        <f t="shared" si="3"/>
        <v>0</v>
      </c>
      <c r="G38" s="231">
        <v>0</v>
      </c>
      <c r="H38" s="231">
        <f t="shared" si="4"/>
        <v>0</v>
      </c>
      <c r="I38" s="234">
        <f t="shared" si="5"/>
        <v>0</v>
      </c>
      <c r="J38" s="231">
        <v>0</v>
      </c>
      <c r="K38" s="231">
        <f t="shared" si="6"/>
        <v>0</v>
      </c>
      <c r="L38" s="235">
        <f t="shared" si="7"/>
        <v>0</v>
      </c>
      <c r="M38" s="237">
        <v>0</v>
      </c>
      <c r="N38" s="236">
        <f t="shared" si="8"/>
        <v>0</v>
      </c>
      <c r="O38" s="234">
        <f t="shared" si="9"/>
        <v>0</v>
      </c>
      <c r="P38" s="233">
        <v>0</v>
      </c>
      <c r="Q38" s="231">
        <f t="shared" si="10"/>
        <v>0</v>
      </c>
      <c r="R38" s="235">
        <f t="shared" si="11"/>
        <v>0</v>
      </c>
      <c r="S38" s="236">
        <v>0</v>
      </c>
      <c r="T38" s="236">
        <f t="shared" si="12"/>
        <v>0</v>
      </c>
      <c r="U38" s="235">
        <f t="shared" si="13"/>
        <v>0</v>
      </c>
      <c r="V38" s="142">
        <f t="shared" si="14"/>
        <v>0</v>
      </c>
      <c r="W38" s="142">
        <f t="shared" si="15"/>
        <v>0</v>
      </c>
      <c r="X38" s="235">
        <f t="shared" si="16"/>
        <v>0</v>
      </c>
      <c r="Y38" s="142">
        <f t="shared" si="17"/>
        <v>0</v>
      </c>
      <c r="Z38" s="142">
        <f t="shared" si="1"/>
        <v>0</v>
      </c>
      <c r="AA38" s="142">
        <f t="shared" si="1"/>
        <v>0</v>
      </c>
    </row>
    <row r="39" spans="2:27" x14ac:dyDescent="0.2">
      <c r="B39" s="233" t="s">
        <v>94</v>
      </c>
      <c r="C39" s="266">
        <v>100</v>
      </c>
      <c r="D39" s="233">
        <v>0</v>
      </c>
      <c r="E39" s="231">
        <f t="shared" si="2"/>
        <v>0</v>
      </c>
      <c r="F39" s="234">
        <f t="shared" si="3"/>
        <v>0</v>
      </c>
      <c r="G39" s="231">
        <v>0</v>
      </c>
      <c r="H39" s="231">
        <f t="shared" si="4"/>
        <v>0</v>
      </c>
      <c r="I39" s="234">
        <f t="shared" si="5"/>
        <v>0</v>
      </c>
      <c r="J39" s="231">
        <v>0</v>
      </c>
      <c r="K39" s="231">
        <f t="shared" si="6"/>
        <v>0</v>
      </c>
      <c r="L39" s="235">
        <f t="shared" si="7"/>
        <v>0</v>
      </c>
      <c r="M39" s="237">
        <v>0</v>
      </c>
      <c r="N39" s="236">
        <f t="shared" si="8"/>
        <v>0</v>
      </c>
      <c r="O39" s="234">
        <f t="shared" si="9"/>
        <v>0</v>
      </c>
      <c r="P39" s="233">
        <v>0</v>
      </c>
      <c r="Q39" s="231">
        <f t="shared" si="10"/>
        <v>0</v>
      </c>
      <c r="R39" s="235">
        <f t="shared" si="11"/>
        <v>0</v>
      </c>
      <c r="S39" s="236">
        <v>0</v>
      </c>
      <c r="T39" s="236">
        <f t="shared" si="12"/>
        <v>0</v>
      </c>
      <c r="U39" s="235">
        <f t="shared" si="13"/>
        <v>0</v>
      </c>
      <c r="V39" s="142">
        <f t="shared" si="14"/>
        <v>0</v>
      </c>
      <c r="W39" s="142">
        <f t="shared" si="15"/>
        <v>0</v>
      </c>
      <c r="X39" s="235">
        <f t="shared" si="16"/>
        <v>0</v>
      </c>
      <c r="Y39" s="142">
        <f t="shared" si="17"/>
        <v>0</v>
      </c>
      <c r="Z39" s="142">
        <f t="shared" si="1"/>
        <v>0</v>
      </c>
      <c r="AA39" s="142">
        <f t="shared" si="1"/>
        <v>0</v>
      </c>
    </row>
    <row r="40" spans="2:27" x14ac:dyDescent="0.2">
      <c r="B40" s="233" t="s">
        <v>154</v>
      </c>
      <c r="C40" s="266">
        <v>50</v>
      </c>
      <c r="D40" s="233">
        <v>0</v>
      </c>
      <c r="E40" s="231">
        <f t="shared" si="2"/>
        <v>0</v>
      </c>
      <c r="F40" s="234">
        <f t="shared" si="3"/>
        <v>0</v>
      </c>
      <c r="G40" s="231">
        <v>0</v>
      </c>
      <c r="H40" s="231">
        <f t="shared" si="4"/>
        <v>0</v>
      </c>
      <c r="I40" s="234">
        <f t="shared" si="5"/>
        <v>0</v>
      </c>
      <c r="J40" s="236">
        <v>0</v>
      </c>
      <c r="K40" s="236">
        <f t="shared" si="6"/>
        <v>0</v>
      </c>
      <c r="L40" s="235">
        <f t="shared" si="7"/>
        <v>0</v>
      </c>
      <c r="M40" s="237">
        <v>0</v>
      </c>
      <c r="N40" s="236">
        <f t="shared" si="8"/>
        <v>0</v>
      </c>
      <c r="O40" s="234">
        <f t="shared" si="9"/>
        <v>0</v>
      </c>
      <c r="P40" s="233">
        <v>0</v>
      </c>
      <c r="Q40" s="231">
        <f t="shared" si="10"/>
        <v>0</v>
      </c>
      <c r="R40" s="235">
        <f t="shared" si="11"/>
        <v>0</v>
      </c>
      <c r="S40" s="236">
        <v>0</v>
      </c>
      <c r="T40" s="236">
        <f t="shared" si="12"/>
        <v>0</v>
      </c>
      <c r="U40" s="235">
        <f t="shared" si="13"/>
        <v>0</v>
      </c>
      <c r="V40" s="142">
        <f t="shared" si="14"/>
        <v>0</v>
      </c>
      <c r="W40" s="142">
        <f t="shared" si="15"/>
        <v>0</v>
      </c>
      <c r="X40" s="235">
        <f t="shared" si="16"/>
        <v>0</v>
      </c>
      <c r="Y40" s="142">
        <f t="shared" si="17"/>
        <v>0</v>
      </c>
      <c r="Z40" s="142">
        <f t="shared" si="1"/>
        <v>0</v>
      </c>
      <c r="AA40" s="142">
        <f t="shared" si="1"/>
        <v>0</v>
      </c>
    </row>
    <row r="41" spans="2:27" x14ac:dyDescent="0.2">
      <c r="B41" s="233" t="s">
        <v>151</v>
      </c>
      <c r="C41" s="266">
        <v>20</v>
      </c>
      <c r="D41" s="233">
        <v>0</v>
      </c>
      <c r="E41" s="231">
        <f t="shared" si="2"/>
        <v>0</v>
      </c>
      <c r="F41" s="234">
        <f t="shared" si="3"/>
        <v>0</v>
      </c>
      <c r="G41" s="231">
        <v>100</v>
      </c>
      <c r="H41" s="231">
        <f t="shared" si="4"/>
        <v>2000</v>
      </c>
      <c r="I41" s="234">
        <f t="shared" si="5"/>
        <v>480</v>
      </c>
      <c r="J41" s="236">
        <v>0</v>
      </c>
      <c r="K41" s="236">
        <f t="shared" si="6"/>
        <v>0</v>
      </c>
      <c r="L41" s="235">
        <f t="shared" si="7"/>
        <v>0</v>
      </c>
      <c r="M41" s="231">
        <v>97</v>
      </c>
      <c r="N41" s="231">
        <f t="shared" si="8"/>
        <v>1940</v>
      </c>
      <c r="O41" s="234">
        <f t="shared" si="9"/>
        <v>465.6</v>
      </c>
      <c r="P41" s="233">
        <v>0</v>
      </c>
      <c r="Q41" s="231">
        <f t="shared" si="10"/>
        <v>0</v>
      </c>
      <c r="R41" s="235">
        <f t="shared" si="11"/>
        <v>0</v>
      </c>
      <c r="S41" s="231">
        <v>39</v>
      </c>
      <c r="T41" s="231">
        <f t="shared" si="12"/>
        <v>780</v>
      </c>
      <c r="U41" s="235">
        <f t="shared" si="13"/>
        <v>187.2</v>
      </c>
      <c r="V41" s="142">
        <f t="shared" si="14"/>
        <v>0</v>
      </c>
      <c r="W41" s="142">
        <f t="shared" si="15"/>
        <v>0</v>
      </c>
      <c r="X41" s="235">
        <f t="shared" si="16"/>
        <v>0</v>
      </c>
      <c r="Y41" s="142">
        <f t="shared" si="17"/>
        <v>236</v>
      </c>
      <c r="Z41" s="142">
        <f t="shared" si="1"/>
        <v>4720</v>
      </c>
      <c r="AA41" s="142">
        <f t="shared" si="1"/>
        <v>1132.8</v>
      </c>
    </row>
    <row r="42" spans="2:27" x14ac:dyDescent="0.2">
      <c r="B42" s="233" t="s">
        <v>156</v>
      </c>
      <c r="C42" s="266">
        <v>9</v>
      </c>
      <c r="D42" s="233">
        <v>0</v>
      </c>
      <c r="E42" s="231">
        <f t="shared" si="2"/>
        <v>0</v>
      </c>
      <c r="F42" s="234">
        <f t="shared" si="3"/>
        <v>0</v>
      </c>
      <c r="G42" s="231">
        <v>0</v>
      </c>
      <c r="H42" s="231">
        <f t="shared" si="4"/>
        <v>0</v>
      </c>
      <c r="I42" s="234">
        <f t="shared" si="5"/>
        <v>0</v>
      </c>
      <c r="J42" s="233">
        <v>0</v>
      </c>
      <c r="K42" s="231">
        <f t="shared" si="6"/>
        <v>0</v>
      </c>
      <c r="L42" s="235">
        <f t="shared" si="7"/>
        <v>0</v>
      </c>
      <c r="M42" s="233">
        <v>0</v>
      </c>
      <c r="N42" s="231">
        <f t="shared" si="8"/>
        <v>0</v>
      </c>
      <c r="O42" s="234">
        <f t="shared" si="9"/>
        <v>0</v>
      </c>
      <c r="P42" s="233">
        <v>0</v>
      </c>
      <c r="Q42" s="231">
        <f t="shared" si="10"/>
        <v>0</v>
      </c>
      <c r="R42" s="235">
        <f t="shared" si="11"/>
        <v>0</v>
      </c>
      <c r="S42" s="233">
        <v>0</v>
      </c>
      <c r="T42" s="231">
        <f t="shared" si="12"/>
        <v>0</v>
      </c>
      <c r="U42" s="235">
        <f t="shared" si="13"/>
        <v>0</v>
      </c>
      <c r="V42" s="142">
        <f t="shared" si="14"/>
        <v>0</v>
      </c>
      <c r="W42" s="142">
        <f t="shared" si="15"/>
        <v>0</v>
      </c>
      <c r="X42" s="235">
        <f t="shared" si="16"/>
        <v>0</v>
      </c>
      <c r="Y42" s="142">
        <f t="shared" si="17"/>
        <v>0</v>
      </c>
      <c r="Z42" s="142">
        <f t="shared" si="1"/>
        <v>0</v>
      </c>
      <c r="AA42" s="142">
        <f t="shared" si="1"/>
        <v>0</v>
      </c>
    </row>
    <row r="43" spans="2:27" x14ac:dyDescent="0.2">
      <c r="B43" s="233" t="s">
        <v>155</v>
      </c>
      <c r="C43" s="266">
        <v>22</v>
      </c>
      <c r="D43" s="233">
        <v>0</v>
      </c>
      <c r="E43" s="231">
        <f t="shared" si="2"/>
        <v>0</v>
      </c>
      <c r="F43" s="234">
        <f t="shared" si="3"/>
        <v>0</v>
      </c>
      <c r="G43" s="231">
        <v>22</v>
      </c>
      <c r="H43" s="231">
        <f t="shared" si="4"/>
        <v>484</v>
      </c>
      <c r="I43" s="234">
        <f t="shared" si="5"/>
        <v>116.16</v>
      </c>
      <c r="J43" s="233">
        <v>0</v>
      </c>
      <c r="K43" s="231">
        <f t="shared" si="6"/>
        <v>0</v>
      </c>
      <c r="L43" s="235">
        <f t="shared" si="7"/>
        <v>0</v>
      </c>
      <c r="M43" s="233">
        <v>97</v>
      </c>
      <c r="N43" s="231">
        <f t="shared" si="8"/>
        <v>2134</v>
      </c>
      <c r="O43" s="234">
        <f t="shared" si="9"/>
        <v>512.16</v>
      </c>
      <c r="P43" s="233">
        <v>0</v>
      </c>
      <c r="Q43" s="231">
        <f t="shared" si="10"/>
        <v>0</v>
      </c>
      <c r="R43" s="235">
        <f t="shared" si="11"/>
        <v>0</v>
      </c>
      <c r="S43" s="233">
        <v>0</v>
      </c>
      <c r="T43" s="231">
        <f t="shared" si="12"/>
        <v>0</v>
      </c>
      <c r="U43" s="235">
        <f t="shared" si="13"/>
        <v>0</v>
      </c>
      <c r="V43" s="142">
        <f t="shared" si="14"/>
        <v>0</v>
      </c>
      <c r="W43" s="142">
        <f t="shared" si="15"/>
        <v>0</v>
      </c>
      <c r="X43" s="235">
        <f t="shared" si="16"/>
        <v>0</v>
      </c>
      <c r="Y43" s="142">
        <f t="shared" si="17"/>
        <v>119</v>
      </c>
      <c r="Z43" s="142">
        <f t="shared" si="1"/>
        <v>2618</v>
      </c>
      <c r="AA43" s="142">
        <f t="shared" si="1"/>
        <v>628.31999999999994</v>
      </c>
    </row>
    <row r="44" spans="2:27" x14ac:dyDescent="0.2">
      <c r="B44" s="233" t="s">
        <v>152</v>
      </c>
      <c r="C44" s="266">
        <v>7</v>
      </c>
      <c r="D44" s="233">
        <v>0</v>
      </c>
      <c r="E44" s="231">
        <f t="shared" si="2"/>
        <v>0</v>
      </c>
      <c r="F44" s="234">
        <f t="shared" si="3"/>
        <v>0</v>
      </c>
      <c r="G44" s="231">
        <v>30</v>
      </c>
      <c r="H44" s="231">
        <f t="shared" si="4"/>
        <v>210</v>
      </c>
      <c r="I44" s="234">
        <f t="shared" si="5"/>
        <v>50.4</v>
      </c>
      <c r="J44" s="233">
        <v>0</v>
      </c>
      <c r="K44" s="231">
        <f t="shared" si="6"/>
        <v>0</v>
      </c>
      <c r="L44" s="235">
        <f t="shared" si="7"/>
        <v>0</v>
      </c>
      <c r="M44" s="233">
        <v>0</v>
      </c>
      <c r="N44" s="231">
        <f t="shared" si="8"/>
        <v>0</v>
      </c>
      <c r="O44" s="234">
        <f t="shared" si="9"/>
        <v>0</v>
      </c>
      <c r="P44" s="233">
        <v>0</v>
      </c>
      <c r="Q44" s="231">
        <f t="shared" si="10"/>
        <v>0</v>
      </c>
      <c r="R44" s="235">
        <f t="shared" si="11"/>
        <v>0</v>
      </c>
      <c r="S44" s="233">
        <v>0</v>
      </c>
      <c r="T44" s="231">
        <f t="shared" si="12"/>
        <v>0</v>
      </c>
      <c r="U44" s="235">
        <f t="shared" si="13"/>
        <v>0</v>
      </c>
      <c r="V44" s="142">
        <f t="shared" si="14"/>
        <v>0</v>
      </c>
      <c r="W44" s="142">
        <f t="shared" si="15"/>
        <v>0</v>
      </c>
      <c r="X44" s="235">
        <f t="shared" si="16"/>
        <v>0</v>
      </c>
      <c r="Y44" s="142">
        <f t="shared" si="17"/>
        <v>30</v>
      </c>
      <c r="Z44" s="142">
        <f t="shared" si="1"/>
        <v>210</v>
      </c>
      <c r="AA44" s="142">
        <f t="shared" si="1"/>
        <v>50.4</v>
      </c>
    </row>
    <row r="45" spans="2:27" x14ac:dyDescent="0.2">
      <c r="B45" s="233" t="s">
        <v>152</v>
      </c>
      <c r="C45" s="266">
        <v>12</v>
      </c>
      <c r="D45" s="233">
        <v>0</v>
      </c>
      <c r="E45" s="231">
        <f t="shared" si="2"/>
        <v>0</v>
      </c>
      <c r="F45" s="234">
        <f t="shared" si="3"/>
        <v>0</v>
      </c>
      <c r="G45" s="231">
        <v>21</v>
      </c>
      <c r="H45" s="231">
        <f t="shared" si="4"/>
        <v>252</v>
      </c>
      <c r="I45" s="234">
        <f t="shared" si="5"/>
        <v>60.480000000000004</v>
      </c>
      <c r="J45" s="233">
        <v>0</v>
      </c>
      <c r="K45" s="231">
        <f t="shared" si="6"/>
        <v>0</v>
      </c>
      <c r="L45" s="235">
        <f t="shared" si="7"/>
        <v>0</v>
      </c>
      <c r="M45" s="233">
        <v>0</v>
      </c>
      <c r="N45" s="231">
        <f t="shared" si="8"/>
        <v>0</v>
      </c>
      <c r="O45" s="234">
        <f t="shared" si="9"/>
        <v>0</v>
      </c>
      <c r="P45" s="233">
        <v>0</v>
      </c>
      <c r="Q45" s="231">
        <f t="shared" si="10"/>
        <v>0</v>
      </c>
      <c r="R45" s="235">
        <f t="shared" si="11"/>
        <v>0</v>
      </c>
      <c r="S45" s="233">
        <v>0</v>
      </c>
      <c r="T45" s="231">
        <f t="shared" si="12"/>
        <v>0</v>
      </c>
      <c r="U45" s="235">
        <f t="shared" si="13"/>
        <v>0</v>
      </c>
      <c r="V45" s="142">
        <f t="shared" si="14"/>
        <v>0</v>
      </c>
      <c r="W45" s="142">
        <f t="shared" si="15"/>
        <v>0</v>
      </c>
      <c r="X45" s="235">
        <f t="shared" si="16"/>
        <v>0</v>
      </c>
      <c r="Y45" s="142">
        <f t="shared" si="17"/>
        <v>21</v>
      </c>
      <c r="Z45" s="142">
        <f t="shared" si="1"/>
        <v>252</v>
      </c>
      <c r="AA45" s="142">
        <f t="shared" si="1"/>
        <v>60.480000000000004</v>
      </c>
    </row>
    <row r="46" spans="2:27" ht="13.5" thickBot="1" x14ac:dyDescent="0.25">
      <c r="B46" s="240" t="s">
        <v>153</v>
      </c>
      <c r="C46" s="267">
        <v>43</v>
      </c>
      <c r="D46" s="240">
        <v>0</v>
      </c>
      <c r="E46" s="238">
        <f t="shared" si="2"/>
        <v>0</v>
      </c>
      <c r="F46" s="239">
        <f t="shared" si="3"/>
        <v>0</v>
      </c>
      <c r="G46" s="231">
        <v>0</v>
      </c>
      <c r="H46" s="231">
        <f t="shared" si="4"/>
        <v>0</v>
      </c>
      <c r="I46" s="234">
        <f t="shared" si="5"/>
        <v>0</v>
      </c>
      <c r="J46" s="240">
        <v>0</v>
      </c>
      <c r="K46" s="238">
        <f t="shared" si="6"/>
        <v>0</v>
      </c>
      <c r="L46" s="241">
        <f t="shared" si="7"/>
        <v>0</v>
      </c>
      <c r="M46" s="240">
        <v>0</v>
      </c>
      <c r="N46" s="238">
        <f t="shared" si="8"/>
        <v>0</v>
      </c>
      <c r="O46" s="239">
        <f t="shared" si="9"/>
        <v>0</v>
      </c>
      <c r="P46" s="240">
        <v>0</v>
      </c>
      <c r="Q46" s="238">
        <f t="shared" si="10"/>
        <v>0</v>
      </c>
      <c r="R46" s="241">
        <f t="shared" si="11"/>
        <v>0</v>
      </c>
      <c r="S46" s="240">
        <v>0</v>
      </c>
      <c r="T46" s="238">
        <f t="shared" si="12"/>
        <v>0</v>
      </c>
      <c r="U46" s="241">
        <f t="shared" si="13"/>
        <v>0</v>
      </c>
      <c r="V46" s="307">
        <f t="shared" si="14"/>
        <v>0</v>
      </c>
      <c r="W46" s="307">
        <f t="shared" si="15"/>
        <v>0</v>
      </c>
      <c r="X46" s="241">
        <f t="shared" si="16"/>
        <v>0</v>
      </c>
      <c r="Y46" s="307">
        <f t="shared" si="17"/>
        <v>0</v>
      </c>
      <c r="Z46" s="307">
        <f t="shared" si="1"/>
        <v>0</v>
      </c>
      <c r="AA46" s="307">
        <f t="shared" si="1"/>
        <v>0</v>
      </c>
    </row>
    <row r="47" spans="2:27" ht="13.5" thickBot="1" x14ac:dyDescent="0.25">
      <c r="B47" s="181"/>
      <c r="C47" s="248" t="s">
        <v>6</v>
      </c>
      <c r="D47" s="242">
        <f t="shared" ref="D47:U47" si="18">SUBTOTAL(9,D31:D46)</f>
        <v>380</v>
      </c>
      <c r="E47" s="245">
        <f>SUM(E31:E46)</f>
        <v>11202</v>
      </c>
      <c r="F47" s="243">
        <f t="shared" si="18"/>
        <v>2688.48</v>
      </c>
      <c r="G47" s="242">
        <f t="shared" si="18"/>
        <v>216</v>
      </c>
      <c r="H47" s="245">
        <f t="shared" si="18"/>
        <v>3751</v>
      </c>
      <c r="I47" s="244">
        <f t="shared" si="18"/>
        <v>900.24</v>
      </c>
      <c r="J47" s="245">
        <f t="shared" si="18"/>
        <v>400</v>
      </c>
      <c r="K47" s="245">
        <f>SUM(K31:K46)</f>
        <v>6800</v>
      </c>
      <c r="L47" s="243">
        <f t="shared" si="18"/>
        <v>1632</v>
      </c>
      <c r="M47" s="242">
        <f t="shared" si="18"/>
        <v>214</v>
      </c>
      <c r="N47" s="245">
        <f>SUM(N31:N46)</f>
        <v>4450</v>
      </c>
      <c r="O47" s="244">
        <f t="shared" si="18"/>
        <v>1068</v>
      </c>
      <c r="P47" s="245">
        <f t="shared" si="18"/>
        <v>101</v>
      </c>
      <c r="Q47" s="245">
        <f>SUM(Q31:Q46)</f>
        <v>3422</v>
      </c>
      <c r="R47" s="243">
        <f t="shared" si="18"/>
        <v>821.28</v>
      </c>
      <c r="S47" s="242">
        <f t="shared" si="18"/>
        <v>41</v>
      </c>
      <c r="T47" s="245">
        <f>SUM(T31:T46)</f>
        <v>844</v>
      </c>
      <c r="U47" s="244">
        <f t="shared" si="18"/>
        <v>202.56</v>
      </c>
      <c r="V47" s="245">
        <f t="shared" ref="V47:AA47" si="19">SUBTOTAL(9,V31:V46)</f>
        <v>881</v>
      </c>
      <c r="W47" s="245">
        <f>SUM(W31:W46)</f>
        <v>21424</v>
      </c>
      <c r="X47" s="243">
        <f t="shared" si="19"/>
        <v>5141.76</v>
      </c>
      <c r="Y47" s="242">
        <f t="shared" si="19"/>
        <v>471</v>
      </c>
      <c r="Z47" s="245">
        <f>SUM(Z31:Z46)</f>
        <v>9045</v>
      </c>
      <c r="AA47" s="244">
        <f t="shared" si="19"/>
        <v>2170.8000000000002</v>
      </c>
    </row>
    <row r="48" spans="2:27" x14ac:dyDescent="0.2">
      <c r="B48" s="268"/>
      <c r="C48" s="269"/>
      <c r="D48" s="231"/>
      <c r="E48" s="231"/>
      <c r="F48" s="270"/>
      <c r="G48" s="231"/>
      <c r="H48" s="231"/>
      <c r="I48" s="270"/>
      <c r="J48" s="231"/>
      <c r="K48" s="231"/>
      <c r="L48" s="270"/>
      <c r="M48" s="231"/>
      <c r="N48" s="231"/>
      <c r="O48" s="270"/>
      <c r="P48" s="231"/>
      <c r="Q48" s="231"/>
      <c r="R48" s="270"/>
      <c r="S48" s="231"/>
      <c r="T48" s="231"/>
      <c r="U48" s="270"/>
    </row>
  </sheetData>
  <sheetProtection password="DE72" sheet="1" objects="1" scenarios="1"/>
  <autoFilter ref="C30:U46"/>
  <mergeCells count="14">
    <mergeCell ref="V28:AA28"/>
    <mergeCell ref="V29:X29"/>
    <mergeCell ref="Y29:AA29"/>
    <mergeCell ref="C28:C30"/>
    <mergeCell ref="B28:B30"/>
    <mergeCell ref="D29:F29"/>
    <mergeCell ref="G29:I29"/>
    <mergeCell ref="J28:O28"/>
    <mergeCell ref="P28:U28"/>
    <mergeCell ref="J29:L29"/>
    <mergeCell ref="M29:O29"/>
    <mergeCell ref="P29:R29"/>
    <mergeCell ref="S29:U29"/>
    <mergeCell ref="D28:I28"/>
  </mergeCells>
  <pageMargins left="0.7" right="0.7" top="0.75" bottom="0.75" header="0.3" footer="0.3"/>
  <pageSetup orientation="portrait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7"/>
  <sheetViews>
    <sheetView zoomScale="90" zoomScaleNormal="90" workbookViewId="0">
      <selection activeCell="H28" sqref="H28"/>
    </sheetView>
  </sheetViews>
  <sheetFormatPr baseColWidth="10" defaultRowHeight="12.75" x14ac:dyDescent="0.2"/>
  <cols>
    <col min="1" max="1" width="3.7109375" style="91" customWidth="1"/>
    <col min="2" max="2" width="12" style="91" customWidth="1"/>
    <col min="3" max="3" width="13.28515625" style="91" bestFit="1" customWidth="1"/>
    <col min="4" max="5" width="13.5703125" style="91" bestFit="1" customWidth="1"/>
    <col min="6" max="6" width="12.42578125" style="91" customWidth="1"/>
    <col min="7" max="7" width="15.7109375" style="91" bestFit="1" customWidth="1"/>
    <col min="8" max="8" width="15.7109375" style="91" customWidth="1"/>
    <col min="9" max="9" width="12.42578125" style="91" customWidth="1"/>
    <col min="10" max="12" width="12.42578125" style="91" bestFit="1" customWidth="1"/>
    <col min="13" max="13" width="12.42578125" style="91" customWidth="1"/>
    <col min="14" max="14" width="15.7109375" style="91" bestFit="1" customWidth="1"/>
    <col min="15" max="15" width="13.85546875" style="91" bestFit="1" customWidth="1"/>
    <col min="16" max="16" width="12.42578125" style="91" bestFit="1" customWidth="1"/>
    <col min="17" max="16384" width="11.42578125" style="91"/>
  </cols>
  <sheetData>
    <row r="2" spans="2:16" x14ac:dyDescent="0.2">
      <c r="B2" s="39" t="s">
        <v>186</v>
      </c>
    </row>
    <row r="3" spans="2:16" x14ac:dyDescent="0.2">
      <c r="B3" s="91" t="s">
        <v>5</v>
      </c>
    </row>
    <row r="4" spans="2:16" ht="13.5" thickBot="1" x14ac:dyDescent="0.25"/>
    <row r="5" spans="2:16" ht="13.5" thickBot="1" x14ac:dyDescent="0.25">
      <c r="B5" s="327" t="s">
        <v>85</v>
      </c>
      <c r="C5" s="321">
        <v>2014</v>
      </c>
      <c r="D5" s="322"/>
      <c r="E5" s="322"/>
      <c r="F5" s="322"/>
      <c r="G5" s="322"/>
      <c r="H5" s="322"/>
      <c r="I5" s="323"/>
      <c r="J5" s="324">
        <v>2015</v>
      </c>
      <c r="K5" s="325"/>
      <c r="L5" s="325"/>
      <c r="M5" s="325"/>
      <c r="N5" s="325"/>
      <c r="O5" s="325"/>
      <c r="P5" s="326"/>
    </row>
    <row r="6" spans="2:16" ht="13.5" thickBot="1" x14ac:dyDescent="0.25">
      <c r="B6" s="328"/>
      <c r="C6" s="123" t="s">
        <v>37</v>
      </c>
      <c r="D6" s="123" t="s">
        <v>38</v>
      </c>
      <c r="E6" s="123" t="s">
        <v>39</v>
      </c>
      <c r="F6" s="123" t="s">
        <v>26</v>
      </c>
      <c r="G6" s="123" t="s">
        <v>23</v>
      </c>
      <c r="H6" s="123" t="s">
        <v>24</v>
      </c>
      <c r="I6" s="123" t="s">
        <v>6</v>
      </c>
      <c r="J6" s="127" t="s">
        <v>19</v>
      </c>
      <c r="K6" s="126" t="s">
        <v>20</v>
      </c>
      <c r="L6" s="126" t="s">
        <v>21</v>
      </c>
      <c r="M6" s="128" t="s">
        <v>26</v>
      </c>
      <c r="N6" s="126" t="s">
        <v>23</v>
      </c>
      <c r="O6" s="126" t="s">
        <v>24</v>
      </c>
      <c r="P6" s="126" t="s">
        <v>6</v>
      </c>
    </row>
    <row r="7" spans="2:16" x14ac:dyDescent="0.2">
      <c r="B7" s="101" t="s">
        <v>7</v>
      </c>
      <c r="C7" s="122">
        <v>2105116.2000000002</v>
      </c>
      <c r="D7" s="124">
        <v>3294355.2</v>
      </c>
      <c r="E7" s="124">
        <v>1175656.5</v>
      </c>
      <c r="F7" s="124">
        <f>SUM(C7:E7)</f>
        <v>6575127.9000000004</v>
      </c>
      <c r="G7" s="124">
        <v>352</v>
      </c>
      <c r="H7" s="124">
        <v>8049</v>
      </c>
      <c r="I7" s="125">
        <f>SUM(F7:H7)</f>
        <v>6583528.9000000004</v>
      </c>
      <c r="J7" s="122">
        <v>1431881.1</v>
      </c>
      <c r="K7" s="124">
        <v>2846208</v>
      </c>
      <c r="L7" s="124">
        <v>990286.5</v>
      </c>
      <c r="M7" s="103">
        <f>SUM(J7:L7)</f>
        <v>5268375.5999999996</v>
      </c>
      <c r="N7" s="124">
        <v>373</v>
      </c>
      <c r="O7" s="124">
        <v>9391</v>
      </c>
      <c r="P7" s="125">
        <f>SUM(M7:O7)</f>
        <v>5278139.5999999996</v>
      </c>
    </row>
    <row r="8" spans="2:16" x14ac:dyDescent="0.2">
      <c r="B8" s="105" t="s">
        <v>8</v>
      </c>
      <c r="C8" s="102">
        <v>1311759</v>
      </c>
      <c r="D8" s="103">
        <v>4825863.5999999996</v>
      </c>
      <c r="E8" s="103">
        <v>2347522.5</v>
      </c>
      <c r="F8" s="103">
        <f t="shared" ref="F8:F19" si="0">SUM(C8:E8)</f>
        <v>8485145.0999999996</v>
      </c>
      <c r="G8" s="103">
        <v>295</v>
      </c>
      <c r="H8" s="103">
        <v>7512</v>
      </c>
      <c r="I8" s="104">
        <f t="shared" ref="I8:I18" si="1">SUM(F8:H8)</f>
        <v>8492952.0999999996</v>
      </c>
      <c r="J8" s="102">
        <v>1324627.2</v>
      </c>
      <c r="K8" s="103">
        <v>2831330.4</v>
      </c>
      <c r="L8" s="103">
        <v>195078</v>
      </c>
      <c r="M8" s="103">
        <f t="shared" ref="M8:M18" si="2">SUM(J8:L8)</f>
        <v>4351035.5999999996</v>
      </c>
      <c r="N8" s="103">
        <v>306</v>
      </c>
      <c r="O8" s="103">
        <v>8137</v>
      </c>
      <c r="P8" s="104">
        <f t="shared" ref="P8:P18" si="3">SUM(M8:O8)</f>
        <v>4359478.5999999996</v>
      </c>
    </row>
    <row r="9" spans="2:16" x14ac:dyDescent="0.2">
      <c r="B9" s="105" t="s">
        <v>9</v>
      </c>
      <c r="C9" s="102">
        <v>1207225.8</v>
      </c>
      <c r="D9" s="103">
        <v>5566179.5999999996</v>
      </c>
      <c r="E9" s="103">
        <v>2592898.5</v>
      </c>
      <c r="F9" s="103">
        <f t="shared" si="0"/>
        <v>9366303.8999999985</v>
      </c>
      <c r="G9" s="103">
        <v>338</v>
      </c>
      <c r="H9" s="103">
        <v>8049</v>
      </c>
      <c r="I9" s="104">
        <f t="shared" si="1"/>
        <v>9374690.8999999985</v>
      </c>
      <c r="J9" s="102">
        <v>1345436.1</v>
      </c>
      <c r="K9" s="103">
        <v>3066092.4</v>
      </c>
      <c r="L9" s="103">
        <v>157204.5</v>
      </c>
      <c r="M9" s="103">
        <f t="shared" si="2"/>
        <v>4568733</v>
      </c>
      <c r="N9" s="103">
        <v>318</v>
      </c>
      <c r="O9" s="103">
        <v>8272</v>
      </c>
      <c r="P9" s="104">
        <f t="shared" si="3"/>
        <v>4577323</v>
      </c>
    </row>
    <row r="10" spans="2:16" x14ac:dyDescent="0.2">
      <c r="B10" s="105" t="s">
        <v>10</v>
      </c>
      <c r="C10" s="102">
        <v>1492058.7</v>
      </c>
      <c r="D10" s="103">
        <v>4139342.4</v>
      </c>
      <c r="E10" s="103">
        <v>1534015.5</v>
      </c>
      <c r="F10" s="103">
        <f t="shared" si="0"/>
        <v>7165416.5999999996</v>
      </c>
      <c r="G10" s="103">
        <v>353</v>
      </c>
      <c r="H10" s="103">
        <v>0</v>
      </c>
      <c r="I10" s="104">
        <f t="shared" si="1"/>
        <v>7165769.5999999996</v>
      </c>
      <c r="J10" s="102">
        <v>2080829.7</v>
      </c>
      <c r="K10" s="103">
        <v>1537687.2</v>
      </c>
      <c r="L10" s="103">
        <v>129817.5</v>
      </c>
      <c r="M10" s="103">
        <f t="shared" si="2"/>
        <v>3748334.4</v>
      </c>
      <c r="N10" s="103">
        <v>327</v>
      </c>
      <c r="O10" s="103">
        <v>9971</v>
      </c>
      <c r="P10" s="104">
        <f t="shared" si="3"/>
        <v>3758632.4</v>
      </c>
    </row>
    <row r="11" spans="2:16" x14ac:dyDescent="0.2">
      <c r="B11" s="105" t="s">
        <v>11</v>
      </c>
      <c r="C11" s="102">
        <v>1059309</v>
      </c>
      <c r="D11" s="103">
        <v>3668520</v>
      </c>
      <c r="E11" s="103">
        <v>1139382</v>
      </c>
      <c r="F11" s="103">
        <f t="shared" si="0"/>
        <v>5867211</v>
      </c>
      <c r="G11" s="103">
        <v>0</v>
      </c>
      <c r="H11" s="103">
        <v>8854</v>
      </c>
      <c r="I11" s="104">
        <f t="shared" si="1"/>
        <v>5876065</v>
      </c>
      <c r="J11" s="102">
        <v>2269438.2000000002</v>
      </c>
      <c r="K11" s="103">
        <v>1965984</v>
      </c>
      <c r="L11" s="103">
        <v>130565</v>
      </c>
      <c r="M11" s="103">
        <f t="shared" si="2"/>
        <v>4365987.2</v>
      </c>
      <c r="N11" s="103">
        <v>324</v>
      </c>
      <c r="O11" s="103">
        <v>24387</v>
      </c>
      <c r="P11" s="104">
        <f t="shared" si="3"/>
        <v>4390698.2</v>
      </c>
    </row>
    <row r="12" spans="2:16" x14ac:dyDescent="0.2">
      <c r="B12" s="105" t="s">
        <v>12</v>
      </c>
      <c r="C12" s="102">
        <v>1257909.3</v>
      </c>
      <c r="D12" s="103">
        <v>3730060.8</v>
      </c>
      <c r="E12" s="103">
        <v>917458.5</v>
      </c>
      <c r="F12" s="103">
        <f t="shared" si="0"/>
        <v>5905428.5999999996</v>
      </c>
      <c r="G12" s="103">
        <v>383</v>
      </c>
      <c r="H12" s="103">
        <v>8049</v>
      </c>
      <c r="I12" s="104">
        <f t="shared" si="1"/>
        <v>5913860.5999999996</v>
      </c>
      <c r="J12" s="102">
        <v>2205219.6</v>
      </c>
      <c r="K12" s="103">
        <v>2233581.6</v>
      </c>
      <c r="L12" s="103">
        <v>0</v>
      </c>
      <c r="M12" s="103">
        <f t="shared" si="2"/>
        <v>4438801.2</v>
      </c>
      <c r="N12" s="103">
        <v>359</v>
      </c>
      <c r="O12" s="103">
        <v>24387</v>
      </c>
      <c r="P12" s="104">
        <f t="shared" si="3"/>
        <v>4463547.2</v>
      </c>
    </row>
    <row r="13" spans="2:16" x14ac:dyDescent="0.2">
      <c r="B13" s="105" t="s">
        <v>13</v>
      </c>
      <c r="C13" s="102">
        <v>1674090.9</v>
      </c>
      <c r="D13" s="103">
        <v>3973970.4</v>
      </c>
      <c r="E13" s="103">
        <v>1226283</v>
      </c>
      <c r="F13" s="103">
        <f t="shared" si="0"/>
        <v>6874344.2999999998</v>
      </c>
      <c r="G13" s="103">
        <v>337</v>
      </c>
      <c r="H13" s="103">
        <v>8854</v>
      </c>
      <c r="I13" s="104">
        <f t="shared" si="1"/>
        <v>6883535.2999999998</v>
      </c>
      <c r="J13" s="102">
        <v>2490934.5</v>
      </c>
      <c r="K13" s="103">
        <v>3818806.8</v>
      </c>
      <c r="L13" s="103">
        <v>0</v>
      </c>
      <c r="M13" s="103">
        <f t="shared" si="2"/>
        <v>6309741.2999999998</v>
      </c>
      <c r="N13" s="103">
        <v>337</v>
      </c>
      <c r="O13" s="103">
        <v>192000</v>
      </c>
      <c r="P13" s="104">
        <f t="shared" si="3"/>
        <v>6502078.2999999998</v>
      </c>
    </row>
    <row r="14" spans="2:16" x14ac:dyDescent="0.2">
      <c r="B14" s="105" t="s">
        <v>14</v>
      </c>
      <c r="C14" s="102">
        <v>1710318.6</v>
      </c>
      <c r="D14" s="103">
        <v>3935955.6</v>
      </c>
      <c r="E14" s="103">
        <v>1551313.5</v>
      </c>
      <c r="F14" s="103">
        <f t="shared" si="0"/>
        <v>7197587.7000000002</v>
      </c>
      <c r="G14" s="103">
        <v>448</v>
      </c>
      <c r="H14" s="103">
        <v>7781</v>
      </c>
      <c r="I14" s="104">
        <f t="shared" si="1"/>
        <v>7205816.7000000002</v>
      </c>
      <c r="J14" s="102">
        <v>2231341.2000000002</v>
      </c>
      <c r="K14" s="103">
        <v>3964564.8</v>
      </c>
      <c r="L14" s="103">
        <v>1305174</v>
      </c>
      <c r="M14" s="103">
        <f t="shared" si="2"/>
        <v>7501080</v>
      </c>
      <c r="N14" s="103">
        <v>354</v>
      </c>
      <c r="O14" s="103">
        <v>6000</v>
      </c>
      <c r="P14" s="104">
        <f t="shared" si="3"/>
        <v>7507434</v>
      </c>
    </row>
    <row r="15" spans="2:16" x14ac:dyDescent="0.2">
      <c r="B15" s="105" t="s">
        <v>15</v>
      </c>
      <c r="C15" s="102">
        <v>2138123.7000000002</v>
      </c>
      <c r="D15" s="103">
        <v>3858096</v>
      </c>
      <c r="E15" s="103">
        <v>2198341.5</v>
      </c>
      <c r="F15" s="103">
        <f t="shared" si="0"/>
        <v>8194561.2000000002</v>
      </c>
      <c r="G15" s="103">
        <v>329</v>
      </c>
      <c r="H15" s="103">
        <v>7781</v>
      </c>
      <c r="I15" s="104">
        <f t="shared" si="1"/>
        <v>8202671.2000000002</v>
      </c>
      <c r="J15" s="102">
        <v>1739980.8</v>
      </c>
      <c r="K15" s="103">
        <v>4521164.4000000004</v>
      </c>
      <c r="L15" s="103">
        <v>2435950.5</v>
      </c>
      <c r="M15" s="103">
        <f t="shared" si="2"/>
        <v>8697095.6999999993</v>
      </c>
      <c r="N15" s="103">
        <v>310</v>
      </c>
      <c r="O15" s="103">
        <v>6000</v>
      </c>
      <c r="P15" s="104">
        <f t="shared" si="3"/>
        <v>8703405.6999999993</v>
      </c>
    </row>
    <row r="16" spans="2:16" x14ac:dyDescent="0.2">
      <c r="B16" s="105" t="s">
        <v>16</v>
      </c>
      <c r="C16" s="102">
        <v>1882057.5</v>
      </c>
      <c r="D16" s="103">
        <v>3978037.2</v>
      </c>
      <c r="E16" s="103">
        <v>1304079</v>
      </c>
      <c r="F16" s="103">
        <f t="shared" si="0"/>
        <v>7164173.7000000002</v>
      </c>
      <c r="G16" s="103">
        <v>320</v>
      </c>
      <c r="H16" s="103">
        <v>8854</v>
      </c>
      <c r="I16" s="104">
        <f t="shared" si="1"/>
        <v>7173347.7000000002</v>
      </c>
      <c r="J16" s="102">
        <v>2534075</v>
      </c>
      <c r="K16" s="103">
        <v>3983301.6</v>
      </c>
      <c r="L16" s="103">
        <v>675351</v>
      </c>
      <c r="M16" s="103">
        <f t="shared" si="2"/>
        <v>7192727.5999999996</v>
      </c>
      <c r="N16" s="103">
        <v>324</v>
      </c>
      <c r="O16" s="103">
        <v>73978</v>
      </c>
      <c r="P16" s="104">
        <f t="shared" si="3"/>
        <v>7267029.5999999996</v>
      </c>
    </row>
    <row r="17" spans="2:16" x14ac:dyDescent="0.2">
      <c r="B17" s="105" t="s">
        <v>17</v>
      </c>
      <c r="C17" s="102">
        <v>1555181.1</v>
      </c>
      <c r="D17" s="103">
        <v>3772222.8</v>
      </c>
      <c r="E17" s="103">
        <v>1022947.5</v>
      </c>
      <c r="F17" s="103">
        <f t="shared" si="0"/>
        <v>6350351.4000000004</v>
      </c>
      <c r="G17" s="103">
        <v>339</v>
      </c>
      <c r="H17" s="103">
        <v>7781</v>
      </c>
      <c r="I17" s="104">
        <f t="shared" si="1"/>
        <v>6358471.4000000004</v>
      </c>
      <c r="J17" s="102">
        <v>1765078.2</v>
      </c>
      <c r="K17" s="103">
        <v>3716929.2</v>
      </c>
      <c r="L17" s="103">
        <v>912517.5</v>
      </c>
      <c r="M17" s="103">
        <f t="shared" si="2"/>
        <v>6394524.9000000004</v>
      </c>
      <c r="N17" s="103">
        <v>314</v>
      </c>
      <c r="O17" s="103">
        <v>8419</v>
      </c>
      <c r="P17" s="104">
        <f t="shared" si="3"/>
        <v>6403257.9000000004</v>
      </c>
    </row>
    <row r="18" spans="2:16" x14ac:dyDescent="0.2">
      <c r="B18" s="105" t="s">
        <v>18</v>
      </c>
      <c r="C18" s="102">
        <v>1479265.2</v>
      </c>
      <c r="D18" s="103">
        <v>3887590</v>
      </c>
      <c r="E18" s="103">
        <v>1129440</v>
      </c>
      <c r="F18" s="103">
        <f t="shared" si="0"/>
        <v>6496295.2000000002</v>
      </c>
      <c r="G18" s="103">
        <v>222</v>
      </c>
      <c r="H18" s="103">
        <v>7781</v>
      </c>
      <c r="I18" s="104">
        <f t="shared" si="1"/>
        <v>6504298.2000000002</v>
      </c>
      <c r="J18" s="102">
        <v>1901989.7</v>
      </c>
      <c r="K18" s="103">
        <v>2053311.6</v>
      </c>
      <c r="L18" s="103">
        <v>728596.5</v>
      </c>
      <c r="M18" s="103">
        <f t="shared" si="2"/>
        <v>4683897.8</v>
      </c>
      <c r="N18" s="103">
        <v>268</v>
      </c>
      <c r="O18" s="103">
        <v>6000</v>
      </c>
      <c r="P18" s="104">
        <f t="shared" si="3"/>
        <v>4690165.8</v>
      </c>
    </row>
    <row r="19" spans="2:16" ht="13.5" thickBot="1" x14ac:dyDescent="0.25">
      <c r="B19" s="106" t="s">
        <v>6</v>
      </c>
      <c r="C19" s="107">
        <f>SUM(C7:C18)</f>
        <v>18872415</v>
      </c>
      <c r="D19" s="108">
        <f>SUM(D7:D18)</f>
        <v>48630193.599999994</v>
      </c>
      <c r="E19" s="108">
        <f>SUM(E7:E18)</f>
        <v>18139338</v>
      </c>
      <c r="F19" s="109">
        <f t="shared" si="0"/>
        <v>85641946.599999994</v>
      </c>
      <c r="G19" s="108">
        <f t="shared" ref="G19:L19" si="4">SUM(G7:G18)</f>
        <v>3716</v>
      </c>
      <c r="H19" s="108">
        <f t="shared" si="4"/>
        <v>89345</v>
      </c>
      <c r="I19" s="110">
        <f t="shared" si="4"/>
        <v>85735007.600000009</v>
      </c>
      <c r="J19" s="107">
        <f t="shared" si="4"/>
        <v>23320831.300000001</v>
      </c>
      <c r="K19" s="108">
        <f t="shared" si="4"/>
        <v>36538962.000000007</v>
      </c>
      <c r="L19" s="108">
        <f t="shared" si="4"/>
        <v>7660541</v>
      </c>
      <c r="M19" s="108">
        <f>SUM(J19:L19)</f>
        <v>67520334.300000012</v>
      </c>
      <c r="N19" s="108">
        <f>SUM(N7:N18)</f>
        <v>3914</v>
      </c>
      <c r="O19" s="108">
        <f>SUM(O7:O18)</f>
        <v>376942</v>
      </c>
      <c r="P19" s="110">
        <f>SUM(P7:P18)</f>
        <v>67901190.299999997</v>
      </c>
    </row>
    <row r="21" spans="2:16" x14ac:dyDescent="0.2">
      <c r="B21" s="91" t="s">
        <v>25</v>
      </c>
      <c r="D21" s="111">
        <f>+F19-M19</f>
        <v>18121612.299999982</v>
      </c>
      <c r="J21" s="111"/>
    </row>
    <row r="22" spans="2:16" x14ac:dyDescent="0.2">
      <c r="B22" s="91" t="s">
        <v>111</v>
      </c>
      <c r="D22" s="156">
        <f>+D21/F19</f>
        <v>0.2115973891233339</v>
      </c>
    </row>
    <row r="23" spans="2:16" x14ac:dyDescent="0.2">
      <c r="B23" s="91" t="s">
        <v>117</v>
      </c>
      <c r="C23" s="139"/>
      <c r="D23" s="139">
        <v>0.05</v>
      </c>
    </row>
    <row r="26" spans="2:16" x14ac:dyDescent="0.2">
      <c r="B26" s="91" t="s">
        <v>36</v>
      </c>
    </row>
    <row r="27" spans="2:16" x14ac:dyDescent="0.2">
      <c r="C27" s="91">
        <v>2014</v>
      </c>
      <c r="D27" s="91">
        <v>2016</v>
      </c>
      <c r="E27" s="91">
        <v>2017</v>
      </c>
      <c r="F27" s="91">
        <v>2018</v>
      </c>
      <c r="G27" s="92" t="s">
        <v>4</v>
      </c>
    </row>
    <row r="28" spans="2:16" x14ac:dyDescent="0.2">
      <c r="B28" s="91" t="s">
        <v>1</v>
      </c>
      <c r="C28" s="91">
        <v>0.42</v>
      </c>
      <c r="D28" s="91">
        <v>0.4</v>
      </c>
      <c r="E28" s="91">
        <v>0.4</v>
      </c>
      <c r="F28" s="91">
        <v>0.4</v>
      </c>
      <c r="G28" s="1">
        <f>(C28-D28)/C28</f>
        <v>4.7619047619047533E-2</v>
      </c>
    </row>
    <row r="29" spans="2:16" x14ac:dyDescent="0.2">
      <c r="C29" s="111"/>
      <c r="F29" s="111"/>
      <c r="G29" s="1"/>
    </row>
    <row r="30" spans="2:16" x14ac:dyDescent="0.2">
      <c r="C30" s="112"/>
    </row>
    <row r="32" spans="2:16" x14ac:dyDescent="0.2">
      <c r="C32" s="113"/>
      <c r="D32" s="114"/>
    </row>
    <row r="33" spans="3:5" x14ac:dyDescent="0.2">
      <c r="C33" s="113"/>
    </row>
    <row r="35" spans="3:5" x14ac:dyDescent="0.2">
      <c r="C35" s="112"/>
    </row>
    <row r="36" spans="3:5" x14ac:dyDescent="0.2">
      <c r="C36" s="112"/>
    </row>
    <row r="47" spans="3:5" x14ac:dyDescent="0.2">
      <c r="E47" s="3"/>
    </row>
  </sheetData>
  <sheetProtection password="DFB2" sheet="1" objects="1" scenarios="1"/>
  <mergeCells count="3">
    <mergeCell ref="C5:I5"/>
    <mergeCell ref="J5:P5"/>
    <mergeCell ref="B5:B6"/>
  </mergeCells>
  <pageMargins left="0.7" right="0.7" top="0.75" bottom="0.75" header="0.3" footer="0.3"/>
  <pageSetup orientation="portrait" r:id="rId1"/>
  <ignoredErrors>
    <ignoredError sqref="F1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zoomScale="90" zoomScaleNormal="90" workbookViewId="0">
      <selection activeCell="J25" sqref="J25"/>
    </sheetView>
  </sheetViews>
  <sheetFormatPr baseColWidth="10" defaultRowHeight="12.75" x14ac:dyDescent="0.2"/>
  <cols>
    <col min="1" max="1" width="3.7109375" style="91" customWidth="1"/>
    <col min="2" max="2" width="23.140625" style="91" customWidth="1"/>
    <col min="3" max="3" width="14.140625" style="91" bestFit="1" customWidth="1"/>
    <col min="4" max="4" width="12.42578125" style="91" bestFit="1" customWidth="1"/>
    <col min="5" max="16384" width="11.42578125" style="91"/>
  </cols>
  <sheetData>
    <row r="2" spans="2:9" x14ac:dyDescent="0.2">
      <c r="B2" s="39" t="s">
        <v>128</v>
      </c>
    </row>
    <row r="3" spans="2:9" x14ac:dyDescent="0.2">
      <c r="B3" s="91" t="s">
        <v>5</v>
      </c>
    </row>
    <row r="4" spans="2:9" ht="13.5" thickBot="1" x14ac:dyDescent="0.25"/>
    <row r="5" spans="2:9" ht="13.5" thickBot="1" x14ac:dyDescent="0.25">
      <c r="B5" s="123" t="s">
        <v>85</v>
      </c>
      <c r="C5" s="123">
        <v>2014</v>
      </c>
      <c r="D5" s="123">
        <v>2015</v>
      </c>
      <c r="F5" s="111"/>
    </row>
    <row r="6" spans="2:9" x14ac:dyDescent="0.2">
      <c r="B6" s="135" t="s">
        <v>7</v>
      </c>
      <c r="C6" s="136">
        <v>3666400</v>
      </c>
      <c r="D6" s="136">
        <v>1192560</v>
      </c>
    </row>
    <row r="7" spans="2:9" x14ac:dyDescent="0.2">
      <c r="B7" s="131" t="s">
        <v>8</v>
      </c>
      <c r="C7" s="133">
        <v>3501800</v>
      </c>
      <c r="D7" s="133">
        <v>1560640</v>
      </c>
    </row>
    <row r="8" spans="2:9" x14ac:dyDescent="0.2">
      <c r="B8" s="131" t="s">
        <v>9</v>
      </c>
      <c r="C8" s="133">
        <v>4782640</v>
      </c>
      <c r="D8" s="133">
        <v>1385440</v>
      </c>
    </row>
    <row r="9" spans="2:9" x14ac:dyDescent="0.2">
      <c r="B9" s="131" t="s">
        <v>10</v>
      </c>
      <c r="C9" s="133">
        <v>2577280</v>
      </c>
      <c r="D9" s="133">
        <v>1857600</v>
      </c>
    </row>
    <row r="10" spans="2:9" x14ac:dyDescent="0.2">
      <c r="B10" s="131" t="s">
        <v>11</v>
      </c>
      <c r="C10" s="133">
        <v>1582800</v>
      </c>
      <c r="D10" s="133">
        <v>1826520</v>
      </c>
      <c r="I10" s="3"/>
    </row>
    <row r="11" spans="2:9" x14ac:dyDescent="0.2">
      <c r="B11" s="131" t="s">
        <v>12</v>
      </c>
      <c r="C11" s="133">
        <v>3382240</v>
      </c>
      <c r="D11" s="133">
        <v>2232760</v>
      </c>
    </row>
    <row r="12" spans="2:9" x14ac:dyDescent="0.2">
      <c r="B12" s="131" t="s">
        <v>13</v>
      </c>
      <c r="C12" s="133">
        <v>3429760</v>
      </c>
      <c r="D12" s="133">
        <v>3519040</v>
      </c>
    </row>
    <row r="13" spans="2:9" x14ac:dyDescent="0.2">
      <c r="B13" s="131" t="s">
        <v>14</v>
      </c>
      <c r="C13" s="133">
        <v>3960880</v>
      </c>
      <c r="D13" s="133">
        <v>4408920</v>
      </c>
    </row>
    <row r="14" spans="2:9" x14ac:dyDescent="0.2">
      <c r="B14" s="131" t="s">
        <v>15</v>
      </c>
      <c r="C14" s="133">
        <v>4429640</v>
      </c>
      <c r="D14" s="133">
        <v>4943280</v>
      </c>
      <c r="G14" s="91" t="s">
        <v>40</v>
      </c>
    </row>
    <row r="15" spans="2:9" x14ac:dyDescent="0.2">
      <c r="B15" s="131" t="s">
        <v>16</v>
      </c>
      <c r="C15" s="133">
        <v>1563160</v>
      </c>
      <c r="D15" s="133">
        <v>644400</v>
      </c>
    </row>
    <row r="16" spans="2:9" x14ac:dyDescent="0.2">
      <c r="B16" s="131" t="s">
        <v>17</v>
      </c>
      <c r="C16" s="133">
        <v>372880</v>
      </c>
      <c r="D16" s="133">
        <v>287040</v>
      </c>
    </row>
    <row r="17" spans="2:7" x14ac:dyDescent="0.2">
      <c r="B17" s="131" t="s">
        <v>18</v>
      </c>
      <c r="C17" s="133">
        <v>697040</v>
      </c>
      <c r="D17" s="133">
        <v>324520</v>
      </c>
    </row>
    <row r="18" spans="2:7" ht="13.5" thickBot="1" x14ac:dyDescent="0.25">
      <c r="B18" s="132" t="s">
        <v>6</v>
      </c>
      <c r="C18" s="134">
        <f>SUM(C6:C17)</f>
        <v>33946520</v>
      </c>
      <c r="D18" s="134">
        <f>SUM(D6:D17)</f>
        <v>24182720</v>
      </c>
    </row>
    <row r="19" spans="2:7" x14ac:dyDescent="0.2">
      <c r="B19" s="115"/>
      <c r="C19" s="2"/>
      <c r="D19" s="2"/>
    </row>
    <row r="20" spans="2:7" x14ac:dyDescent="0.2">
      <c r="B20" s="91" t="s">
        <v>25</v>
      </c>
      <c r="C20" s="2">
        <f>C18-D18</f>
        <v>9763800</v>
      </c>
      <c r="D20" s="2"/>
    </row>
    <row r="21" spans="2:7" x14ac:dyDescent="0.2">
      <c r="B21" s="91" t="s">
        <v>111</v>
      </c>
      <c r="C21" s="3">
        <f>(C18-D18)/C18</f>
        <v>0.28762300229891019</v>
      </c>
    </row>
    <row r="22" spans="2:7" x14ac:dyDescent="0.2">
      <c r="B22" s="91" t="s">
        <v>117</v>
      </c>
      <c r="C22" s="139">
        <v>0.08</v>
      </c>
      <c r="D22" s="139"/>
    </row>
    <row r="24" spans="2:7" x14ac:dyDescent="0.2">
      <c r="B24" s="91" t="s">
        <v>36</v>
      </c>
    </row>
    <row r="25" spans="2:7" x14ac:dyDescent="0.2">
      <c r="C25" s="91">
        <v>2014</v>
      </c>
      <c r="D25" s="91">
        <v>2016</v>
      </c>
      <c r="E25" s="91">
        <v>2017</v>
      </c>
      <c r="F25" s="91">
        <v>2018</v>
      </c>
      <c r="G25" s="129" t="s">
        <v>4</v>
      </c>
    </row>
    <row r="26" spans="2:7" x14ac:dyDescent="0.2">
      <c r="B26" s="91" t="s">
        <v>2</v>
      </c>
      <c r="C26" s="91">
        <v>0.13</v>
      </c>
      <c r="D26" s="91">
        <v>0.1</v>
      </c>
      <c r="E26" s="91">
        <v>0.1</v>
      </c>
      <c r="F26" s="91">
        <v>0.1</v>
      </c>
      <c r="G26" s="130">
        <f>(C26-D26)/C26</f>
        <v>0.23076923076923075</v>
      </c>
    </row>
    <row r="27" spans="2:7" x14ac:dyDescent="0.2">
      <c r="C27" s="112"/>
      <c r="D27" s="114"/>
    </row>
  </sheetData>
  <sheetProtection password="DE72" sheet="1" objects="1" scenarios="1"/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zoomScale="90" zoomScaleNormal="90" workbookViewId="0">
      <selection activeCell="I26" sqref="I26"/>
    </sheetView>
  </sheetViews>
  <sheetFormatPr baseColWidth="10" defaultRowHeight="12.75" x14ac:dyDescent="0.2"/>
  <cols>
    <col min="1" max="1" width="3.7109375" style="91" customWidth="1"/>
    <col min="2" max="2" width="23.42578125" style="91" customWidth="1"/>
    <col min="3" max="4" width="12.42578125" style="91" bestFit="1" customWidth="1"/>
    <col min="5" max="16384" width="11.42578125" style="91"/>
  </cols>
  <sheetData>
    <row r="2" spans="2:6" x14ac:dyDescent="0.2">
      <c r="B2" s="39" t="s">
        <v>127</v>
      </c>
    </row>
    <row r="3" spans="2:6" x14ac:dyDescent="0.2">
      <c r="B3" s="91" t="s">
        <v>5</v>
      </c>
      <c r="F3" s="2"/>
    </row>
    <row r="4" spans="2:6" ht="13.5" thickBot="1" x14ac:dyDescent="0.25">
      <c r="F4" s="2"/>
    </row>
    <row r="5" spans="2:6" ht="13.5" thickBot="1" x14ac:dyDescent="0.25">
      <c r="B5" s="123" t="s">
        <v>85</v>
      </c>
      <c r="C5" s="123">
        <v>2014</v>
      </c>
      <c r="D5" s="123">
        <v>2015</v>
      </c>
      <c r="F5" s="111"/>
    </row>
    <row r="6" spans="2:6" x14ac:dyDescent="0.2">
      <c r="B6" s="138" t="s">
        <v>7</v>
      </c>
      <c r="C6" s="136">
        <v>322754.90000000002</v>
      </c>
      <c r="D6" s="136">
        <v>371683.23</v>
      </c>
    </row>
    <row r="7" spans="2:6" x14ac:dyDescent="0.2">
      <c r="B7" s="105" t="s">
        <v>8</v>
      </c>
      <c r="C7" s="133">
        <v>325898.93</v>
      </c>
      <c r="D7" s="133">
        <v>330452.75</v>
      </c>
    </row>
    <row r="8" spans="2:6" x14ac:dyDescent="0.2">
      <c r="B8" s="105" t="s">
        <v>9</v>
      </c>
      <c r="C8" s="133">
        <v>336108.58</v>
      </c>
      <c r="D8" s="133">
        <v>328304.8</v>
      </c>
    </row>
    <row r="9" spans="2:6" x14ac:dyDescent="0.2">
      <c r="B9" s="105" t="s">
        <v>10</v>
      </c>
      <c r="C9" s="133">
        <v>359637.7</v>
      </c>
      <c r="D9" s="133">
        <v>305586.5</v>
      </c>
    </row>
    <row r="10" spans="2:6" x14ac:dyDescent="0.2">
      <c r="B10" s="105" t="s">
        <v>11</v>
      </c>
      <c r="C10" s="133">
        <v>404459.65</v>
      </c>
      <c r="D10" s="133">
        <v>324234.53000000003</v>
      </c>
    </row>
    <row r="11" spans="2:6" x14ac:dyDescent="0.2">
      <c r="B11" s="105" t="s">
        <v>12</v>
      </c>
      <c r="C11" s="133">
        <v>387266.55</v>
      </c>
      <c r="D11" s="133">
        <v>349835.6</v>
      </c>
    </row>
    <row r="12" spans="2:6" x14ac:dyDescent="0.2">
      <c r="B12" s="105" t="s">
        <v>13</v>
      </c>
      <c r="C12" s="133">
        <v>396793.15</v>
      </c>
      <c r="D12" s="133">
        <v>395854.55</v>
      </c>
    </row>
    <row r="13" spans="2:6" x14ac:dyDescent="0.2">
      <c r="B13" s="105" t="s">
        <v>14</v>
      </c>
      <c r="C13" s="133">
        <v>408401.68</v>
      </c>
      <c r="D13" s="133">
        <v>392122.95</v>
      </c>
    </row>
    <row r="14" spans="2:6" x14ac:dyDescent="0.2">
      <c r="B14" s="105" t="s">
        <v>15</v>
      </c>
      <c r="C14" s="133">
        <v>391761.95</v>
      </c>
      <c r="D14" s="133">
        <v>327899.05</v>
      </c>
    </row>
    <row r="15" spans="2:6" x14ac:dyDescent="0.2">
      <c r="B15" s="105" t="s">
        <v>16</v>
      </c>
      <c r="C15" s="133">
        <v>388200.4</v>
      </c>
      <c r="D15" s="133">
        <v>329329.38</v>
      </c>
    </row>
    <row r="16" spans="2:6" x14ac:dyDescent="0.2">
      <c r="B16" s="105" t="s">
        <v>17</v>
      </c>
      <c r="C16" s="133">
        <v>365244.6</v>
      </c>
      <c r="D16" s="133">
        <v>313923.7</v>
      </c>
    </row>
    <row r="17" spans="2:4" x14ac:dyDescent="0.2">
      <c r="B17" s="105" t="s">
        <v>18</v>
      </c>
      <c r="C17" s="133">
        <v>385341.85</v>
      </c>
      <c r="D17" s="137">
        <v>333649.98</v>
      </c>
    </row>
    <row r="18" spans="2:4" ht="13.5" thickBot="1" x14ac:dyDescent="0.25">
      <c r="B18" s="106" t="s">
        <v>6</v>
      </c>
      <c r="C18" s="134">
        <f>SUM(C6:C17)</f>
        <v>4471869.9400000004</v>
      </c>
      <c r="D18" s="134">
        <f>SUM(D6:D17)</f>
        <v>4102877.02</v>
      </c>
    </row>
    <row r="20" spans="2:4" x14ac:dyDescent="0.2">
      <c r="B20" s="91" t="s">
        <v>25</v>
      </c>
      <c r="C20" s="111">
        <f>C18-D18</f>
        <v>368992.92000000039</v>
      </c>
    </row>
    <row r="21" spans="2:4" x14ac:dyDescent="0.2">
      <c r="B21" s="91" t="s">
        <v>111</v>
      </c>
      <c r="C21" s="1">
        <f>(C18-D18)/C18</f>
        <v>8.2514233408138959E-2</v>
      </c>
    </row>
    <row r="22" spans="2:4" x14ac:dyDescent="0.2">
      <c r="B22" s="91" t="s">
        <v>117</v>
      </c>
      <c r="C22" s="139">
        <v>0.08</v>
      </c>
    </row>
  </sheetData>
  <sheetProtection password="DE72" sheet="1" objects="1" scenarios="1"/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1"/>
  <sheetViews>
    <sheetView workbookViewId="0">
      <selection activeCell="F31" sqref="F31"/>
    </sheetView>
  </sheetViews>
  <sheetFormatPr baseColWidth="10" defaultRowHeight="12.75" x14ac:dyDescent="0.2"/>
  <cols>
    <col min="1" max="1" width="3.7109375" style="91" customWidth="1"/>
    <col min="2" max="2" width="22.7109375" style="91" customWidth="1"/>
    <col min="3" max="3" width="13.42578125" style="91" bestFit="1" customWidth="1"/>
    <col min="4" max="4" width="13.42578125" style="91" customWidth="1"/>
    <col min="5" max="5" width="11.5703125" style="91" bestFit="1" customWidth="1"/>
    <col min="6" max="6" width="5.7109375" style="91" bestFit="1" customWidth="1"/>
    <col min="7" max="7" width="17.140625" style="91" customWidth="1"/>
    <col min="8" max="8" width="17.140625" style="91" bestFit="1" customWidth="1"/>
    <col min="9" max="16384" width="11.42578125" style="91"/>
  </cols>
  <sheetData>
    <row r="1" spans="2:10" x14ac:dyDescent="0.2">
      <c r="J1" s="2" t="s">
        <v>146</v>
      </c>
    </row>
    <row r="2" spans="2:10" x14ac:dyDescent="0.2">
      <c r="B2" s="39" t="s">
        <v>145</v>
      </c>
    </row>
    <row r="3" spans="2:10" x14ac:dyDescent="0.2">
      <c r="B3" s="91" t="s">
        <v>5</v>
      </c>
    </row>
    <row r="4" spans="2:10" ht="13.5" thickBot="1" x14ac:dyDescent="0.25"/>
    <row r="5" spans="2:10" ht="13.5" thickBot="1" x14ac:dyDescent="0.25">
      <c r="B5" s="123" t="s">
        <v>116</v>
      </c>
      <c r="C5" s="123">
        <v>2014</v>
      </c>
      <c r="D5" s="123">
        <v>2015</v>
      </c>
      <c r="E5" s="123" t="s">
        <v>41</v>
      </c>
      <c r="F5" s="123" t="s">
        <v>44</v>
      </c>
      <c r="G5" s="92" t="s">
        <v>42</v>
      </c>
      <c r="H5" s="92" t="s">
        <v>43</v>
      </c>
    </row>
    <row r="6" spans="2:10" x14ac:dyDescent="0.2">
      <c r="B6" s="210" t="s">
        <v>1</v>
      </c>
      <c r="C6" s="211">
        <f>'GEO Acción 1'!F19</f>
        <v>85641946.599999994</v>
      </c>
      <c r="D6" s="211">
        <f>+'GEO Acción 1'!M19</f>
        <v>67520334.300000012</v>
      </c>
      <c r="E6" s="211">
        <f>+C6-D6</f>
        <v>18121612.299999982</v>
      </c>
      <c r="F6" s="28">
        <f>(C6-D6)/C6</f>
        <v>0.2115973891233339</v>
      </c>
      <c r="G6" s="145">
        <f>C6/$C$10</f>
        <v>0.50089024198443666</v>
      </c>
      <c r="H6" s="145">
        <f>D6/$D$10</f>
        <v>0.46868615696822818</v>
      </c>
    </row>
    <row r="7" spans="2:10" x14ac:dyDescent="0.2">
      <c r="B7" s="142" t="s">
        <v>2</v>
      </c>
      <c r="C7" s="143">
        <f>'GEO Acción 2'!C18</f>
        <v>33946520</v>
      </c>
      <c r="D7" s="143">
        <f>'GEO Acción 2'!D18</f>
        <v>24182720</v>
      </c>
      <c r="E7" s="143">
        <f>+C7-D7</f>
        <v>9763800</v>
      </c>
      <c r="F7" s="25">
        <f>(C7-D7)/C7</f>
        <v>0.28762300229891019</v>
      </c>
      <c r="G7" s="145">
        <f t="shared" ref="G7:G9" si="0">C7/$C$10</f>
        <v>0.19854150089261888</v>
      </c>
      <c r="H7" s="145">
        <f t="shared" ref="H7:H9" si="1">D7/$D$10</f>
        <v>0.16786211471465876</v>
      </c>
    </row>
    <row r="8" spans="2:10" x14ac:dyDescent="0.2">
      <c r="B8" s="142" t="s">
        <v>3</v>
      </c>
      <c r="C8" s="143">
        <f>'GEO Acción 3'!C18</f>
        <v>4471869.9400000004</v>
      </c>
      <c r="D8" s="143">
        <f>'GEO Acción 3'!D18</f>
        <v>4102877.02</v>
      </c>
      <c r="E8" s="143">
        <f t="shared" ref="E8" si="2">+C8-D8</f>
        <v>368992.92000000039</v>
      </c>
      <c r="F8" s="25">
        <f>(C8-D8)/C8</f>
        <v>8.2514233408138959E-2</v>
      </c>
      <c r="G8" s="145">
        <f t="shared" si="0"/>
        <v>2.615442671838485E-2</v>
      </c>
      <c r="H8" s="145">
        <f t="shared" si="1"/>
        <v>2.8479741443120432E-2</v>
      </c>
    </row>
    <row r="9" spans="2:10" ht="13.5" thickBot="1" x14ac:dyDescent="0.25">
      <c r="B9" s="142" t="s">
        <v>6</v>
      </c>
      <c r="C9" s="143">
        <f>SUM(C6:C8)</f>
        <v>124060336.53999999</v>
      </c>
      <c r="D9" s="143">
        <f>SUM(D5:D8)</f>
        <v>95807946.320000008</v>
      </c>
      <c r="E9" s="143">
        <f>+C9-D9</f>
        <v>28252390.219999984</v>
      </c>
      <c r="F9" s="26">
        <f>(C9-D9)/C9</f>
        <v>0.22773104610183564</v>
      </c>
      <c r="G9" s="145">
        <f t="shared" si="0"/>
        <v>0.72558616959544031</v>
      </c>
      <c r="H9" s="145">
        <f t="shared" si="1"/>
        <v>0.66504200006218117</v>
      </c>
    </row>
    <row r="10" spans="2:10" x14ac:dyDescent="0.2">
      <c r="B10" s="214" t="s">
        <v>22</v>
      </c>
      <c r="C10" s="215">
        <v>170979467</v>
      </c>
      <c r="D10" s="216">
        <v>144063001</v>
      </c>
      <c r="E10" s="215">
        <f>+C10-D10</f>
        <v>26916466</v>
      </c>
      <c r="F10" s="217">
        <f>(C10-D10)/C10</f>
        <v>0.15742513690254983</v>
      </c>
      <c r="G10" s="145"/>
      <c r="H10" s="145"/>
    </row>
    <row r="11" spans="2:10" ht="15" thickBot="1" x14ac:dyDescent="0.3">
      <c r="B11" s="212" t="s">
        <v>144</v>
      </c>
      <c r="C11" s="12">
        <f>C10*[2]CALCULOS!$C$36</f>
        <v>34024.913933000003</v>
      </c>
      <c r="D11" s="12">
        <f>D10*[2]CALCULOS!$C$36</f>
        <v>28668.537199000002</v>
      </c>
      <c r="E11" s="144">
        <f>+C11-D11</f>
        <v>5356.3767340000013</v>
      </c>
      <c r="F11" s="27"/>
      <c r="G11" s="146"/>
      <c r="H11" s="147"/>
    </row>
    <row r="12" spans="2:10" x14ac:dyDescent="0.2">
      <c r="G12" s="3"/>
    </row>
    <row r="13" spans="2:10" x14ac:dyDescent="0.2">
      <c r="G13" s="3"/>
    </row>
    <row r="14" spans="2:10" x14ac:dyDescent="0.2">
      <c r="G14" s="3"/>
    </row>
    <row r="15" spans="2:10" x14ac:dyDescent="0.2">
      <c r="G15" s="3"/>
    </row>
    <row r="16" spans="2:10" x14ac:dyDescent="0.2">
      <c r="G16" s="3"/>
    </row>
    <row r="17" spans="2:9" x14ac:dyDescent="0.2">
      <c r="G17" s="3"/>
    </row>
    <row r="18" spans="2:9" x14ac:dyDescent="0.2">
      <c r="G18" s="3"/>
    </row>
    <row r="19" spans="2:9" x14ac:dyDescent="0.2">
      <c r="B19" s="39" t="s">
        <v>187</v>
      </c>
      <c r="G19" s="3"/>
    </row>
    <row r="20" spans="2:9" x14ac:dyDescent="0.2">
      <c r="B20" s="91" t="s">
        <v>5</v>
      </c>
      <c r="C20" s="140"/>
      <c r="D20" s="141"/>
      <c r="E20" s="141"/>
      <c r="F20" s="140"/>
    </row>
    <row r="21" spans="2:9" ht="13.5" thickBot="1" x14ac:dyDescent="0.25">
      <c r="G21" s="2"/>
    </row>
    <row r="22" spans="2:9" ht="13.5" thickBot="1" x14ac:dyDescent="0.25">
      <c r="B22" s="319" t="s">
        <v>85</v>
      </c>
      <c r="C22" s="329" t="s">
        <v>45</v>
      </c>
      <c r="D22" s="330"/>
      <c r="E22" s="92"/>
    </row>
    <row r="23" spans="2:9" ht="13.5" thickBot="1" x14ac:dyDescent="0.25">
      <c r="B23" s="320"/>
      <c r="C23" s="100">
        <v>2014</v>
      </c>
      <c r="D23" s="100">
        <v>2015</v>
      </c>
      <c r="E23" s="116"/>
      <c r="G23" s="2"/>
      <c r="H23" s="2"/>
      <c r="I23" s="2"/>
    </row>
    <row r="24" spans="2:9" x14ac:dyDescent="0.2">
      <c r="B24" s="138" t="s">
        <v>7</v>
      </c>
      <c r="C24" s="149">
        <f>+'GEO Acción 1'!F7+'GEO Acción 2'!C6+'GEO Acción 3'!C6</f>
        <v>10564282.800000001</v>
      </c>
      <c r="D24" s="149">
        <f>+'GEO Acción 1'!M7+'GEO Acción 2'!D6+'GEO Acción 3'!D6</f>
        <v>6832618.8300000001</v>
      </c>
      <c r="E24" s="111"/>
      <c r="F24" s="2"/>
      <c r="G24" s="2"/>
      <c r="H24" s="2"/>
      <c r="I24" s="2"/>
    </row>
    <row r="25" spans="2:9" x14ac:dyDescent="0.2">
      <c r="B25" s="105" t="s">
        <v>8</v>
      </c>
      <c r="C25" s="150">
        <f>+'GEO Acción 1'!F8+'GEO Acción 2'!C7+'GEO Acción 3'!C7</f>
        <v>12312844.029999999</v>
      </c>
      <c r="D25" s="150">
        <f>+'GEO Acción 1'!M8+'GEO Acción 2'!D7+'GEO Acción 3'!D7</f>
        <v>6242128.3499999996</v>
      </c>
      <c r="E25" s="111"/>
      <c r="F25" s="2"/>
      <c r="G25" s="2"/>
      <c r="H25" s="2"/>
      <c r="I25" s="2"/>
    </row>
    <row r="26" spans="2:9" x14ac:dyDescent="0.2">
      <c r="B26" s="105" t="s">
        <v>9</v>
      </c>
      <c r="C26" s="150">
        <f>+'GEO Acción 1'!F9+'GEO Acción 2'!C8+'GEO Acción 3'!C8</f>
        <v>14485052.479999999</v>
      </c>
      <c r="D26" s="150">
        <f>+'GEO Acción 1'!M9+'GEO Acción 2'!D8+'GEO Acción 3'!D8</f>
        <v>6282477.7999999998</v>
      </c>
      <c r="E26" s="111"/>
      <c r="F26" s="2"/>
      <c r="G26" s="2"/>
      <c r="H26" s="2"/>
      <c r="I26" s="2"/>
    </row>
    <row r="27" spans="2:9" x14ac:dyDescent="0.2">
      <c r="B27" s="105" t="s">
        <v>10</v>
      </c>
      <c r="C27" s="150">
        <f>+'GEO Acción 1'!F10+'GEO Acción 2'!C9+'GEO Acción 3'!C9</f>
        <v>10102334.299999999</v>
      </c>
      <c r="D27" s="150">
        <f>+'GEO Acción 1'!M10+'GEO Acción 2'!D9+'GEO Acción 3'!D9</f>
        <v>5911520.9000000004</v>
      </c>
      <c r="E27" s="111"/>
      <c r="F27" s="2"/>
      <c r="G27" s="2"/>
      <c r="H27" s="2"/>
      <c r="I27" s="2"/>
    </row>
    <row r="28" spans="2:9" x14ac:dyDescent="0.2">
      <c r="B28" s="105" t="s">
        <v>11</v>
      </c>
      <c r="C28" s="150">
        <f>+'GEO Acción 1'!F11+'GEO Acción 2'!C10+'GEO Acción 3'!C10</f>
        <v>7854470.6500000004</v>
      </c>
      <c r="D28" s="150">
        <f>+'GEO Acción 1'!M11+'GEO Acción 2'!D10+'GEO Acción 3'!D10</f>
        <v>6516741.7300000004</v>
      </c>
      <c r="E28" s="111"/>
      <c r="F28" s="2"/>
      <c r="G28" s="2"/>
      <c r="H28" s="2"/>
      <c r="I28" s="2"/>
    </row>
    <row r="29" spans="2:9" x14ac:dyDescent="0.2">
      <c r="B29" s="105" t="s">
        <v>12</v>
      </c>
      <c r="C29" s="150">
        <f>+'GEO Acción 1'!F12+'GEO Acción 2'!C11+'GEO Acción 3'!C11</f>
        <v>9674935.1500000004</v>
      </c>
      <c r="D29" s="150">
        <f>+'GEO Acción 1'!M12+'GEO Acción 2'!D11+'GEO Acción 3'!D11</f>
        <v>7021396.7999999998</v>
      </c>
      <c r="E29" s="111"/>
      <c r="F29" s="2"/>
      <c r="G29" s="2"/>
      <c r="H29" s="2"/>
      <c r="I29" s="2"/>
    </row>
    <row r="30" spans="2:9" x14ac:dyDescent="0.2">
      <c r="B30" s="105" t="s">
        <v>13</v>
      </c>
      <c r="C30" s="150">
        <f>+'GEO Acción 1'!F13+'GEO Acción 2'!C12+'GEO Acción 3'!C12</f>
        <v>10700897.450000001</v>
      </c>
      <c r="D30" s="150">
        <f>+'GEO Acción 1'!M13+'GEO Acción 2'!D12+'GEO Acción 3'!D12</f>
        <v>10224635.850000001</v>
      </c>
      <c r="E30" s="111"/>
      <c r="F30" s="2"/>
      <c r="G30" s="2"/>
      <c r="H30" s="2"/>
      <c r="I30" s="2"/>
    </row>
    <row r="31" spans="2:9" x14ac:dyDescent="0.2">
      <c r="B31" s="105" t="s">
        <v>14</v>
      </c>
      <c r="C31" s="150">
        <f>+'GEO Acción 1'!F14+'GEO Acción 2'!C13+'GEO Acción 3'!C13</f>
        <v>11566869.379999999</v>
      </c>
      <c r="D31" s="150">
        <f>+'GEO Acción 1'!M14+'GEO Acción 2'!D13+'GEO Acción 3'!D13</f>
        <v>12302122.949999999</v>
      </c>
      <c r="E31" s="111"/>
      <c r="F31" s="2"/>
      <c r="G31" s="2"/>
      <c r="H31" s="2"/>
      <c r="I31" s="2"/>
    </row>
    <row r="32" spans="2:9" x14ac:dyDescent="0.2">
      <c r="B32" s="105" t="s">
        <v>15</v>
      </c>
      <c r="C32" s="150">
        <f>+'GEO Acción 1'!F15+'GEO Acción 2'!C14+'GEO Acción 3'!C14</f>
        <v>13015963.149999999</v>
      </c>
      <c r="D32" s="150">
        <f>+'GEO Acción 1'!M15+'GEO Acción 2'!D14+'GEO Acción 3'!D14</f>
        <v>13968274.75</v>
      </c>
      <c r="E32" s="111"/>
      <c r="F32" s="2"/>
      <c r="G32" s="2"/>
      <c r="H32" s="2"/>
      <c r="I32" s="2"/>
    </row>
    <row r="33" spans="2:13" x14ac:dyDescent="0.2">
      <c r="B33" s="105" t="s">
        <v>16</v>
      </c>
      <c r="C33" s="150">
        <f>+'GEO Acción 1'!F16+'GEO Acción 2'!C15+'GEO Acción 3'!C15</f>
        <v>9115534.0999999996</v>
      </c>
      <c r="D33" s="150">
        <f>+'GEO Acción 1'!M16+'GEO Acción 2'!D15+'GEO Acción 3'!D15</f>
        <v>8166456.9799999995</v>
      </c>
      <c r="E33" s="111"/>
      <c r="F33" s="2"/>
      <c r="G33" s="2"/>
      <c r="H33" s="2"/>
      <c r="I33" s="2"/>
    </row>
    <row r="34" spans="2:13" x14ac:dyDescent="0.2">
      <c r="B34" s="105" t="s">
        <v>17</v>
      </c>
      <c r="C34" s="150">
        <f>+'GEO Acción 1'!F17+'GEO Acción 2'!C16+'GEO Acción 3'!C16</f>
        <v>7088476</v>
      </c>
      <c r="D34" s="150">
        <f>+'GEO Acción 1'!M17+'GEO Acción 2'!D16+'GEO Acción 3'!D16</f>
        <v>6995488.6000000006</v>
      </c>
      <c r="E34" s="111"/>
      <c r="F34" s="2"/>
      <c r="G34" s="2"/>
      <c r="H34" s="2"/>
      <c r="I34" s="2"/>
    </row>
    <row r="35" spans="2:13" x14ac:dyDescent="0.2">
      <c r="B35" s="105" t="s">
        <v>18</v>
      </c>
      <c r="C35" s="150">
        <f>+'GEO Acción 1'!F18+'GEO Acción 2'!C17+'GEO Acción 3'!C17</f>
        <v>7578677.0499999998</v>
      </c>
      <c r="D35" s="150">
        <f>+'GEO Acción 1'!M18+'GEO Acción 2'!D17+'GEO Acción 3'!D17</f>
        <v>5342067.7799999993</v>
      </c>
      <c r="E35" s="111"/>
    </row>
    <row r="36" spans="2:13" ht="13.5" thickBot="1" x14ac:dyDescent="0.25">
      <c r="B36" s="148" t="s">
        <v>6</v>
      </c>
      <c r="C36" s="151">
        <f>SUM(C24:C35)</f>
        <v>124060336.53999998</v>
      </c>
      <c r="D36" s="151">
        <f>SUM(D24:D35)</f>
        <v>95805931.320000008</v>
      </c>
    </row>
    <row r="38" spans="2:13" x14ac:dyDescent="0.2">
      <c r="C38" s="111"/>
    </row>
    <row r="39" spans="2:13" x14ac:dyDescent="0.2">
      <c r="B39" s="39" t="s">
        <v>165</v>
      </c>
      <c r="C39" s="1"/>
    </row>
    <row r="40" spans="2:13" x14ac:dyDescent="0.2">
      <c r="B40" s="91" t="s">
        <v>5</v>
      </c>
      <c r="C40" s="139"/>
    </row>
    <row r="41" spans="2:13" ht="13.5" thickBot="1" x14ac:dyDescent="0.25">
      <c r="B41"/>
      <c r="C41"/>
      <c r="D41"/>
      <c r="E41"/>
      <c r="F41"/>
      <c r="G41"/>
      <c r="H41"/>
      <c r="I41"/>
      <c r="J41"/>
      <c r="K41"/>
      <c r="L41"/>
      <c r="M41"/>
    </row>
    <row r="42" spans="2:13" ht="13.5" thickBot="1" x14ac:dyDescent="0.25">
      <c r="B42" s="319" t="s">
        <v>85</v>
      </c>
      <c r="C42" s="329" t="s">
        <v>45</v>
      </c>
      <c r="D42" s="330"/>
      <c r="E42"/>
      <c r="F42"/>
      <c r="G42"/>
      <c r="H42"/>
      <c r="I42"/>
      <c r="J42"/>
      <c r="K42"/>
      <c r="L42"/>
      <c r="M42"/>
    </row>
    <row r="43" spans="2:13" ht="13.5" thickBot="1" x14ac:dyDescent="0.25">
      <c r="B43" s="320"/>
      <c r="C43" s="100">
        <v>2014</v>
      </c>
      <c r="D43" s="100">
        <v>2015</v>
      </c>
      <c r="E43"/>
      <c r="F43"/>
      <c r="G43"/>
      <c r="H43"/>
      <c r="I43"/>
      <c r="J43"/>
      <c r="K43"/>
      <c r="L43"/>
      <c r="M43"/>
    </row>
    <row r="44" spans="2:13" x14ac:dyDescent="0.2">
      <c r="B44" s="14" t="s">
        <v>7</v>
      </c>
      <c r="C44" s="11">
        <v>14722544.859999999</v>
      </c>
      <c r="D44" s="272">
        <v>10623570.390000002</v>
      </c>
      <c r="E44"/>
      <c r="F44"/>
      <c r="G44"/>
      <c r="H44"/>
      <c r="I44"/>
      <c r="J44"/>
      <c r="K44"/>
      <c r="L44"/>
      <c r="M44"/>
    </row>
    <row r="45" spans="2:13" x14ac:dyDescent="0.2">
      <c r="B45" s="14" t="s">
        <v>8</v>
      </c>
      <c r="C45" s="11">
        <v>15798000.939999998</v>
      </c>
      <c r="D45" s="272">
        <v>9855516.7000000011</v>
      </c>
      <c r="E45"/>
      <c r="F45"/>
      <c r="G45"/>
      <c r="H45"/>
      <c r="I45"/>
      <c r="J45"/>
      <c r="K45"/>
      <c r="L45"/>
      <c r="M45"/>
    </row>
    <row r="46" spans="2:13" x14ac:dyDescent="0.2">
      <c r="B46" s="14" t="s">
        <v>9</v>
      </c>
      <c r="C46" s="11">
        <v>18506888.52</v>
      </c>
      <c r="D46" s="272">
        <v>10357531.960000001</v>
      </c>
      <c r="E46"/>
      <c r="F46"/>
      <c r="G46"/>
      <c r="H46"/>
      <c r="I46"/>
      <c r="J46"/>
      <c r="K46"/>
      <c r="L46"/>
      <c r="M46"/>
    </row>
    <row r="47" spans="2:13" x14ac:dyDescent="0.2">
      <c r="B47" s="14" t="s">
        <v>10</v>
      </c>
      <c r="C47" s="11">
        <v>13571809.390000001</v>
      </c>
      <c r="D47" s="272">
        <v>9820393.4899999984</v>
      </c>
      <c r="E47"/>
      <c r="F47"/>
      <c r="G47"/>
      <c r="H47"/>
      <c r="I47"/>
      <c r="J47"/>
      <c r="K47"/>
      <c r="L47"/>
      <c r="M47"/>
    </row>
    <row r="48" spans="2:13" x14ac:dyDescent="0.2">
      <c r="B48" s="14" t="s">
        <v>11</v>
      </c>
      <c r="C48" s="11">
        <v>12041365.34</v>
      </c>
      <c r="D48" s="272">
        <v>10276170.969999999</v>
      </c>
      <c r="E48"/>
      <c r="F48"/>
      <c r="G48"/>
      <c r="H48"/>
      <c r="I48"/>
      <c r="J48"/>
      <c r="K48"/>
      <c r="L48"/>
      <c r="M48"/>
    </row>
    <row r="49" spans="2:13" x14ac:dyDescent="0.2">
      <c r="B49" s="14" t="s">
        <v>12</v>
      </c>
      <c r="C49" s="11">
        <v>13601340.299999997</v>
      </c>
      <c r="D49" s="272">
        <v>10873758.460000003</v>
      </c>
      <c r="E49"/>
      <c r="F49"/>
      <c r="G49"/>
      <c r="H49"/>
      <c r="I49"/>
      <c r="J49"/>
      <c r="K49"/>
      <c r="L49"/>
      <c r="M49"/>
    </row>
    <row r="50" spans="2:13" x14ac:dyDescent="0.2">
      <c r="B50" s="14" t="s">
        <v>13</v>
      </c>
      <c r="C50" s="11">
        <v>14653178.520000001</v>
      </c>
      <c r="D50" s="272">
        <v>14355224.119999999</v>
      </c>
      <c r="E50"/>
      <c r="F50"/>
      <c r="G50"/>
      <c r="H50"/>
      <c r="I50"/>
      <c r="J50"/>
      <c r="K50"/>
      <c r="L50"/>
      <c r="M50"/>
    </row>
    <row r="51" spans="2:13" x14ac:dyDescent="0.2">
      <c r="B51" s="14" t="s">
        <v>14</v>
      </c>
      <c r="C51" s="11">
        <v>15269654.479999999</v>
      </c>
      <c r="D51" s="272">
        <v>16310063.959999999</v>
      </c>
      <c r="E51"/>
      <c r="F51"/>
      <c r="G51"/>
      <c r="H51"/>
      <c r="I51"/>
      <c r="J51"/>
      <c r="K51"/>
      <c r="L51"/>
      <c r="M51"/>
    </row>
    <row r="52" spans="2:13" x14ac:dyDescent="0.2">
      <c r="B52" s="14" t="s">
        <v>15</v>
      </c>
      <c r="C52" s="11">
        <v>16924548.120000005</v>
      </c>
      <c r="D52" s="272">
        <v>17696067</v>
      </c>
      <c r="E52"/>
      <c r="F52"/>
      <c r="G52"/>
      <c r="H52"/>
      <c r="I52"/>
      <c r="J52"/>
      <c r="K52"/>
      <c r="L52"/>
      <c r="M52"/>
    </row>
    <row r="53" spans="2:13" x14ac:dyDescent="0.2">
      <c r="B53" s="14" t="s">
        <v>16</v>
      </c>
      <c r="C53" s="11">
        <v>13209404.630000001</v>
      </c>
      <c r="D53" s="272">
        <v>12346511.220000003</v>
      </c>
      <c r="E53"/>
      <c r="F53"/>
      <c r="G53"/>
      <c r="H53"/>
      <c r="I53"/>
      <c r="J53"/>
      <c r="K53"/>
      <c r="L53"/>
      <c r="M53"/>
    </row>
    <row r="54" spans="2:13" x14ac:dyDescent="0.2">
      <c r="B54" s="14" t="s">
        <v>17</v>
      </c>
      <c r="C54" s="11">
        <v>11059831.899999999</v>
      </c>
      <c r="D54" s="272">
        <v>12094069.85</v>
      </c>
      <c r="E54"/>
      <c r="F54"/>
      <c r="G54"/>
      <c r="H54"/>
      <c r="I54"/>
      <c r="J54"/>
      <c r="K54"/>
      <c r="L54"/>
      <c r="M54"/>
    </row>
    <row r="55" spans="2:13" x14ac:dyDescent="0.2">
      <c r="B55" s="14" t="s">
        <v>18</v>
      </c>
      <c r="C55" s="11">
        <v>11620900</v>
      </c>
      <c r="D55" s="272">
        <v>9454122.8299999982</v>
      </c>
      <c r="E55"/>
      <c r="F55"/>
      <c r="G55"/>
      <c r="H55"/>
      <c r="I55"/>
      <c r="J55"/>
      <c r="K55"/>
      <c r="L55"/>
      <c r="M55"/>
    </row>
    <row r="56" spans="2:13" ht="13.5" thickBot="1" x14ac:dyDescent="0.25">
      <c r="B56" s="15" t="s">
        <v>45</v>
      </c>
      <c r="C56" s="12">
        <f>SUM(C44:C55)</f>
        <v>170979467</v>
      </c>
      <c r="D56" s="17">
        <f>SUM(D44:D55)</f>
        <v>144063000.94999999</v>
      </c>
      <c r="E56"/>
      <c r="F56"/>
      <c r="G56"/>
      <c r="H56"/>
      <c r="I56"/>
      <c r="J56"/>
      <c r="K56"/>
      <c r="L56"/>
      <c r="M56"/>
    </row>
    <row r="57" spans="2:13" x14ac:dyDescent="0.2">
      <c r="B57"/>
      <c r="C57"/>
      <c r="D57"/>
      <c r="E57"/>
      <c r="F57"/>
      <c r="G57"/>
      <c r="H57"/>
      <c r="I57"/>
      <c r="J57"/>
      <c r="K57"/>
      <c r="L57"/>
      <c r="M57"/>
    </row>
    <row r="58" spans="2:13" x14ac:dyDescent="0.2">
      <c r="B58"/>
      <c r="C58"/>
      <c r="D58"/>
      <c r="E58"/>
      <c r="F58"/>
      <c r="G58"/>
      <c r="H58"/>
      <c r="I58"/>
      <c r="J58"/>
      <c r="K58"/>
      <c r="L58"/>
      <c r="M58"/>
    </row>
    <row r="59" spans="2:13" x14ac:dyDescent="0.2">
      <c r="B59"/>
      <c r="C59"/>
      <c r="D59"/>
      <c r="E59"/>
      <c r="F59"/>
      <c r="G59"/>
      <c r="H59"/>
      <c r="I59"/>
      <c r="J59"/>
      <c r="K59"/>
      <c r="L59"/>
      <c r="M59"/>
    </row>
    <row r="60" spans="2:13" x14ac:dyDescent="0.2">
      <c r="B60"/>
      <c r="C60"/>
      <c r="D60"/>
      <c r="E60"/>
      <c r="F60"/>
      <c r="G60"/>
      <c r="H60"/>
      <c r="I60"/>
      <c r="J60"/>
      <c r="K60"/>
      <c r="L60"/>
      <c r="M60"/>
    </row>
    <row r="61" spans="2:13" x14ac:dyDescent="0.2">
      <c r="B61"/>
      <c r="C61"/>
      <c r="D61"/>
      <c r="E61"/>
      <c r="F61"/>
      <c r="G61"/>
      <c r="H61"/>
      <c r="I61"/>
      <c r="J61"/>
      <c r="K61"/>
      <c r="L61"/>
      <c r="M61"/>
    </row>
  </sheetData>
  <sheetProtection password="DE72" sheet="1" objects="1" scenarios="1"/>
  <mergeCells count="4">
    <mergeCell ref="C22:D22"/>
    <mergeCell ref="B22:B23"/>
    <mergeCell ref="B42:B43"/>
    <mergeCell ref="C42:D4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75"/>
  <sheetViews>
    <sheetView topLeftCell="A2" workbookViewId="0">
      <selection activeCell="T57" sqref="T57"/>
    </sheetView>
  </sheetViews>
  <sheetFormatPr baseColWidth="10" defaultRowHeight="12.75" x14ac:dyDescent="0.2"/>
  <cols>
    <col min="1" max="1" width="3.7109375" customWidth="1"/>
    <col min="2" max="2" width="35.140625" customWidth="1"/>
    <col min="3" max="3" width="9.140625" style="56" customWidth="1"/>
    <col min="4" max="4" width="8.85546875" bestFit="1" customWidth="1"/>
    <col min="5" max="5" width="14.7109375" bestFit="1" customWidth="1"/>
    <col min="6" max="6" width="10" customWidth="1"/>
    <col min="7" max="7" width="8.7109375" bestFit="1" customWidth="1"/>
    <col min="8" max="8" width="14.7109375" bestFit="1" customWidth="1"/>
    <col min="9" max="9" width="8.7109375" bestFit="1" customWidth="1"/>
    <col min="10" max="10" width="8.5703125" bestFit="1" customWidth="1"/>
    <col min="11" max="11" width="8.7109375" bestFit="1" customWidth="1"/>
    <col min="12" max="12" width="8.5703125" bestFit="1" customWidth="1"/>
    <col min="13" max="13" width="8.7109375" bestFit="1" customWidth="1"/>
    <col min="14" max="14" width="8.5703125" bestFit="1" customWidth="1"/>
    <col min="15" max="15" width="8.7109375" bestFit="1" customWidth="1"/>
    <col min="16" max="16" width="8.5703125" customWidth="1"/>
    <col min="17" max="17" width="8.7109375" bestFit="1" customWidth="1"/>
    <col min="18" max="18" width="8.5703125" customWidth="1"/>
    <col min="19" max="19" width="8.7109375" bestFit="1" customWidth="1"/>
    <col min="20" max="21" width="9" customWidth="1"/>
    <col min="22" max="22" width="9.85546875" customWidth="1"/>
    <col min="23" max="23" width="10.5703125" bestFit="1" customWidth="1"/>
    <col min="24" max="24" width="3.7109375" customWidth="1"/>
  </cols>
  <sheetData>
    <row r="2" spans="2:24" x14ac:dyDescent="0.2">
      <c r="B2" s="39" t="s">
        <v>126</v>
      </c>
    </row>
    <row r="3" spans="2:24" ht="13.5" thickBot="1" x14ac:dyDescent="0.25"/>
    <row r="4" spans="2:24" s="63" customFormat="1" ht="13.5" customHeight="1" thickBot="1" x14ac:dyDescent="0.25">
      <c r="B4" s="154">
        <v>2014</v>
      </c>
      <c r="C4" s="327" t="s">
        <v>47</v>
      </c>
      <c r="D4" s="327" t="s">
        <v>110</v>
      </c>
      <c r="E4" s="331" t="s">
        <v>106</v>
      </c>
      <c r="F4" s="332"/>
      <c r="G4" s="331" t="s">
        <v>55</v>
      </c>
      <c r="H4" s="332"/>
      <c r="I4" s="331" t="s">
        <v>56</v>
      </c>
      <c r="J4" s="332"/>
      <c r="K4" s="331" t="s">
        <v>57</v>
      </c>
      <c r="L4" s="332"/>
      <c r="M4" s="331" t="s">
        <v>58</v>
      </c>
      <c r="N4" s="332"/>
      <c r="O4" s="331" t="s">
        <v>59</v>
      </c>
      <c r="P4" s="332"/>
      <c r="Q4" s="331" t="s">
        <v>60</v>
      </c>
      <c r="R4" s="332"/>
      <c r="S4" s="331" t="s">
        <v>61</v>
      </c>
      <c r="T4" s="332"/>
      <c r="U4" s="327" t="s">
        <v>124</v>
      </c>
      <c r="V4" s="327" t="s">
        <v>143</v>
      </c>
      <c r="W4" s="327" t="s">
        <v>101</v>
      </c>
    </row>
    <row r="5" spans="2:24" s="63" customFormat="1" ht="26.25" thickBot="1" x14ac:dyDescent="0.25">
      <c r="B5" s="154" t="s">
        <v>100</v>
      </c>
      <c r="C5" s="328"/>
      <c r="D5" s="328"/>
      <c r="E5" s="154" t="s">
        <v>64</v>
      </c>
      <c r="F5" s="154" t="s">
        <v>96</v>
      </c>
      <c r="G5" s="154" t="s">
        <v>64</v>
      </c>
      <c r="H5" s="154" t="s">
        <v>96</v>
      </c>
      <c r="I5" s="154" t="s">
        <v>64</v>
      </c>
      <c r="J5" s="154" t="s">
        <v>96</v>
      </c>
      <c r="K5" s="154" t="s">
        <v>64</v>
      </c>
      <c r="L5" s="154" t="s">
        <v>96</v>
      </c>
      <c r="M5" s="154" t="s">
        <v>64</v>
      </c>
      <c r="N5" s="154" t="s">
        <v>96</v>
      </c>
      <c r="O5" s="154" t="s">
        <v>64</v>
      </c>
      <c r="P5" s="154" t="s">
        <v>96</v>
      </c>
      <c r="Q5" s="154" t="s">
        <v>64</v>
      </c>
      <c r="R5" s="154" t="s">
        <v>96</v>
      </c>
      <c r="S5" s="154" t="s">
        <v>64</v>
      </c>
      <c r="T5" s="154" t="s">
        <v>96</v>
      </c>
      <c r="U5" s="340"/>
      <c r="V5" s="328"/>
      <c r="W5" s="328"/>
      <c r="X5" s="62"/>
    </row>
    <row r="6" spans="2:24" x14ac:dyDescent="0.2">
      <c r="B6" s="30" t="s">
        <v>49</v>
      </c>
      <c r="C6" s="189" t="s">
        <v>50</v>
      </c>
      <c r="D6" s="64">
        <v>17</v>
      </c>
      <c r="E6" s="64">
        <f>94+12</f>
        <v>106</v>
      </c>
      <c r="F6" s="64">
        <f>D6*E6</f>
        <v>1802</v>
      </c>
      <c r="G6" s="64">
        <v>602</v>
      </c>
      <c r="H6" s="64">
        <f t="shared" ref="H6:H24" si="0">+G6*D6</f>
        <v>10234</v>
      </c>
      <c r="I6" s="64">
        <v>791</v>
      </c>
      <c r="J6" s="64">
        <f>$D6*I6</f>
        <v>13447</v>
      </c>
      <c r="K6" s="64">
        <v>833</v>
      </c>
      <c r="L6" s="64">
        <f>$D6*K6</f>
        <v>14161</v>
      </c>
      <c r="M6" s="64">
        <v>691</v>
      </c>
      <c r="N6" s="64">
        <f>$D6*M6</f>
        <v>11747</v>
      </c>
      <c r="O6" s="64">
        <v>694</v>
      </c>
      <c r="P6" s="64">
        <f>$D6*O6</f>
        <v>11798</v>
      </c>
      <c r="Q6" s="64">
        <v>28</v>
      </c>
      <c r="R6" s="64">
        <f>$D6*Q6</f>
        <v>476</v>
      </c>
      <c r="S6" s="64">
        <v>534</v>
      </c>
      <c r="T6" s="173">
        <f>$D6*S6</f>
        <v>9078</v>
      </c>
      <c r="U6" s="64">
        <f>E6+G6+I6+K6+M6+O6+Q6+S6</f>
        <v>4279</v>
      </c>
      <c r="V6" s="176">
        <f>F6+H6+J6+L6+N6+P6+R6+T6</f>
        <v>72743</v>
      </c>
      <c r="W6" s="46">
        <f>V6*12*20/1000</f>
        <v>17458.32</v>
      </c>
      <c r="X6" s="34"/>
    </row>
    <row r="7" spans="2:24" x14ac:dyDescent="0.2">
      <c r="B7" s="33" t="s">
        <v>49</v>
      </c>
      <c r="C7" s="191" t="s">
        <v>50</v>
      </c>
      <c r="D7" s="65">
        <v>32</v>
      </c>
      <c r="E7" s="65">
        <v>105</v>
      </c>
      <c r="F7" s="65">
        <f t="shared" ref="F7:F24" si="1">D7*E7</f>
        <v>3360</v>
      </c>
      <c r="G7" s="65">
        <v>10</v>
      </c>
      <c r="H7" s="65">
        <f t="shared" si="0"/>
        <v>320</v>
      </c>
      <c r="I7" s="65">
        <v>0</v>
      </c>
      <c r="J7" s="65">
        <f t="shared" ref="J7:J24" si="2">$D7*I7</f>
        <v>0</v>
      </c>
      <c r="K7" s="65">
        <v>0</v>
      </c>
      <c r="L7" s="65">
        <f t="shared" ref="L7:L24" si="3">$D7*K7</f>
        <v>0</v>
      </c>
      <c r="M7" s="65">
        <v>0</v>
      </c>
      <c r="N7" s="65">
        <f t="shared" ref="N7:N24" si="4">$D7*M7</f>
        <v>0</v>
      </c>
      <c r="O7" s="65">
        <v>0</v>
      </c>
      <c r="P7" s="65">
        <f t="shared" ref="P7:P24" si="5">$D7*O7</f>
        <v>0</v>
      </c>
      <c r="Q7" s="65">
        <v>0</v>
      </c>
      <c r="R7" s="65">
        <f t="shared" ref="R7:R24" si="6">$D7*Q7</f>
        <v>0</v>
      </c>
      <c r="S7" s="65">
        <v>17</v>
      </c>
      <c r="T7" s="174">
        <f t="shared" ref="T7:T24" si="7">$D7*S7</f>
        <v>544</v>
      </c>
      <c r="U7" s="65">
        <f t="shared" ref="U7:U24" si="8">E7+G7+I7+K7+M7+O7+Q7+S7</f>
        <v>132</v>
      </c>
      <c r="V7" s="177">
        <f t="shared" ref="V7:V24" si="9">F7+H7+J7+L7+N7+P7+R7+T7</f>
        <v>4224</v>
      </c>
      <c r="W7" s="47">
        <f t="shared" ref="W7:W24" si="10">V7*12*20/1000</f>
        <v>1013.76</v>
      </c>
      <c r="X7" s="34"/>
    </row>
    <row r="8" spans="2:24" x14ac:dyDescent="0.2">
      <c r="B8" s="33" t="s">
        <v>86</v>
      </c>
      <c r="C8" s="191" t="s">
        <v>87</v>
      </c>
      <c r="D8" s="65">
        <v>39</v>
      </c>
      <c r="E8" s="65">
        <v>300</v>
      </c>
      <c r="F8" s="65">
        <f t="shared" si="1"/>
        <v>11700</v>
      </c>
      <c r="G8" s="65">
        <v>0</v>
      </c>
      <c r="H8" s="65">
        <f t="shared" si="0"/>
        <v>0</v>
      </c>
      <c r="I8" s="65">
        <v>0</v>
      </c>
      <c r="J8" s="65">
        <f t="shared" si="2"/>
        <v>0</v>
      </c>
      <c r="K8" s="65">
        <v>0</v>
      </c>
      <c r="L8" s="65">
        <f t="shared" si="3"/>
        <v>0</v>
      </c>
      <c r="M8" s="65">
        <v>0</v>
      </c>
      <c r="N8" s="65">
        <f t="shared" si="4"/>
        <v>0</v>
      </c>
      <c r="O8" s="65">
        <v>0</v>
      </c>
      <c r="P8" s="65">
        <f t="shared" si="5"/>
        <v>0</v>
      </c>
      <c r="Q8" s="65">
        <v>0</v>
      </c>
      <c r="R8" s="65">
        <f t="shared" si="6"/>
        <v>0</v>
      </c>
      <c r="S8" s="65">
        <v>0</v>
      </c>
      <c r="T8" s="174">
        <f t="shared" si="7"/>
        <v>0</v>
      </c>
      <c r="U8" s="65">
        <f t="shared" si="8"/>
        <v>300</v>
      </c>
      <c r="V8" s="177">
        <f t="shared" si="9"/>
        <v>11700</v>
      </c>
      <c r="W8" s="47">
        <f t="shared" si="10"/>
        <v>2808</v>
      </c>
      <c r="X8" s="34"/>
    </row>
    <row r="9" spans="2:24" x14ac:dyDescent="0.2">
      <c r="B9" s="33" t="s">
        <v>86</v>
      </c>
      <c r="C9" s="191" t="s">
        <v>87</v>
      </c>
      <c r="D9" s="65">
        <v>40</v>
      </c>
      <c r="E9" s="65">
        <v>96</v>
      </c>
      <c r="F9" s="65">
        <f t="shared" si="1"/>
        <v>3840</v>
      </c>
      <c r="G9" s="65">
        <v>0</v>
      </c>
      <c r="H9" s="65">
        <f t="shared" si="0"/>
        <v>0</v>
      </c>
      <c r="I9" s="65">
        <v>0</v>
      </c>
      <c r="J9" s="65">
        <f t="shared" si="2"/>
        <v>0</v>
      </c>
      <c r="K9" s="65">
        <v>0</v>
      </c>
      <c r="L9" s="65">
        <f t="shared" si="3"/>
        <v>0</v>
      </c>
      <c r="M9" s="65">
        <v>0</v>
      </c>
      <c r="N9" s="65">
        <f t="shared" si="4"/>
        <v>0</v>
      </c>
      <c r="O9" s="65">
        <v>0</v>
      </c>
      <c r="P9" s="65">
        <f t="shared" si="5"/>
        <v>0</v>
      </c>
      <c r="Q9" s="65">
        <v>0</v>
      </c>
      <c r="R9" s="65">
        <f t="shared" si="6"/>
        <v>0</v>
      </c>
      <c r="S9" s="65">
        <v>0</v>
      </c>
      <c r="T9" s="174">
        <f t="shared" si="7"/>
        <v>0</v>
      </c>
      <c r="U9" s="65">
        <f t="shared" si="8"/>
        <v>96</v>
      </c>
      <c r="V9" s="177">
        <f t="shared" si="9"/>
        <v>3840</v>
      </c>
      <c r="W9" s="47">
        <f t="shared" si="10"/>
        <v>921.6</v>
      </c>
      <c r="X9" s="34"/>
    </row>
    <row r="10" spans="2:24" x14ac:dyDescent="0.2">
      <c r="B10" s="33" t="s">
        <v>86</v>
      </c>
      <c r="C10" s="191" t="s">
        <v>87</v>
      </c>
      <c r="D10" s="65">
        <v>48</v>
      </c>
      <c r="E10" s="65">
        <v>240</v>
      </c>
      <c r="F10" s="65">
        <f t="shared" si="1"/>
        <v>11520</v>
      </c>
      <c r="G10" s="65">
        <v>0</v>
      </c>
      <c r="H10" s="65">
        <f t="shared" si="0"/>
        <v>0</v>
      </c>
      <c r="I10" s="65">
        <v>0</v>
      </c>
      <c r="J10" s="65">
        <f t="shared" si="2"/>
        <v>0</v>
      </c>
      <c r="K10" s="65">
        <v>0</v>
      </c>
      <c r="L10" s="65">
        <f t="shared" si="3"/>
        <v>0</v>
      </c>
      <c r="M10" s="65">
        <v>0</v>
      </c>
      <c r="N10" s="65">
        <f t="shared" si="4"/>
        <v>0</v>
      </c>
      <c r="O10" s="65">
        <v>0</v>
      </c>
      <c r="P10" s="65">
        <f t="shared" si="5"/>
        <v>0</v>
      </c>
      <c r="Q10" s="65">
        <v>0</v>
      </c>
      <c r="R10" s="65">
        <f t="shared" si="6"/>
        <v>0</v>
      </c>
      <c r="S10" s="65">
        <v>0</v>
      </c>
      <c r="T10" s="174">
        <f t="shared" si="7"/>
        <v>0</v>
      </c>
      <c r="U10" s="65">
        <f t="shared" si="8"/>
        <v>240</v>
      </c>
      <c r="V10" s="177">
        <f t="shared" si="9"/>
        <v>11520</v>
      </c>
      <c r="W10" s="47">
        <f t="shared" si="10"/>
        <v>2764.8</v>
      </c>
      <c r="X10" s="34"/>
    </row>
    <row r="11" spans="2:24" x14ac:dyDescent="0.2">
      <c r="B11" s="33" t="s">
        <v>86</v>
      </c>
      <c r="C11" s="191" t="s">
        <v>87</v>
      </c>
      <c r="D11" s="65">
        <v>75</v>
      </c>
      <c r="E11" s="65">
        <v>156</v>
      </c>
      <c r="F11" s="65">
        <f t="shared" si="1"/>
        <v>11700</v>
      </c>
      <c r="G11" s="65">
        <v>0</v>
      </c>
      <c r="H11" s="65">
        <f t="shared" si="0"/>
        <v>0</v>
      </c>
      <c r="I11" s="65">
        <v>0</v>
      </c>
      <c r="J11" s="65">
        <f t="shared" si="2"/>
        <v>0</v>
      </c>
      <c r="K11" s="65">
        <v>0</v>
      </c>
      <c r="L11" s="65">
        <f t="shared" si="3"/>
        <v>0</v>
      </c>
      <c r="M11" s="65">
        <v>0</v>
      </c>
      <c r="N11" s="65">
        <f t="shared" si="4"/>
        <v>0</v>
      </c>
      <c r="O11" s="65">
        <v>0</v>
      </c>
      <c r="P11" s="65">
        <f t="shared" si="5"/>
        <v>0</v>
      </c>
      <c r="Q11" s="65">
        <v>0</v>
      </c>
      <c r="R11" s="65">
        <f t="shared" si="6"/>
        <v>0</v>
      </c>
      <c r="S11" s="65">
        <v>0</v>
      </c>
      <c r="T11" s="174">
        <f t="shared" si="7"/>
        <v>0</v>
      </c>
      <c r="U11" s="65">
        <f t="shared" si="8"/>
        <v>156</v>
      </c>
      <c r="V11" s="177">
        <f t="shared" si="9"/>
        <v>11700</v>
      </c>
      <c r="W11" s="47">
        <f t="shared" si="10"/>
        <v>2808</v>
      </c>
      <c r="X11" s="34"/>
    </row>
    <row r="12" spans="2:24" x14ac:dyDescent="0.2">
      <c r="B12" s="33" t="s">
        <v>51</v>
      </c>
      <c r="C12" s="191" t="s">
        <v>52</v>
      </c>
      <c r="D12" s="65">
        <v>20</v>
      </c>
      <c r="E12" s="65"/>
      <c r="F12" s="65">
        <f t="shared" si="1"/>
        <v>0</v>
      </c>
      <c r="G12" s="65">
        <v>20</v>
      </c>
      <c r="H12" s="65">
        <f t="shared" si="0"/>
        <v>400</v>
      </c>
      <c r="I12" s="65">
        <v>105</v>
      </c>
      <c r="J12" s="65">
        <f t="shared" si="2"/>
        <v>2100</v>
      </c>
      <c r="K12" s="65">
        <v>52</v>
      </c>
      <c r="L12" s="65">
        <f t="shared" si="3"/>
        <v>1040</v>
      </c>
      <c r="M12" s="65">
        <v>110</v>
      </c>
      <c r="N12" s="65">
        <f t="shared" si="4"/>
        <v>2200</v>
      </c>
      <c r="O12" s="65">
        <v>37</v>
      </c>
      <c r="P12" s="65">
        <f t="shared" si="5"/>
        <v>740</v>
      </c>
      <c r="Q12" s="65">
        <v>0</v>
      </c>
      <c r="R12" s="65">
        <f t="shared" si="6"/>
        <v>0</v>
      </c>
      <c r="S12" s="65">
        <v>0</v>
      </c>
      <c r="T12" s="174">
        <f t="shared" si="7"/>
        <v>0</v>
      </c>
      <c r="U12" s="65">
        <f t="shared" si="8"/>
        <v>324</v>
      </c>
      <c r="V12" s="177">
        <f t="shared" si="9"/>
        <v>6480</v>
      </c>
      <c r="W12" s="47">
        <f t="shared" si="10"/>
        <v>1555.2</v>
      </c>
      <c r="X12" s="34"/>
    </row>
    <row r="13" spans="2:24" x14ac:dyDescent="0.2">
      <c r="B13" s="33" t="s">
        <v>51</v>
      </c>
      <c r="C13" s="191" t="s">
        <v>52</v>
      </c>
      <c r="D13" s="65">
        <v>18</v>
      </c>
      <c r="E13" s="65"/>
      <c r="F13" s="65">
        <f t="shared" si="1"/>
        <v>0</v>
      </c>
      <c r="G13" s="65">
        <v>56</v>
      </c>
      <c r="H13" s="65">
        <f t="shared" si="0"/>
        <v>1008</v>
      </c>
      <c r="I13" s="65">
        <v>0</v>
      </c>
      <c r="J13" s="65">
        <f t="shared" si="2"/>
        <v>0</v>
      </c>
      <c r="K13" s="65">
        <v>0</v>
      </c>
      <c r="L13" s="65">
        <f t="shared" si="3"/>
        <v>0</v>
      </c>
      <c r="M13" s="65">
        <v>0</v>
      </c>
      <c r="N13" s="65">
        <f t="shared" si="4"/>
        <v>0</v>
      </c>
      <c r="O13" s="65">
        <v>0</v>
      </c>
      <c r="P13" s="65">
        <f t="shared" si="5"/>
        <v>0</v>
      </c>
      <c r="Q13" s="65">
        <v>0</v>
      </c>
      <c r="R13" s="65">
        <f t="shared" si="6"/>
        <v>0</v>
      </c>
      <c r="S13" s="65">
        <v>0</v>
      </c>
      <c r="T13" s="174">
        <f t="shared" si="7"/>
        <v>0</v>
      </c>
      <c r="U13" s="65">
        <f t="shared" si="8"/>
        <v>56</v>
      </c>
      <c r="V13" s="177">
        <f t="shared" si="9"/>
        <v>1008</v>
      </c>
      <c r="W13" s="47">
        <f t="shared" si="10"/>
        <v>241.92</v>
      </c>
      <c r="X13" s="34"/>
    </row>
    <row r="14" spans="2:24" x14ac:dyDescent="0.2">
      <c r="B14" s="33" t="s">
        <v>51</v>
      </c>
      <c r="C14" s="191" t="s">
        <v>52</v>
      </c>
      <c r="D14" s="65">
        <v>11</v>
      </c>
      <c r="E14" s="65"/>
      <c r="F14" s="65">
        <f t="shared" si="1"/>
        <v>0</v>
      </c>
      <c r="G14" s="65">
        <v>13</v>
      </c>
      <c r="H14" s="65">
        <f t="shared" si="0"/>
        <v>143</v>
      </c>
      <c r="I14" s="65">
        <v>38</v>
      </c>
      <c r="J14" s="65">
        <f t="shared" si="2"/>
        <v>418</v>
      </c>
      <c r="K14" s="65">
        <v>13</v>
      </c>
      <c r="L14" s="65">
        <f t="shared" si="3"/>
        <v>143</v>
      </c>
      <c r="M14" s="65">
        <v>51</v>
      </c>
      <c r="N14" s="65">
        <f t="shared" si="4"/>
        <v>561</v>
      </c>
      <c r="O14" s="65">
        <v>76</v>
      </c>
      <c r="P14" s="65">
        <f t="shared" si="5"/>
        <v>836</v>
      </c>
      <c r="Q14" s="65">
        <v>0</v>
      </c>
      <c r="R14" s="65">
        <f t="shared" si="6"/>
        <v>0</v>
      </c>
      <c r="S14" s="65">
        <v>0</v>
      </c>
      <c r="T14" s="174">
        <f t="shared" si="7"/>
        <v>0</v>
      </c>
      <c r="U14" s="65">
        <f t="shared" si="8"/>
        <v>191</v>
      </c>
      <c r="V14" s="177">
        <f t="shared" si="9"/>
        <v>2101</v>
      </c>
      <c r="W14" s="47">
        <f t="shared" si="10"/>
        <v>504.24</v>
      </c>
      <c r="X14" s="34"/>
    </row>
    <row r="15" spans="2:24" x14ac:dyDescent="0.2">
      <c r="B15" s="33" t="s">
        <v>51</v>
      </c>
      <c r="C15" s="191" t="s">
        <v>52</v>
      </c>
      <c r="D15" s="65">
        <v>26</v>
      </c>
      <c r="E15" s="65">
        <v>1</v>
      </c>
      <c r="F15" s="65">
        <f t="shared" si="1"/>
        <v>26</v>
      </c>
      <c r="G15" s="65">
        <v>0</v>
      </c>
      <c r="H15" s="65">
        <f t="shared" si="0"/>
        <v>0</v>
      </c>
      <c r="I15" s="65">
        <v>0</v>
      </c>
      <c r="J15" s="65">
        <f t="shared" si="2"/>
        <v>0</v>
      </c>
      <c r="K15" s="65">
        <v>0</v>
      </c>
      <c r="L15" s="65">
        <f t="shared" si="3"/>
        <v>0</v>
      </c>
      <c r="M15" s="65">
        <v>0</v>
      </c>
      <c r="N15" s="65">
        <f t="shared" si="4"/>
        <v>0</v>
      </c>
      <c r="O15" s="65">
        <v>0</v>
      </c>
      <c r="P15" s="65">
        <f t="shared" si="5"/>
        <v>0</v>
      </c>
      <c r="Q15" s="65">
        <v>24</v>
      </c>
      <c r="R15" s="65">
        <f t="shared" si="6"/>
        <v>624</v>
      </c>
      <c r="S15" s="65">
        <v>104</v>
      </c>
      <c r="T15" s="174">
        <f t="shared" si="7"/>
        <v>2704</v>
      </c>
      <c r="U15" s="65">
        <f t="shared" si="8"/>
        <v>129</v>
      </c>
      <c r="V15" s="177">
        <f t="shared" si="9"/>
        <v>3354</v>
      </c>
      <c r="W15" s="47">
        <f t="shared" si="10"/>
        <v>804.96</v>
      </c>
      <c r="X15" s="34"/>
    </row>
    <row r="16" spans="2:24" x14ac:dyDescent="0.2">
      <c r="B16" s="33" t="s">
        <v>62</v>
      </c>
      <c r="C16" s="191" t="s">
        <v>48</v>
      </c>
      <c r="D16" s="65">
        <v>1.5</v>
      </c>
      <c r="E16" s="65"/>
      <c r="F16" s="65">
        <f t="shared" si="1"/>
        <v>0</v>
      </c>
      <c r="G16" s="65">
        <v>35</v>
      </c>
      <c r="H16" s="65">
        <f t="shared" si="0"/>
        <v>52.5</v>
      </c>
      <c r="I16" s="65">
        <v>3</v>
      </c>
      <c r="J16" s="65">
        <f t="shared" si="2"/>
        <v>4.5</v>
      </c>
      <c r="K16" s="65">
        <v>0</v>
      </c>
      <c r="L16" s="65">
        <f t="shared" si="3"/>
        <v>0</v>
      </c>
      <c r="M16" s="65">
        <v>3</v>
      </c>
      <c r="N16" s="65">
        <f t="shared" si="4"/>
        <v>4.5</v>
      </c>
      <c r="O16" s="65">
        <v>0</v>
      </c>
      <c r="P16" s="65">
        <f t="shared" si="5"/>
        <v>0</v>
      </c>
      <c r="Q16" s="65">
        <v>0</v>
      </c>
      <c r="R16" s="65">
        <f t="shared" si="6"/>
        <v>0</v>
      </c>
      <c r="S16" s="65">
        <v>0</v>
      </c>
      <c r="T16" s="174">
        <f t="shared" si="7"/>
        <v>0</v>
      </c>
      <c r="U16" s="65">
        <f t="shared" si="8"/>
        <v>41</v>
      </c>
      <c r="V16" s="177">
        <f t="shared" si="9"/>
        <v>61.5</v>
      </c>
      <c r="W16" s="47">
        <f t="shared" si="10"/>
        <v>14.76</v>
      </c>
      <c r="X16" s="34"/>
    </row>
    <row r="17" spans="2:33" x14ac:dyDescent="0.2">
      <c r="B17" s="33" t="s">
        <v>62</v>
      </c>
      <c r="C17" s="191" t="s">
        <v>48</v>
      </c>
      <c r="D17" s="65">
        <v>3</v>
      </c>
      <c r="E17" s="65"/>
      <c r="F17" s="65">
        <f t="shared" si="1"/>
        <v>0</v>
      </c>
      <c r="G17" s="65">
        <v>0</v>
      </c>
      <c r="H17" s="65">
        <f t="shared" si="0"/>
        <v>0</v>
      </c>
      <c r="I17" s="65">
        <v>10</v>
      </c>
      <c r="J17" s="65">
        <f t="shared" si="2"/>
        <v>30</v>
      </c>
      <c r="K17" s="65">
        <v>0</v>
      </c>
      <c r="L17" s="65">
        <f t="shared" si="3"/>
        <v>0</v>
      </c>
      <c r="M17" s="65">
        <v>0</v>
      </c>
      <c r="N17" s="65">
        <f t="shared" si="4"/>
        <v>0</v>
      </c>
      <c r="O17" s="65">
        <v>10</v>
      </c>
      <c r="P17" s="65">
        <f t="shared" si="5"/>
        <v>30</v>
      </c>
      <c r="Q17" s="65">
        <v>5</v>
      </c>
      <c r="R17" s="65">
        <f t="shared" si="6"/>
        <v>15</v>
      </c>
      <c r="S17" s="65">
        <v>5</v>
      </c>
      <c r="T17" s="174">
        <f t="shared" si="7"/>
        <v>15</v>
      </c>
      <c r="U17" s="65">
        <f t="shared" si="8"/>
        <v>30</v>
      </c>
      <c r="V17" s="177">
        <f t="shared" si="9"/>
        <v>90</v>
      </c>
      <c r="W17" s="47">
        <f t="shared" si="10"/>
        <v>21.6</v>
      </c>
      <c r="X17" s="34"/>
    </row>
    <row r="18" spans="2:33" x14ac:dyDescent="0.2">
      <c r="B18" s="33" t="s">
        <v>62</v>
      </c>
      <c r="C18" s="191" t="s">
        <v>48</v>
      </c>
      <c r="D18" s="65">
        <v>5</v>
      </c>
      <c r="E18" s="65"/>
      <c r="F18" s="65">
        <f t="shared" si="1"/>
        <v>0</v>
      </c>
      <c r="G18" s="65">
        <v>6</v>
      </c>
      <c r="H18" s="65">
        <f t="shared" si="0"/>
        <v>30</v>
      </c>
      <c r="I18" s="65">
        <v>0</v>
      </c>
      <c r="J18" s="65">
        <f t="shared" si="2"/>
        <v>0</v>
      </c>
      <c r="K18" s="65">
        <v>0</v>
      </c>
      <c r="L18" s="65">
        <f t="shared" si="3"/>
        <v>0</v>
      </c>
      <c r="M18" s="65">
        <v>0</v>
      </c>
      <c r="N18" s="65">
        <f t="shared" si="4"/>
        <v>0</v>
      </c>
      <c r="O18" s="65">
        <v>0</v>
      </c>
      <c r="P18" s="65">
        <f t="shared" si="5"/>
        <v>0</v>
      </c>
      <c r="Q18" s="65">
        <v>0</v>
      </c>
      <c r="R18" s="65">
        <f t="shared" si="6"/>
        <v>0</v>
      </c>
      <c r="S18" s="65">
        <v>0</v>
      </c>
      <c r="T18" s="174">
        <f t="shared" si="7"/>
        <v>0</v>
      </c>
      <c r="U18" s="65">
        <f t="shared" si="8"/>
        <v>6</v>
      </c>
      <c r="V18" s="177">
        <f t="shared" si="9"/>
        <v>30</v>
      </c>
      <c r="W18" s="47">
        <f t="shared" si="10"/>
        <v>7.2</v>
      </c>
      <c r="X18" s="34"/>
    </row>
    <row r="19" spans="2:33" x14ac:dyDescent="0.2">
      <c r="B19" s="33" t="s">
        <v>62</v>
      </c>
      <c r="C19" s="191" t="s">
        <v>48</v>
      </c>
      <c r="D19" s="65">
        <v>7</v>
      </c>
      <c r="E19" s="65"/>
      <c r="F19" s="65">
        <f t="shared" si="1"/>
        <v>0</v>
      </c>
      <c r="G19" s="65">
        <v>8</v>
      </c>
      <c r="H19" s="65">
        <f t="shared" si="0"/>
        <v>56</v>
      </c>
      <c r="I19" s="65">
        <v>0</v>
      </c>
      <c r="J19" s="65">
        <f t="shared" si="2"/>
        <v>0</v>
      </c>
      <c r="K19" s="65">
        <v>0</v>
      </c>
      <c r="L19" s="65">
        <f t="shared" si="3"/>
        <v>0</v>
      </c>
      <c r="M19" s="65">
        <v>0</v>
      </c>
      <c r="N19" s="65">
        <f t="shared" si="4"/>
        <v>0</v>
      </c>
      <c r="O19" s="65">
        <v>0</v>
      </c>
      <c r="P19" s="65">
        <f t="shared" si="5"/>
        <v>0</v>
      </c>
      <c r="Q19" s="65">
        <v>0</v>
      </c>
      <c r="R19" s="65">
        <f t="shared" si="6"/>
        <v>0</v>
      </c>
      <c r="S19" s="65">
        <v>0</v>
      </c>
      <c r="T19" s="174">
        <f t="shared" si="7"/>
        <v>0</v>
      </c>
      <c r="U19" s="65">
        <f t="shared" si="8"/>
        <v>8</v>
      </c>
      <c r="V19" s="177">
        <f t="shared" si="9"/>
        <v>56</v>
      </c>
      <c r="W19" s="47">
        <f t="shared" si="10"/>
        <v>13.44</v>
      </c>
      <c r="X19" s="34"/>
    </row>
    <row r="20" spans="2:33" x14ac:dyDescent="0.2">
      <c r="B20" s="33" t="s">
        <v>62</v>
      </c>
      <c r="C20" s="191" t="s">
        <v>48</v>
      </c>
      <c r="D20" s="65">
        <v>45</v>
      </c>
      <c r="E20" s="65"/>
      <c r="F20" s="65">
        <f t="shared" si="1"/>
        <v>0</v>
      </c>
      <c r="G20" s="65">
        <v>0</v>
      </c>
      <c r="H20" s="65">
        <f t="shared" si="0"/>
        <v>0</v>
      </c>
      <c r="I20" s="65">
        <v>0</v>
      </c>
      <c r="J20" s="65">
        <f t="shared" si="2"/>
        <v>0</v>
      </c>
      <c r="K20" s="65">
        <v>0</v>
      </c>
      <c r="L20" s="65">
        <f t="shared" si="3"/>
        <v>0</v>
      </c>
      <c r="M20" s="65">
        <v>0</v>
      </c>
      <c r="N20" s="65">
        <f t="shared" si="4"/>
        <v>0</v>
      </c>
      <c r="O20" s="65">
        <v>0</v>
      </c>
      <c r="P20" s="65">
        <f t="shared" si="5"/>
        <v>0</v>
      </c>
      <c r="Q20" s="65">
        <v>112</v>
      </c>
      <c r="R20" s="65">
        <f t="shared" si="6"/>
        <v>5040</v>
      </c>
      <c r="S20" s="65">
        <v>0</v>
      </c>
      <c r="T20" s="174">
        <f t="shared" si="7"/>
        <v>0</v>
      </c>
      <c r="U20" s="65">
        <f t="shared" si="8"/>
        <v>112</v>
      </c>
      <c r="V20" s="177">
        <f t="shared" si="9"/>
        <v>5040</v>
      </c>
      <c r="W20" s="47">
        <f t="shared" si="10"/>
        <v>1209.5999999999999</v>
      </c>
      <c r="X20" s="34"/>
    </row>
    <row r="21" spans="2:33" x14ac:dyDescent="0.2">
      <c r="B21" s="33" t="s">
        <v>62</v>
      </c>
      <c r="C21" s="191" t="s">
        <v>48</v>
      </c>
      <c r="D21" s="65">
        <v>24</v>
      </c>
      <c r="E21" s="65"/>
      <c r="F21" s="65">
        <f t="shared" si="1"/>
        <v>0</v>
      </c>
      <c r="G21" s="65">
        <v>0</v>
      </c>
      <c r="H21" s="65">
        <f t="shared" si="0"/>
        <v>0</v>
      </c>
      <c r="I21" s="65">
        <v>0</v>
      </c>
      <c r="J21" s="65">
        <f t="shared" si="2"/>
        <v>0</v>
      </c>
      <c r="K21" s="65">
        <v>0</v>
      </c>
      <c r="L21" s="65">
        <f t="shared" si="3"/>
        <v>0</v>
      </c>
      <c r="M21" s="65">
        <v>0</v>
      </c>
      <c r="N21" s="65">
        <f t="shared" si="4"/>
        <v>0</v>
      </c>
      <c r="O21" s="65">
        <v>0</v>
      </c>
      <c r="P21" s="65">
        <f t="shared" si="5"/>
        <v>0</v>
      </c>
      <c r="Q21" s="65">
        <v>40</v>
      </c>
      <c r="R21" s="65">
        <f t="shared" si="6"/>
        <v>960</v>
      </c>
      <c r="S21" s="65">
        <v>0</v>
      </c>
      <c r="T21" s="174">
        <f t="shared" si="7"/>
        <v>0</v>
      </c>
      <c r="U21" s="65">
        <f t="shared" si="8"/>
        <v>40</v>
      </c>
      <c r="V21" s="177">
        <f t="shared" si="9"/>
        <v>960</v>
      </c>
      <c r="W21" s="47">
        <f t="shared" si="10"/>
        <v>230.4</v>
      </c>
      <c r="X21" s="34"/>
    </row>
    <row r="22" spans="2:33" x14ac:dyDescent="0.2">
      <c r="B22" s="33" t="s">
        <v>62</v>
      </c>
      <c r="C22" s="191" t="s">
        <v>48</v>
      </c>
      <c r="D22" s="65">
        <v>14</v>
      </c>
      <c r="E22" s="65"/>
      <c r="F22" s="65">
        <f t="shared" si="1"/>
        <v>0</v>
      </c>
      <c r="G22" s="65">
        <v>0</v>
      </c>
      <c r="H22" s="65">
        <f t="shared" si="0"/>
        <v>0</v>
      </c>
      <c r="I22" s="65">
        <v>0</v>
      </c>
      <c r="J22" s="65">
        <f t="shared" si="2"/>
        <v>0</v>
      </c>
      <c r="K22" s="65">
        <v>0</v>
      </c>
      <c r="L22" s="65">
        <f t="shared" si="3"/>
        <v>0</v>
      </c>
      <c r="M22" s="65">
        <v>0</v>
      </c>
      <c r="N22" s="65">
        <f t="shared" si="4"/>
        <v>0</v>
      </c>
      <c r="O22" s="65">
        <v>0</v>
      </c>
      <c r="P22" s="65">
        <f t="shared" si="5"/>
        <v>0</v>
      </c>
      <c r="Q22" s="65">
        <v>15</v>
      </c>
      <c r="R22" s="65">
        <f t="shared" si="6"/>
        <v>210</v>
      </c>
      <c r="S22" s="65">
        <v>0</v>
      </c>
      <c r="T22" s="174">
        <f t="shared" si="7"/>
        <v>0</v>
      </c>
      <c r="U22" s="65">
        <f t="shared" si="8"/>
        <v>15</v>
      </c>
      <c r="V22" s="177">
        <f t="shared" si="9"/>
        <v>210</v>
      </c>
      <c r="W22" s="47">
        <f t="shared" si="10"/>
        <v>50.4</v>
      </c>
      <c r="X22" s="34"/>
    </row>
    <row r="23" spans="2:33" x14ac:dyDescent="0.2">
      <c r="B23" s="42" t="s">
        <v>157</v>
      </c>
      <c r="C23" s="250" t="s">
        <v>54</v>
      </c>
      <c r="D23" s="66">
        <v>50</v>
      </c>
      <c r="E23" s="66"/>
      <c r="F23" s="66">
        <f t="shared" si="1"/>
        <v>0</v>
      </c>
      <c r="G23" s="69">
        <v>32</v>
      </c>
      <c r="H23" s="65">
        <f t="shared" si="0"/>
        <v>1600</v>
      </c>
      <c r="I23" s="69">
        <v>0</v>
      </c>
      <c r="J23" s="69">
        <f t="shared" si="2"/>
        <v>0</v>
      </c>
      <c r="K23" s="69">
        <v>0</v>
      </c>
      <c r="L23" s="69">
        <f t="shared" si="3"/>
        <v>0</v>
      </c>
      <c r="M23" s="69">
        <v>0</v>
      </c>
      <c r="N23" s="69">
        <f t="shared" si="4"/>
        <v>0</v>
      </c>
      <c r="O23" s="69">
        <v>0</v>
      </c>
      <c r="P23" s="69">
        <f t="shared" si="5"/>
        <v>0</v>
      </c>
      <c r="Q23" s="69">
        <v>0</v>
      </c>
      <c r="R23" s="69">
        <f t="shared" si="6"/>
        <v>0</v>
      </c>
      <c r="S23" s="69">
        <v>3</v>
      </c>
      <c r="T23" s="5">
        <f t="shared" si="7"/>
        <v>150</v>
      </c>
      <c r="U23" s="65">
        <f t="shared" si="8"/>
        <v>35</v>
      </c>
      <c r="V23" s="178">
        <f t="shared" si="9"/>
        <v>1750</v>
      </c>
      <c r="W23" s="48">
        <f t="shared" si="10"/>
        <v>420</v>
      </c>
      <c r="X23" s="34"/>
    </row>
    <row r="24" spans="2:33" ht="13.5" thickBot="1" x14ac:dyDescent="0.25">
      <c r="B24" s="43" t="s">
        <v>63</v>
      </c>
      <c r="C24" s="251" t="s">
        <v>48</v>
      </c>
      <c r="D24" s="67">
        <v>19</v>
      </c>
      <c r="E24" s="67"/>
      <c r="F24" s="67">
        <f t="shared" si="1"/>
        <v>0</v>
      </c>
      <c r="G24" s="70">
        <v>0</v>
      </c>
      <c r="H24" s="71">
        <f t="shared" si="0"/>
        <v>0</v>
      </c>
      <c r="I24" s="70">
        <v>0</v>
      </c>
      <c r="J24" s="70">
        <f t="shared" si="2"/>
        <v>0</v>
      </c>
      <c r="K24" s="70">
        <v>0</v>
      </c>
      <c r="L24" s="70">
        <f t="shared" si="3"/>
        <v>0</v>
      </c>
      <c r="M24" s="70">
        <v>0</v>
      </c>
      <c r="N24" s="70">
        <f t="shared" si="4"/>
        <v>0</v>
      </c>
      <c r="O24" s="70">
        <v>35</v>
      </c>
      <c r="P24" s="70">
        <f t="shared" si="5"/>
        <v>665</v>
      </c>
      <c r="Q24" s="70">
        <v>0</v>
      </c>
      <c r="R24" s="70">
        <f t="shared" si="6"/>
        <v>0</v>
      </c>
      <c r="S24" s="70">
        <v>0</v>
      </c>
      <c r="T24" s="175">
        <f t="shared" si="7"/>
        <v>0</v>
      </c>
      <c r="U24" s="71">
        <f t="shared" si="8"/>
        <v>35</v>
      </c>
      <c r="V24" s="179">
        <f t="shared" si="9"/>
        <v>665</v>
      </c>
      <c r="W24" s="49">
        <f t="shared" si="10"/>
        <v>159.6</v>
      </c>
      <c r="X24" s="34"/>
    </row>
    <row r="25" spans="2:33" ht="13.5" thickBot="1" x14ac:dyDescent="0.25">
      <c r="B25" s="41"/>
      <c r="C25" s="44"/>
      <c r="D25" s="72"/>
      <c r="E25" s="72"/>
      <c r="F25" s="72"/>
      <c r="G25" s="73"/>
      <c r="H25" s="40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50"/>
      <c r="X25" s="34"/>
    </row>
    <row r="26" spans="2:33" ht="13.5" thickBot="1" x14ac:dyDescent="0.25">
      <c r="B26" s="89"/>
      <c r="C26" s="90" t="s">
        <v>6</v>
      </c>
      <c r="D26" s="45"/>
      <c r="E26" s="51">
        <f t="shared" ref="E26:W26" si="11">SUM(E6:E24)</f>
        <v>1004</v>
      </c>
      <c r="F26" s="51">
        <f t="shared" si="11"/>
        <v>43948</v>
      </c>
      <c r="G26" s="51">
        <f t="shared" si="11"/>
        <v>782</v>
      </c>
      <c r="H26" s="165">
        <f t="shared" si="11"/>
        <v>13843.5</v>
      </c>
      <c r="I26" s="51">
        <f t="shared" si="11"/>
        <v>947</v>
      </c>
      <c r="J26" s="165">
        <f t="shared" si="11"/>
        <v>15999.5</v>
      </c>
      <c r="K26" s="51">
        <f t="shared" si="11"/>
        <v>898</v>
      </c>
      <c r="L26" s="51">
        <f t="shared" si="11"/>
        <v>15344</v>
      </c>
      <c r="M26" s="51">
        <f t="shared" si="11"/>
        <v>855</v>
      </c>
      <c r="N26" s="165">
        <f t="shared" si="11"/>
        <v>14512.5</v>
      </c>
      <c r="O26" s="51">
        <f t="shared" si="11"/>
        <v>852</v>
      </c>
      <c r="P26" s="51">
        <f t="shared" si="11"/>
        <v>14069</v>
      </c>
      <c r="Q26" s="51">
        <f t="shared" si="11"/>
        <v>224</v>
      </c>
      <c r="R26" s="51">
        <f t="shared" si="11"/>
        <v>7325</v>
      </c>
      <c r="S26" s="51">
        <f t="shared" si="11"/>
        <v>663</v>
      </c>
      <c r="T26" s="51">
        <f t="shared" si="11"/>
        <v>12491</v>
      </c>
      <c r="U26" s="165">
        <f t="shared" si="11"/>
        <v>6225</v>
      </c>
      <c r="V26" s="165">
        <f t="shared" si="11"/>
        <v>137532.5</v>
      </c>
      <c r="W26" s="165">
        <f t="shared" si="11"/>
        <v>33007.799999999996</v>
      </c>
      <c r="Y26" s="157"/>
      <c r="Z26" s="157"/>
      <c r="AA26" s="157"/>
      <c r="AB26" s="157"/>
      <c r="AC26" s="157"/>
      <c r="AD26" s="157"/>
      <c r="AE26" s="157"/>
      <c r="AF26" s="157"/>
      <c r="AG26" s="157"/>
    </row>
    <row r="27" spans="2:33" x14ac:dyDescent="0.2">
      <c r="B27" s="171"/>
      <c r="C27" s="44"/>
      <c r="D27" s="45"/>
      <c r="E27" s="34"/>
      <c r="F27" s="34"/>
      <c r="G27" s="34"/>
      <c r="H27" s="172"/>
      <c r="I27" s="34"/>
      <c r="J27" s="172"/>
      <c r="K27" s="34"/>
      <c r="L27" s="34"/>
      <c r="M27" s="34"/>
      <c r="N27" s="172"/>
      <c r="O27" s="34"/>
      <c r="P27" s="34"/>
      <c r="Q27" s="34"/>
      <c r="R27" s="34"/>
      <c r="S27" s="34"/>
      <c r="T27" s="34"/>
      <c r="U27" s="34"/>
      <c r="V27" s="172"/>
      <c r="W27" s="172"/>
      <c r="Y27" s="157"/>
      <c r="Z27" s="157"/>
      <c r="AA27" s="157"/>
      <c r="AB27" s="157"/>
      <c r="AC27" s="157"/>
      <c r="AD27" s="157"/>
      <c r="AE27" s="157"/>
      <c r="AF27" s="157"/>
      <c r="AG27" s="157"/>
    </row>
    <row r="28" spans="2:33" ht="13.5" thickBot="1" x14ac:dyDescent="0.25">
      <c r="B28" s="91"/>
      <c r="C28" s="94"/>
      <c r="D28" s="34"/>
      <c r="E28" s="34"/>
      <c r="F28" s="34"/>
      <c r="Y28" s="56" t="s">
        <v>121</v>
      </c>
    </row>
    <row r="29" spans="2:33" ht="13.5" thickBot="1" x14ac:dyDescent="0.25">
      <c r="B29" s="333" t="s">
        <v>108</v>
      </c>
      <c r="C29" s="334"/>
      <c r="D29" s="68"/>
      <c r="E29" s="335">
        <f>F26*12*20/1000</f>
        <v>10547.52</v>
      </c>
      <c r="F29" s="336"/>
      <c r="G29" s="335">
        <f>H26*12*20/1000</f>
        <v>3322.44</v>
      </c>
      <c r="H29" s="336"/>
      <c r="I29" s="335">
        <f>J26*12*20/1000</f>
        <v>3839.88</v>
      </c>
      <c r="J29" s="336"/>
      <c r="K29" s="335">
        <f>L26*12*20/1000</f>
        <v>3682.56</v>
      </c>
      <c r="L29" s="336"/>
      <c r="M29" s="335">
        <f>N26*12*20/1000</f>
        <v>3483</v>
      </c>
      <c r="N29" s="336"/>
      <c r="O29" s="335">
        <f>P26*12*20/1000</f>
        <v>3376.56</v>
      </c>
      <c r="P29" s="336"/>
      <c r="Q29" s="335">
        <f>R26*12*20/1000</f>
        <v>1758</v>
      </c>
      <c r="R29" s="336"/>
      <c r="S29" s="335">
        <f>T26*12*20/1000</f>
        <v>2997.84</v>
      </c>
      <c r="T29" s="336"/>
      <c r="U29" s="78"/>
      <c r="V29" s="4"/>
      <c r="W29" s="155">
        <f>V26*12*20/1000</f>
        <v>33007.800000000003</v>
      </c>
      <c r="Y29" s="155">
        <f>+W29*0.65</f>
        <v>21455.070000000003</v>
      </c>
      <c r="Z29" s="4"/>
    </row>
    <row r="30" spans="2:33" ht="13.5" thickBot="1" x14ac:dyDescent="0.25">
      <c r="B30" s="333" t="s">
        <v>109</v>
      </c>
      <c r="C30" s="334"/>
      <c r="D30" s="68"/>
      <c r="E30" s="337">
        <f>E29*12</f>
        <v>126570.24000000001</v>
      </c>
      <c r="F30" s="338"/>
      <c r="G30" s="337">
        <f>G29*12</f>
        <v>39869.279999999999</v>
      </c>
      <c r="H30" s="338"/>
      <c r="I30" s="337">
        <f t="shared" ref="I30" si="12">I29*12</f>
        <v>46078.559999999998</v>
      </c>
      <c r="J30" s="338"/>
      <c r="K30" s="337">
        <f t="shared" ref="K30" si="13">K29*12</f>
        <v>44190.720000000001</v>
      </c>
      <c r="L30" s="338"/>
      <c r="M30" s="337">
        <f t="shared" ref="M30" si="14">M29*12</f>
        <v>41796</v>
      </c>
      <c r="N30" s="338"/>
      <c r="O30" s="337">
        <f t="shared" ref="O30" si="15">O29*12</f>
        <v>40518.720000000001</v>
      </c>
      <c r="P30" s="338"/>
      <c r="Q30" s="337">
        <f t="shared" ref="Q30" si="16">Q29*12</f>
        <v>21096</v>
      </c>
      <c r="R30" s="338"/>
      <c r="S30" s="337">
        <f t="shared" ref="S30" si="17">S29*12</f>
        <v>35974.080000000002</v>
      </c>
      <c r="T30" s="338"/>
      <c r="U30" s="78"/>
      <c r="W30" s="155">
        <f>+W29*12</f>
        <v>396093.60000000003</v>
      </c>
      <c r="Y30" s="155">
        <f>+Y29*12</f>
        <v>257460.84000000003</v>
      </c>
    </row>
    <row r="31" spans="2:33" ht="13.5" thickBot="1" x14ac:dyDescent="0.25"/>
    <row r="32" spans="2:33" ht="13.5" thickBot="1" x14ac:dyDescent="0.25">
      <c r="B32" s="154">
        <v>2014</v>
      </c>
      <c r="C32" s="327" t="s">
        <v>47</v>
      </c>
      <c r="D32" s="327" t="s">
        <v>110</v>
      </c>
      <c r="E32" s="331" t="s">
        <v>106</v>
      </c>
      <c r="F32" s="332"/>
      <c r="G32" s="331" t="s">
        <v>55</v>
      </c>
      <c r="H32" s="332"/>
      <c r="I32" s="331" t="s">
        <v>56</v>
      </c>
      <c r="J32" s="332"/>
      <c r="K32" s="331" t="s">
        <v>57</v>
      </c>
      <c r="L32" s="332"/>
      <c r="M32" s="331" t="s">
        <v>58</v>
      </c>
      <c r="N32" s="332"/>
      <c r="O32" s="331" t="s">
        <v>59</v>
      </c>
      <c r="P32" s="332"/>
      <c r="Q32" s="331" t="s">
        <v>60</v>
      </c>
      <c r="R32" s="332"/>
      <c r="S32" s="331" t="s">
        <v>61</v>
      </c>
      <c r="T32" s="332"/>
      <c r="U32" s="327" t="s">
        <v>124</v>
      </c>
      <c r="V32" s="327" t="s">
        <v>143</v>
      </c>
      <c r="W32" s="327" t="s">
        <v>101</v>
      </c>
    </row>
    <row r="33" spans="2:26" ht="26.25" thickBot="1" x14ac:dyDescent="0.25">
      <c r="B33" s="154" t="s">
        <v>100</v>
      </c>
      <c r="C33" s="328"/>
      <c r="D33" s="328"/>
      <c r="E33" s="154" t="s">
        <v>64</v>
      </c>
      <c r="F33" s="154" t="s">
        <v>96</v>
      </c>
      <c r="G33" s="154" t="s">
        <v>64</v>
      </c>
      <c r="H33" s="154" t="s">
        <v>96</v>
      </c>
      <c r="I33" s="154" t="s">
        <v>64</v>
      </c>
      <c r="J33" s="154" t="s">
        <v>96</v>
      </c>
      <c r="K33" s="154" t="s">
        <v>64</v>
      </c>
      <c r="L33" s="154" t="s">
        <v>96</v>
      </c>
      <c r="M33" s="154" t="s">
        <v>64</v>
      </c>
      <c r="N33" s="154" t="s">
        <v>96</v>
      </c>
      <c r="O33" s="154" t="s">
        <v>64</v>
      </c>
      <c r="P33" s="154" t="s">
        <v>96</v>
      </c>
      <c r="Q33" s="154" t="s">
        <v>64</v>
      </c>
      <c r="R33" s="154" t="s">
        <v>96</v>
      </c>
      <c r="S33" s="154" t="s">
        <v>64</v>
      </c>
      <c r="T33" s="154" t="s">
        <v>96</v>
      </c>
      <c r="U33" s="328"/>
      <c r="V33" s="328"/>
      <c r="W33" s="328"/>
      <c r="Z33" s="4"/>
    </row>
    <row r="34" spans="2:26" x14ac:dyDescent="0.2">
      <c r="B34" s="30" t="s">
        <v>49</v>
      </c>
      <c r="C34" s="189" t="s">
        <v>50</v>
      </c>
      <c r="D34" s="64">
        <v>17</v>
      </c>
      <c r="E34" s="64">
        <f>94+12</f>
        <v>106</v>
      </c>
      <c r="F34" s="64">
        <f>$D34*E34</f>
        <v>1802</v>
      </c>
      <c r="G34" s="33">
        <v>0</v>
      </c>
      <c r="H34" s="64">
        <f>$D34*G34</f>
        <v>0</v>
      </c>
      <c r="I34" s="34">
        <v>0</v>
      </c>
      <c r="J34" s="64">
        <f>$D34*I34</f>
        <v>0</v>
      </c>
      <c r="K34" s="34">
        <v>0</v>
      </c>
      <c r="L34" s="64">
        <f>$D34*K34</f>
        <v>0</v>
      </c>
      <c r="M34" s="34">
        <v>0</v>
      </c>
      <c r="N34" s="64">
        <f>$D34*M34</f>
        <v>0</v>
      </c>
      <c r="O34" s="34">
        <v>0</v>
      </c>
      <c r="P34" s="64">
        <f>$D34*O34</f>
        <v>0</v>
      </c>
      <c r="Q34" s="64">
        <v>28</v>
      </c>
      <c r="R34" s="64">
        <f>$D34*Q34</f>
        <v>476</v>
      </c>
      <c r="S34" s="14">
        <v>0</v>
      </c>
      <c r="T34" s="64">
        <f>$D34*S34</f>
        <v>0</v>
      </c>
      <c r="U34" s="10">
        <f t="shared" ref="U34:U46" si="18">E34+G34+I34+K34+M34+O34+Q34+S34</f>
        <v>134</v>
      </c>
      <c r="V34" s="11">
        <f>F34+H34+J34+L34+N34+P34+R34+T34</f>
        <v>2278</v>
      </c>
      <c r="W34" s="53">
        <f>V34*12*20/1000</f>
        <v>546.72</v>
      </c>
      <c r="Y34" s="4"/>
      <c r="Z34" s="4"/>
    </row>
    <row r="35" spans="2:26" x14ac:dyDescent="0.2">
      <c r="B35" s="14" t="s">
        <v>49</v>
      </c>
      <c r="C35" s="191" t="s">
        <v>50</v>
      </c>
      <c r="D35" s="65">
        <v>32</v>
      </c>
      <c r="E35" s="14">
        <v>105</v>
      </c>
      <c r="F35" s="35">
        <v>3360</v>
      </c>
      <c r="G35" s="33">
        <v>0</v>
      </c>
      <c r="H35" s="14">
        <f t="shared" ref="H35:H46" si="19">$D35*G35</f>
        <v>0</v>
      </c>
      <c r="I35" s="152">
        <v>0</v>
      </c>
      <c r="J35" s="14">
        <f t="shared" ref="J35:J46" si="20">$D35*I35</f>
        <v>0</v>
      </c>
      <c r="K35" s="152">
        <v>0</v>
      </c>
      <c r="L35" s="14">
        <f t="shared" ref="L35:L46" si="21">$D35*K35</f>
        <v>0</v>
      </c>
      <c r="M35" s="34">
        <v>0</v>
      </c>
      <c r="N35" s="14">
        <f t="shared" ref="N35:N46" si="22">$D35*M35</f>
        <v>0</v>
      </c>
      <c r="O35" s="34">
        <v>0</v>
      </c>
      <c r="P35" s="14">
        <f t="shared" ref="P35:P46" si="23">$D35*O35</f>
        <v>0</v>
      </c>
      <c r="Q35" s="14">
        <v>0</v>
      </c>
      <c r="R35" s="34">
        <f t="shared" ref="R35:R46" si="24">$D35*Q35</f>
        <v>0</v>
      </c>
      <c r="S35" s="14">
        <v>0</v>
      </c>
      <c r="T35" s="14">
        <f t="shared" ref="T35:T46" si="25">$D35*S35</f>
        <v>0</v>
      </c>
      <c r="U35" s="11">
        <f t="shared" si="18"/>
        <v>105</v>
      </c>
      <c r="V35" s="11">
        <f t="shared" ref="V35:V45" si="26">F35+H35+J35+L35+N35+P35+R35+T35</f>
        <v>3360</v>
      </c>
      <c r="W35" s="54">
        <f t="shared" ref="W35:W46" si="27">V35*12*20/1000</f>
        <v>806.4</v>
      </c>
      <c r="Z35" s="4"/>
    </row>
    <row r="36" spans="2:26" x14ac:dyDescent="0.2">
      <c r="B36" s="33" t="s">
        <v>86</v>
      </c>
      <c r="C36" s="191" t="s">
        <v>87</v>
      </c>
      <c r="D36" s="65">
        <v>39</v>
      </c>
      <c r="E36" s="65">
        <v>300</v>
      </c>
      <c r="F36" s="65">
        <f t="shared" ref="F36:F46" si="28">D36*E36</f>
        <v>11700</v>
      </c>
      <c r="G36" s="33">
        <v>0</v>
      </c>
      <c r="H36" s="14">
        <f t="shared" si="19"/>
        <v>0</v>
      </c>
      <c r="I36" s="153">
        <v>0</v>
      </c>
      <c r="J36" s="14">
        <f t="shared" si="20"/>
        <v>0</v>
      </c>
      <c r="K36" s="34">
        <v>0</v>
      </c>
      <c r="L36" s="14">
        <f t="shared" si="21"/>
        <v>0</v>
      </c>
      <c r="M36" s="34">
        <v>0</v>
      </c>
      <c r="N36" s="14">
        <f t="shared" si="22"/>
        <v>0</v>
      </c>
      <c r="O36" s="34">
        <v>0</v>
      </c>
      <c r="P36" s="14">
        <f t="shared" si="23"/>
        <v>0</v>
      </c>
      <c r="Q36" s="14">
        <v>0</v>
      </c>
      <c r="R36" s="34">
        <f t="shared" si="24"/>
        <v>0</v>
      </c>
      <c r="S36" s="14">
        <v>0</v>
      </c>
      <c r="T36" s="14">
        <f t="shared" si="25"/>
        <v>0</v>
      </c>
      <c r="U36" s="11">
        <f t="shared" si="18"/>
        <v>300</v>
      </c>
      <c r="V36" s="11">
        <f t="shared" si="26"/>
        <v>11700</v>
      </c>
      <c r="W36" s="54">
        <f t="shared" si="27"/>
        <v>2808</v>
      </c>
      <c r="Z36" s="4"/>
    </row>
    <row r="37" spans="2:26" x14ac:dyDescent="0.2">
      <c r="B37" s="33" t="s">
        <v>86</v>
      </c>
      <c r="C37" s="191" t="s">
        <v>87</v>
      </c>
      <c r="D37" s="65">
        <v>40</v>
      </c>
      <c r="E37" s="65">
        <v>96</v>
      </c>
      <c r="F37" s="65">
        <f t="shared" si="28"/>
        <v>3840</v>
      </c>
      <c r="G37" s="33">
        <v>0</v>
      </c>
      <c r="H37" s="14">
        <f t="shared" si="19"/>
        <v>0</v>
      </c>
      <c r="I37" s="153">
        <v>0</v>
      </c>
      <c r="J37" s="14">
        <f t="shared" si="20"/>
        <v>0</v>
      </c>
      <c r="K37" s="74">
        <v>0</v>
      </c>
      <c r="L37" s="14">
        <f t="shared" si="21"/>
        <v>0</v>
      </c>
      <c r="M37" s="74">
        <v>0</v>
      </c>
      <c r="N37" s="14">
        <f t="shared" si="22"/>
        <v>0</v>
      </c>
      <c r="O37" s="74">
        <v>0</v>
      </c>
      <c r="P37" s="14">
        <f t="shared" si="23"/>
        <v>0</v>
      </c>
      <c r="Q37" s="14">
        <v>0</v>
      </c>
      <c r="R37" s="34">
        <f t="shared" si="24"/>
        <v>0</v>
      </c>
      <c r="S37" s="14">
        <v>0</v>
      </c>
      <c r="T37" s="14">
        <f t="shared" si="25"/>
        <v>0</v>
      </c>
      <c r="U37" s="11">
        <f t="shared" si="18"/>
        <v>96</v>
      </c>
      <c r="V37" s="11">
        <f t="shared" si="26"/>
        <v>3840</v>
      </c>
      <c r="W37" s="54">
        <f t="shared" si="27"/>
        <v>921.6</v>
      </c>
      <c r="Z37" s="4"/>
    </row>
    <row r="38" spans="2:26" x14ac:dyDescent="0.2">
      <c r="B38" s="33" t="s">
        <v>86</v>
      </c>
      <c r="C38" s="191" t="s">
        <v>87</v>
      </c>
      <c r="D38" s="65">
        <v>48</v>
      </c>
      <c r="E38" s="65">
        <v>240</v>
      </c>
      <c r="F38" s="65">
        <f t="shared" si="28"/>
        <v>11520</v>
      </c>
      <c r="G38" s="33">
        <v>0</v>
      </c>
      <c r="H38" s="14">
        <f t="shared" si="19"/>
        <v>0</v>
      </c>
      <c r="I38" s="153">
        <v>0</v>
      </c>
      <c r="J38" s="14">
        <f t="shared" si="20"/>
        <v>0</v>
      </c>
      <c r="K38" s="74">
        <v>0</v>
      </c>
      <c r="L38" s="14">
        <f t="shared" si="21"/>
        <v>0</v>
      </c>
      <c r="M38" s="74">
        <v>0</v>
      </c>
      <c r="N38" s="14">
        <f t="shared" si="22"/>
        <v>0</v>
      </c>
      <c r="O38" s="74">
        <v>0</v>
      </c>
      <c r="P38" s="14">
        <f t="shared" si="23"/>
        <v>0</v>
      </c>
      <c r="Q38" s="14">
        <v>0</v>
      </c>
      <c r="R38" s="34">
        <f t="shared" si="24"/>
        <v>0</v>
      </c>
      <c r="S38" s="14">
        <v>0</v>
      </c>
      <c r="T38" s="14">
        <f t="shared" si="25"/>
        <v>0</v>
      </c>
      <c r="U38" s="11">
        <f t="shared" si="18"/>
        <v>240</v>
      </c>
      <c r="V38" s="11">
        <f t="shared" si="26"/>
        <v>11520</v>
      </c>
      <c r="W38" s="54">
        <f t="shared" si="27"/>
        <v>2764.8</v>
      </c>
      <c r="Z38" s="4"/>
    </row>
    <row r="39" spans="2:26" x14ac:dyDescent="0.2">
      <c r="B39" s="33" t="s">
        <v>86</v>
      </c>
      <c r="C39" s="191" t="s">
        <v>87</v>
      </c>
      <c r="D39" s="65">
        <v>75</v>
      </c>
      <c r="E39" s="65">
        <v>156</v>
      </c>
      <c r="F39" s="65">
        <f t="shared" si="28"/>
        <v>11700</v>
      </c>
      <c r="G39" s="33">
        <v>0</v>
      </c>
      <c r="H39" s="14">
        <f t="shared" si="19"/>
        <v>0</v>
      </c>
      <c r="I39" s="153">
        <v>0</v>
      </c>
      <c r="J39" s="14">
        <f t="shared" si="20"/>
        <v>0</v>
      </c>
      <c r="K39" s="74">
        <v>0</v>
      </c>
      <c r="L39" s="14">
        <f t="shared" si="21"/>
        <v>0</v>
      </c>
      <c r="M39" s="74">
        <v>0</v>
      </c>
      <c r="N39" s="14">
        <f t="shared" si="22"/>
        <v>0</v>
      </c>
      <c r="O39" s="74">
        <v>0</v>
      </c>
      <c r="P39" s="14">
        <f t="shared" si="23"/>
        <v>0</v>
      </c>
      <c r="Q39" s="14">
        <v>0</v>
      </c>
      <c r="R39" s="34">
        <f t="shared" si="24"/>
        <v>0</v>
      </c>
      <c r="S39" s="14">
        <v>0</v>
      </c>
      <c r="T39" s="14">
        <f t="shared" si="25"/>
        <v>0</v>
      </c>
      <c r="U39" s="11">
        <f t="shared" si="18"/>
        <v>156</v>
      </c>
      <c r="V39" s="11">
        <f t="shared" si="26"/>
        <v>11700</v>
      </c>
      <c r="W39" s="54">
        <f t="shared" si="27"/>
        <v>2808</v>
      </c>
      <c r="Z39" s="4"/>
    </row>
    <row r="40" spans="2:26" x14ac:dyDescent="0.2">
      <c r="B40" s="33" t="s">
        <v>51</v>
      </c>
      <c r="C40" s="191" t="s">
        <v>52</v>
      </c>
      <c r="D40" s="65">
        <v>26</v>
      </c>
      <c r="E40" s="65">
        <v>1</v>
      </c>
      <c r="F40" s="65">
        <f t="shared" si="28"/>
        <v>26</v>
      </c>
      <c r="G40" s="33">
        <v>0</v>
      </c>
      <c r="H40" s="14">
        <f t="shared" si="19"/>
        <v>0</v>
      </c>
      <c r="I40" s="153">
        <v>0</v>
      </c>
      <c r="J40" s="14">
        <f t="shared" si="20"/>
        <v>0</v>
      </c>
      <c r="K40" s="74">
        <v>0</v>
      </c>
      <c r="L40" s="14">
        <f t="shared" si="21"/>
        <v>0</v>
      </c>
      <c r="M40" s="74">
        <v>0</v>
      </c>
      <c r="N40" s="14">
        <f t="shared" si="22"/>
        <v>0</v>
      </c>
      <c r="O40" s="74">
        <v>0</v>
      </c>
      <c r="P40" s="14">
        <f t="shared" si="23"/>
        <v>0</v>
      </c>
      <c r="Q40" s="65">
        <v>24</v>
      </c>
      <c r="R40" s="65">
        <f t="shared" si="24"/>
        <v>624</v>
      </c>
      <c r="S40" s="14">
        <v>0</v>
      </c>
      <c r="T40" s="14">
        <f t="shared" si="25"/>
        <v>0</v>
      </c>
      <c r="U40" s="11">
        <f t="shared" si="18"/>
        <v>25</v>
      </c>
      <c r="V40" s="11">
        <f t="shared" si="26"/>
        <v>650</v>
      </c>
      <c r="W40" s="54">
        <f t="shared" si="27"/>
        <v>156</v>
      </c>
      <c r="Z40" s="4"/>
    </row>
    <row r="41" spans="2:26" ht="13.5" customHeight="1" x14ac:dyDescent="0.2">
      <c r="B41" s="14" t="s">
        <v>118</v>
      </c>
      <c r="C41" s="191" t="s">
        <v>48</v>
      </c>
      <c r="D41" s="65">
        <v>3</v>
      </c>
      <c r="E41" s="14">
        <v>0</v>
      </c>
      <c r="F41" s="35">
        <f t="shared" si="28"/>
        <v>0</v>
      </c>
      <c r="G41" s="33">
        <v>0</v>
      </c>
      <c r="H41" s="14">
        <f t="shared" si="19"/>
        <v>0</v>
      </c>
      <c r="I41" s="153">
        <v>0</v>
      </c>
      <c r="J41" s="14">
        <f t="shared" si="20"/>
        <v>0</v>
      </c>
      <c r="K41" s="74">
        <v>0</v>
      </c>
      <c r="L41" s="14">
        <f t="shared" si="21"/>
        <v>0</v>
      </c>
      <c r="M41" s="74">
        <v>0</v>
      </c>
      <c r="N41" s="14">
        <f t="shared" si="22"/>
        <v>0</v>
      </c>
      <c r="O41" s="74">
        <v>0</v>
      </c>
      <c r="P41" s="14">
        <f t="shared" si="23"/>
        <v>0</v>
      </c>
      <c r="Q41" s="65">
        <v>5</v>
      </c>
      <c r="R41" s="65">
        <f t="shared" si="24"/>
        <v>15</v>
      </c>
      <c r="S41" s="14">
        <v>0</v>
      </c>
      <c r="T41" s="14">
        <f t="shared" si="25"/>
        <v>0</v>
      </c>
      <c r="U41" s="11">
        <f t="shared" si="18"/>
        <v>5</v>
      </c>
      <c r="V41" s="11">
        <f t="shared" si="26"/>
        <v>15</v>
      </c>
      <c r="W41" s="54">
        <f t="shared" si="27"/>
        <v>3.6</v>
      </c>
      <c r="Z41" s="4"/>
    </row>
    <row r="42" spans="2:26" x14ac:dyDescent="0.2">
      <c r="B42" s="14" t="s">
        <v>97</v>
      </c>
      <c r="C42" s="191" t="s">
        <v>48</v>
      </c>
      <c r="D42" s="65">
        <v>45</v>
      </c>
      <c r="E42" s="14">
        <v>0</v>
      </c>
      <c r="F42" s="35">
        <f t="shared" si="28"/>
        <v>0</v>
      </c>
      <c r="G42" s="33">
        <v>69</v>
      </c>
      <c r="H42" s="14">
        <f>$D42*G42</f>
        <v>3105</v>
      </c>
      <c r="I42" s="34">
        <v>100</v>
      </c>
      <c r="J42" s="14">
        <f t="shared" si="20"/>
        <v>4500</v>
      </c>
      <c r="K42" s="34">
        <v>97</v>
      </c>
      <c r="L42" s="14">
        <f t="shared" si="21"/>
        <v>4365</v>
      </c>
      <c r="M42" s="34">
        <v>97</v>
      </c>
      <c r="N42" s="14">
        <f t="shared" si="22"/>
        <v>4365</v>
      </c>
      <c r="O42" s="34">
        <v>81</v>
      </c>
      <c r="P42" s="14">
        <f t="shared" si="23"/>
        <v>3645</v>
      </c>
      <c r="Q42" s="65">
        <v>112</v>
      </c>
      <c r="R42" s="65">
        <f t="shared" si="24"/>
        <v>5040</v>
      </c>
      <c r="S42" s="14">
        <v>94</v>
      </c>
      <c r="T42" s="14">
        <f t="shared" si="25"/>
        <v>4230</v>
      </c>
      <c r="U42" s="11">
        <f t="shared" si="18"/>
        <v>650</v>
      </c>
      <c r="V42" s="11">
        <f t="shared" si="26"/>
        <v>29250</v>
      </c>
      <c r="W42" s="54">
        <f t="shared" si="27"/>
        <v>7020</v>
      </c>
    </row>
    <row r="43" spans="2:26" x14ac:dyDescent="0.2">
      <c r="B43" s="14" t="s">
        <v>119</v>
      </c>
      <c r="C43" s="191" t="s">
        <v>48</v>
      </c>
      <c r="D43" s="65">
        <v>14</v>
      </c>
      <c r="E43" s="14">
        <v>0</v>
      </c>
      <c r="F43" s="35">
        <f t="shared" si="28"/>
        <v>0</v>
      </c>
      <c r="G43" s="33">
        <v>0</v>
      </c>
      <c r="H43" s="14">
        <f t="shared" si="19"/>
        <v>0</v>
      </c>
      <c r="I43" s="153">
        <v>0</v>
      </c>
      <c r="J43" s="14">
        <f t="shared" si="20"/>
        <v>0</v>
      </c>
      <c r="K43" s="74">
        <v>0</v>
      </c>
      <c r="L43" s="14">
        <f t="shared" si="21"/>
        <v>0</v>
      </c>
      <c r="M43" s="74">
        <v>0</v>
      </c>
      <c r="N43" s="14">
        <f t="shared" si="22"/>
        <v>0</v>
      </c>
      <c r="O43" s="74">
        <v>0</v>
      </c>
      <c r="P43" s="14">
        <f t="shared" si="23"/>
        <v>0</v>
      </c>
      <c r="Q43" s="65">
        <v>15</v>
      </c>
      <c r="R43" s="65">
        <f t="shared" si="24"/>
        <v>210</v>
      </c>
      <c r="S43" s="14">
        <v>0</v>
      </c>
      <c r="T43" s="14">
        <f t="shared" si="25"/>
        <v>0</v>
      </c>
      <c r="U43" s="11">
        <f t="shared" si="18"/>
        <v>15</v>
      </c>
      <c r="V43" s="11">
        <f t="shared" si="26"/>
        <v>210</v>
      </c>
      <c r="W43" s="54">
        <f t="shared" si="27"/>
        <v>50.4</v>
      </c>
    </row>
    <row r="44" spans="2:26" x14ac:dyDescent="0.2">
      <c r="B44" s="14" t="s">
        <v>120</v>
      </c>
      <c r="C44" s="191" t="s">
        <v>48</v>
      </c>
      <c r="D44" s="65">
        <v>24</v>
      </c>
      <c r="E44" s="14">
        <v>0</v>
      </c>
      <c r="F44" s="35">
        <f t="shared" si="28"/>
        <v>0</v>
      </c>
      <c r="G44" s="33">
        <v>0</v>
      </c>
      <c r="H44" s="14">
        <f t="shared" si="19"/>
        <v>0</v>
      </c>
      <c r="I44" s="153">
        <v>0</v>
      </c>
      <c r="J44" s="14">
        <f t="shared" si="20"/>
        <v>0</v>
      </c>
      <c r="K44" s="74">
        <v>0</v>
      </c>
      <c r="L44" s="14">
        <f t="shared" si="21"/>
        <v>0</v>
      </c>
      <c r="M44" s="74">
        <v>0</v>
      </c>
      <c r="N44" s="14">
        <f t="shared" si="22"/>
        <v>0</v>
      </c>
      <c r="O44" s="74">
        <v>0</v>
      </c>
      <c r="P44" s="14">
        <f t="shared" si="23"/>
        <v>0</v>
      </c>
      <c r="Q44" s="14">
        <v>40</v>
      </c>
      <c r="R44" s="34">
        <f t="shared" si="24"/>
        <v>960</v>
      </c>
      <c r="S44" s="14">
        <v>0</v>
      </c>
      <c r="T44" s="14">
        <f t="shared" si="25"/>
        <v>0</v>
      </c>
      <c r="U44" s="11">
        <f t="shared" si="18"/>
        <v>40</v>
      </c>
      <c r="V44" s="11">
        <f t="shared" si="26"/>
        <v>960</v>
      </c>
      <c r="W44" s="54">
        <f t="shared" si="27"/>
        <v>230.4</v>
      </c>
    </row>
    <row r="45" spans="2:26" x14ac:dyDescent="0.2">
      <c r="B45" s="14" t="s">
        <v>98</v>
      </c>
      <c r="C45" s="191" t="s">
        <v>48</v>
      </c>
      <c r="D45" s="65">
        <v>12</v>
      </c>
      <c r="E45" s="14">
        <v>0</v>
      </c>
      <c r="F45" s="35">
        <f t="shared" si="28"/>
        <v>0</v>
      </c>
      <c r="G45" s="33">
        <v>107</v>
      </c>
      <c r="H45" s="14">
        <f t="shared" si="19"/>
        <v>1284</v>
      </c>
      <c r="I45" s="34">
        <v>15</v>
      </c>
      <c r="J45" s="14">
        <f t="shared" si="20"/>
        <v>180</v>
      </c>
      <c r="K45" s="34">
        <v>27</v>
      </c>
      <c r="L45" s="14">
        <f t="shared" si="21"/>
        <v>324</v>
      </c>
      <c r="M45" s="34">
        <v>21</v>
      </c>
      <c r="N45" s="14">
        <f t="shared" si="22"/>
        <v>252</v>
      </c>
      <c r="O45" s="34">
        <v>18</v>
      </c>
      <c r="P45" s="14">
        <f t="shared" si="23"/>
        <v>216</v>
      </c>
      <c r="Q45" s="14">
        <v>0</v>
      </c>
      <c r="R45" s="34">
        <f t="shared" si="24"/>
        <v>0</v>
      </c>
      <c r="S45" s="14">
        <v>15</v>
      </c>
      <c r="T45" s="14">
        <f t="shared" si="25"/>
        <v>180</v>
      </c>
      <c r="U45" s="11">
        <f t="shared" si="18"/>
        <v>203</v>
      </c>
      <c r="V45" s="11">
        <f t="shared" si="26"/>
        <v>2436</v>
      </c>
      <c r="W45" s="54">
        <f t="shared" si="27"/>
        <v>584.64</v>
      </c>
    </row>
    <row r="46" spans="2:26" ht="13.5" thickBot="1" x14ac:dyDescent="0.25">
      <c r="B46" s="15" t="s">
        <v>99</v>
      </c>
      <c r="C46" s="252" t="s">
        <v>48</v>
      </c>
      <c r="D46" s="71">
        <v>18</v>
      </c>
      <c r="E46" s="15">
        <v>0</v>
      </c>
      <c r="F46" s="38">
        <f t="shared" si="28"/>
        <v>0</v>
      </c>
      <c r="G46" s="36">
        <v>25</v>
      </c>
      <c r="H46" s="15">
        <f t="shared" si="19"/>
        <v>450</v>
      </c>
      <c r="I46" s="37">
        <v>56</v>
      </c>
      <c r="J46" s="15">
        <f t="shared" si="20"/>
        <v>1008</v>
      </c>
      <c r="K46" s="37">
        <v>67</v>
      </c>
      <c r="L46" s="15">
        <f t="shared" si="21"/>
        <v>1206</v>
      </c>
      <c r="M46" s="37">
        <v>56</v>
      </c>
      <c r="N46" s="15">
        <f t="shared" si="22"/>
        <v>1008</v>
      </c>
      <c r="O46" s="37">
        <v>55</v>
      </c>
      <c r="P46" s="15">
        <f t="shared" si="23"/>
        <v>990</v>
      </c>
      <c r="Q46" s="15">
        <v>0</v>
      </c>
      <c r="R46" s="37">
        <f t="shared" si="24"/>
        <v>0</v>
      </c>
      <c r="S46" s="15">
        <v>67</v>
      </c>
      <c r="T46" s="15">
        <f t="shared" si="25"/>
        <v>1206</v>
      </c>
      <c r="U46" s="12">
        <f t="shared" si="18"/>
        <v>326</v>
      </c>
      <c r="V46" s="12">
        <f t="shared" ref="V46" si="29">H46+J46+L46+N46+P46+T46</f>
        <v>5868</v>
      </c>
      <c r="W46" s="55">
        <f t="shared" si="27"/>
        <v>1408.32</v>
      </c>
    </row>
    <row r="47" spans="2:26" ht="13.5" thickBot="1" x14ac:dyDescent="0.25">
      <c r="W47" s="4"/>
      <c r="X47" s="4"/>
    </row>
    <row r="48" spans="2:26" ht="13.5" thickBot="1" x14ac:dyDescent="0.25">
      <c r="B48" s="89"/>
      <c r="C48" s="90" t="s">
        <v>6</v>
      </c>
      <c r="E48" s="57">
        <f>SUM(E34:E46)</f>
        <v>1004</v>
      </c>
      <c r="F48" s="57">
        <f t="shared" ref="F48:W48" si="30">SUM(F34:F46)</f>
        <v>43948</v>
      </c>
      <c r="G48" s="57">
        <f t="shared" si="30"/>
        <v>201</v>
      </c>
      <c r="H48" s="57">
        <f t="shared" si="30"/>
        <v>4839</v>
      </c>
      <c r="I48" s="57">
        <f t="shared" si="30"/>
        <v>171</v>
      </c>
      <c r="J48" s="57">
        <f t="shared" si="30"/>
        <v>5688</v>
      </c>
      <c r="K48" s="57">
        <f t="shared" si="30"/>
        <v>191</v>
      </c>
      <c r="L48" s="57">
        <f t="shared" si="30"/>
        <v>5895</v>
      </c>
      <c r="M48" s="57">
        <f t="shared" si="30"/>
        <v>174</v>
      </c>
      <c r="N48" s="57">
        <f t="shared" si="30"/>
        <v>5625</v>
      </c>
      <c r="O48" s="57">
        <f t="shared" si="30"/>
        <v>154</v>
      </c>
      <c r="P48" s="57">
        <f t="shared" si="30"/>
        <v>4851</v>
      </c>
      <c r="Q48" s="57">
        <f t="shared" si="30"/>
        <v>224</v>
      </c>
      <c r="R48" s="57">
        <f t="shared" si="30"/>
        <v>7325</v>
      </c>
      <c r="S48" s="57">
        <f t="shared" si="30"/>
        <v>176</v>
      </c>
      <c r="T48" s="57">
        <f t="shared" si="30"/>
        <v>5616</v>
      </c>
      <c r="U48" s="57">
        <f t="shared" si="30"/>
        <v>2295</v>
      </c>
      <c r="V48" s="57">
        <f t="shared" si="30"/>
        <v>83787</v>
      </c>
      <c r="W48" s="57">
        <f t="shared" si="30"/>
        <v>20108.880000000005</v>
      </c>
      <c r="X48" s="4"/>
    </row>
    <row r="49" spans="2:26" ht="13.5" thickBot="1" x14ac:dyDescent="0.25">
      <c r="B49" s="91"/>
      <c r="C49" s="117"/>
    </row>
    <row r="50" spans="2:26" ht="13.5" thickBot="1" x14ac:dyDescent="0.25">
      <c r="B50" s="333" t="s">
        <v>108</v>
      </c>
      <c r="C50" s="334"/>
      <c r="E50" s="335">
        <f>F48*12*20/1000</f>
        <v>10547.52</v>
      </c>
      <c r="F50" s="336"/>
      <c r="G50" s="335">
        <f>H48*12*20/1000</f>
        <v>1161.3599999999999</v>
      </c>
      <c r="H50" s="336"/>
      <c r="I50" s="335">
        <f>J48*12*20/1000</f>
        <v>1365.12</v>
      </c>
      <c r="J50" s="336"/>
      <c r="K50" s="335">
        <f>L48*12*20/1000</f>
        <v>1414.8</v>
      </c>
      <c r="L50" s="336"/>
      <c r="M50" s="335">
        <f>N48*12*20/1000</f>
        <v>1350</v>
      </c>
      <c r="N50" s="336"/>
      <c r="O50" s="335">
        <f>P48*12*20/1000</f>
        <v>1164.24</v>
      </c>
      <c r="P50" s="336"/>
      <c r="Q50" s="335">
        <f>R48*12*20/1000</f>
        <v>1758</v>
      </c>
      <c r="R50" s="336"/>
      <c r="S50" s="335">
        <f>T48*12*20/1000</f>
        <v>1347.84</v>
      </c>
      <c r="T50" s="336"/>
      <c r="U50" s="78"/>
      <c r="V50" s="4"/>
      <c r="W50" s="155">
        <f>V48*12*20/1000</f>
        <v>20108.88</v>
      </c>
      <c r="X50" s="39"/>
      <c r="Y50" s="4"/>
      <c r="Z50" s="3"/>
    </row>
    <row r="51" spans="2:26" ht="13.5" thickBot="1" x14ac:dyDescent="0.25">
      <c r="B51" s="333" t="s">
        <v>109</v>
      </c>
      <c r="C51" s="334"/>
      <c r="E51" s="337">
        <f>E50*12</f>
        <v>126570.24000000001</v>
      </c>
      <c r="F51" s="338"/>
      <c r="G51" s="337">
        <f>G50*12</f>
        <v>13936.32</v>
      </c>
      <c r="H51" s="338"/>
      <c r="I51" s="337">
        <f t="shared" ref="I51" si="31">I50*12</f>
        <v>16381.439999999999</v>
      </c>
      <c r="J51" s="338"/>
      <c r="K51" s="337">
        <f t="shared" ref="K51" si="32">K50*12</f>
        <v>16977.599999999999</v>
      </c>
      <c r="L51" s="338"/>
      <c r="M51" s="337">
        <f t="shared" ref="M51" si="33">M50*12</f>
        <v>16200</v>
      </c>
      <c r="N51" s="338"/>
      <c r="O51" s="337">
        <f t="shared" ref="O51" si="34">O50*12</f>
        <v>13970.880000000001</v>
      </c>
      <c r="P51" s="338"/>
      <c r="Q51" s="337">
        <f t="shared" ref="Q51" si="35">Q50*12</f>
        <v>21096</v>
      </c>
      <c r="R51" s="338"/>
      <c r="S51" s="337">
        <f t="shared" ref="S51" si="36">S50*12</f>
        <v>16174.079999999998</v>
      </c>
      <c r="T51" s="338"/>
      <c r="U51" s="78"/>
      <c r="W51" s="155">
        <f>+W50*12</f>
        <v>241306.56</v>
      </c>
      <c r="Y51" s="4"/>
      <c r="Z51" s="3"/>
    </row>
    <row r="53" spans="2:26" ht="13.5" thickBot="1" x14ac:dyDescent="0.25">
      <c r="B53" s="91" t="s">
        <v>5</v>
      </c>
    </row>
    <row r="54" spans="2:26" ht="38.25" customHeight="1" thickBot="1" x14ac:dyDescent="0.25">
      <c r="B54" s="327" t="s">
        <v>85</v>
      </c>
      <c r="C54" s="331" t="s">
        <v>159</v>
      </c>
      <c r="D54" s="339"/>
      <c r="E54" s="332"/>
      <c r="F54" s="331" t="s">
        <v>122</v>
      </c>
      <c r="G54" s="339"/>
      <c r="H54" s="332"/>
      <c r="I54" s="182"/>
      <c r="J54" s="168"/>
      <c r="V54" s="4"/>
    </row>
    <row r="55" spans="2:26" ht="13.5" customHeight="1" thickBot="1" x14ac:dyDescent="0.25">
      <c r="B55" s="328"/>
      <c r="C55" s="154">
        <v>2014</v>
      </c>
      <c r="D55" s="119">
        <v>2015</v>
      </c>
      <c r="E55" s="161" t="s">
        <v>114</v>
      </c>
      <c r="F55" s="154">
        <v>2014</v>
      </c>
      <c r="G55" s="119">
        <v>2015</v>
      </c>
      <c r="H55" s="118" t="s">
        <v>114</v>
      </c>
      <c r="I55" s="62"/>
      <c r="J55" s="168"/>
    </row>
    <row r="56" spans="2:26" x14ac:dyDescent="0.2">
      <c r="B56" s="13" t="s">
        <v>73</v>
      </c>
      <c r="C56" s="75">
        <v>215648.6</v>
      </c>
      <c r="D56" s="21">
        <v>186426.2</v>
      </c>
      <c r="E56" s="10">
        <f t="shared" ref="E56:E67" si="37">+C56-($W$29-$Y$29)</f>
        <v>204095.87</v>
      </c>
      <c r="F56" s="158">
        <f t="shared" ref="F56:F67" si="38">$W$29/C56</f>
        <v>0.15306289955047239</v>
      </c>
      <c r="G56" s="162">
        <f t="shared" ref="G56:G67" si="39">$W$50/D56</f>
        <v>0.10786509621501698</v>
      </c>
      <c r="H56" s="83">
        <f t="shared" ref="H56:H67" si="40">+$Y$29/E56</f>
        <v>0.10512250933838105</v>
      </c>
      <c r="I56" s="169"/>
      <c r="J56" s="169"/>
      <c r="K56" s="157"/>
      <c r="L56" s="3"/>
      <c r="M56" s="166"/>
      <c r="N56" s="3"/>
    </row>
    <row r="57" spans="2:26" x14ac:dyDescent="0.2">
      <c r="B57" s="14" t="s">
        <v>74</v>
      </c>
      <c r="C57" s="76">
        <v>201333.6</v>
      </c>
      <c r="D57" s="23">
        <v>172867</v>
      </c>
      <c r="E57" s="11">
        <f t="shared" si="37"/>
        <v>189780.87</v>
      </c>
      <c r="F57" s="159">
        <f t="shared" si="38"/>
        <v>0.16394580934329889</v>
      </c>
      <c r="G57" s="163">
        <f t="shared" si="39"/>
        <v>0.11632573018563405</v>
      </c>
      <c r="H57" s="84">
        <f t="shared" si="40"/>
        <v>0.11305180548492587</v>
      </c>
      <c r="I57" s="169"/>
      <c r="J57" s="169"/>
      <c r="K57" s="157"/>
    </row>
    <row r="58" spans="2:26" x14ac:dyDescent="0.2">
      <c r="B58" s="14" t="s">
        <v>75</v>
      </c>
      <c r="C58" s="76">
        <v>219127.4</v>
      </c>
      <c r="D58" s="23">
        <v>192068.1</v>
      </c>
      <c r="E58" s="11">
        <f t="shared" si="37"/>
        <v>207574.66999999998</v>
      </c>
      <c r="F58" s="159">
        <f t="shared" si="38"/>
        <v>0.15063291947971821</v>
      </c>
      <c r="G58" s="163">
        <f t="shared" si="39"/>
        <v>0.1046966154192185</v>
      </c>
      <c r="H58" s="84">
        <f t="shared" si="40"/>
        <v>0.10336073279075912</v>
      </c>
      <c r="I58" s="169"/>
      <c r="J58" s="169"/>
      <c r="K58" s="157"/>
    </row>
    <row r="59" spans="2:26" x14ac:dyDescent="0.2">
      <c r="B59" s="14" t="s">
        <v>76</v>
      </c>
      <c r="C59" s="76">
        <v>205888.3</v>
      </c>
      <c r="D59" s="23">
        <v>179532.2</v>
      </c>
      <c r="E59" s="11">
        <f t="shared" si="37"/>
        <v>194335.56999999998</v>
      </c>
      <c r="F59" s="159">
        <f t="shared" si="38"/>
        <v>0.16031896907206483</v>
      </c>
      <c r="G59" s="163">
        <f t="shared" si="39"/>
        <v>0.11200709399205268</v>
      </c>
      <c r="H59" s="84">
        <f t="shared" si="40"/>
        <v>0.11040217701782544</v>
      </c>
      <c r="I59" s="169"/>
      <c r="J59" s="169"/>
      <c r="K59" s="157"/>
    </row>
    <row r="60" spans="2:26" x14ac:dyDescent="0.2">
      <c r="B60" s="14" t="s">
        <v>77</v>
      </c>
      <c r="C60" s="76">
        <v>204544.8</v>
      </c>
      <c r="D60" s="23">
        <v>185553.1</v>
      </c>
      <c r="E60" s="11">
        <f t="shared" si="37"/>
        <v>192992.06999999998</v>
      </c>
      <c r="F60" s="159">
        <f t="shared" si="38"/>
        <v>0.16137198305701247</v>
      </c>
      <c r="G60" s="163">
        <f t="shared" si="39"/>
        <v>0.10837264373378834</v>
      </c>
      <c r="H60" s="84">
        <f t="shared" si="40"/>
        <v>0.11117073359542703</v>
      </c>
      <c r="I60" s="169"/>
      <c r="J60" s="169"/>
      <c r="K60" s="157"/>
    </row>
    <row r="61" spans="2:26" x14ac:dyDescent="0.2">
      <c r="B61" s="14" t="s">
        <v>78</v>
      </c>
      <c r="C61" s="76">
        <v>194727.6</v>
      </c>
      <c r="D61" s="23">
        <v>180669.9</v>
      </c>
      <c r="E61" s="11">
        <f t="shared" si="37"/>
        <v>183174.87</v>
      </c>
      <c r="F61" s="159">
        <f t="shared" si="38"/>
        <v>0.1695075582506024</v>
      </c>
      <c r="G61" s="163">
        <f t="shared" si="39"/>
        <v>0.11130177190555816</v>
      </c>
      <c r="H61" s="84">
        <f t="shared" si="40"/>
        <v>0.11712889437290172</v>
      </c>
      <c r="I61" s="169"/>
      <c r="J61" s="169"/>
      <c r="K61" s="157"/>
    </row>
    <row r="62" spans="2:26" x14ac:dyDescent="0.2">
      <c r="B62" s="14" t="s">
        <v>79</v>
      </c>
      <c r="C62" s="76">
        <v>206816.3</v>
      </c>
      <c r="D62" s="23">
        <v>192491</v>
      </c>
      <c r="E62" s="11">
        <f t="shared" si="37"/>
        <v>195263.56999999998</v>
      </c>
      <c r="F62" s="159">
        <f t="shared" si="38"/>
        <v>0.15959960602718454</v>
      </c>
      <c r="G62" s="163">
        <f t="shared" si="39"/>
        <v>0.10446659843836856</v>
      </c>
      <c r="H62" s="84">
        <f t="shared" si="40"/>
        <v>0.10987748508336709</v>
      </c>
      <c r="I62" s="169"/>
      <c r="J62" s="169"/>
      <c r="K62" s="157"/>
    </row>
    <row r="63" spans="2:26" x14ac:dyDescent="0.2">
      <c r="B63" s="14" t="s">
        <v>80</v>
      </c>
      <c r="C63" s="76">
        <v>194138.2</v>
      </c>
      <c r="D63" s="23">
        <v>189143.7</v>
      </c>
      <c r="E63" s="11">
        <f t="shared" si="37"/>
        <v>182585.47</v>
      </c>
      <c r="F63" s="159">
        <f t="shared" si="38"/>
        <v>0.17002218007584288</v>
      </c>
      <c r="G63" s="163">
        <f t="shared" si="39"/>
        <v>0.10631535705392249</v>
      </c>
      <c r="H63" s="84">
        <f t="shared" si="40"/>
        <v>0.11750699549093366</v>
      </c>
      <c r="I63" s="169"/>
      <c r="J63" s="169"/>
      <c r="K63" s="157"/>
    </row>
    <row r="64" spans="2:26" x14ac:dyDescent="0.2">
      <c r="B64" s="14" t="s">
        <v>81</v>
      </c>
      <c r="C64" s="76">
        <v>198791.4</v>
      </c>
      <c r="D64" s="23">
        <v>190776.2</v>
      </c>
      <c r="E64" s="11">
        <f t="shared" si="37"/>
        <v>187238.66999999998</v>
      </c>
      <c r="F64" s="159">
        <f t="shared" si="38"/>
        <v>0.16604239418807859</v>
      </c>
      <c r="G64" s="163">
        <f t="shared" si="39"/>
        <v>0.1054056009082894</v>
      </c>
      <c r="H64" s="84">
        <f t="shared" si="40"/>
        <v>0.11458674642369551</v>
      </c>
      <c r="I64" s="169"/>
      <c r="J64" s="169"/>
      <c r="K64" s="157"/>
      <c r="L64" s="3"/>
    </row>
    <row r="65" spans="2:13" x14ac:dyDescent="0.2">
      <c r="B65" s="14" t="s">
        <v>82</v>
      </c>
      <c r="C65" s="76">
        <v>203999</v>
      </c>
      <c r="D65" s="23">
        <v>193989</v>
      </c>
      <c r="E65" s="11">
        <f t="shared" si="37"/>
        <v>192446.27</v>
      </c>
      <c r="F65" s="159">
        <f t="shared" si="38"/>
        <v>0.16180373433203105</v>
      </c>
      <c r="G65" s="163">
        <f t="shared" si="39"/>
        <v>0.10365989824165288</v>
      </c>
      <c r="H65" s="84">
        <f t="shared" si="40"/>
        <v>0.11148602672319918</v>
      </c>
      <c r="I65" s="169"/>
      <c r="J65" s="169"/>
      <c r="K65" s="157"/>
      <c r="M65" s="1"/>
    </row>
    <row r="66" spans="2:13" x14ac:dyDescent="0.2">
      <c r="B66" s="14" t="s">
        <v>83</v>
      </c>
      <c r="C66" s="76">
        <v>191077.4</v>
      </c>
      <c r="D66" s="23">
        <v>180606</v>
      </c>
      <c r="E66" s="11">
        <f t="shared" si="37"/>
        <v>179524.66999999998</v>
      </c>
      <c r="F66" s="159">
        <f t="shared" si="38"/>
        <v>0.17274570409687384</v>
      </c>
      <c r="G66" s="163">
        <f t="shared" si="39"/>
        <v>0.11134115145676224</v>
      </c>
      <c r="H66" s="84">
        <f t="shared" si="40"/>
        <v>0.11951042717415944</v>
      </c>
      <c r="I66" s="169"/>
      <c r="J66" s="169"/>
      <c r="K66" s="157"/>
    </row>
    <row r="67" spans="2:13" ht="13.5" thickBot="1" x14ac:dyDescent="0.25">
      <c r="B67" s="15" t="s">
        <v>84</v>
      </c>
      <c r="C67" s="77">
        <v>190064.5</v>
      </c>
      <c r="D67" s="24">
        <v>182342.39999999999</v>
      </c>
      <c r="E67" s="12">
        <f t="shared" si="37"/>
        <v>178511.77</v>
      </c>
      <c r="F67" s="160">
        <f t="shared" si="38"/>
        <v>0.17366630801648916</v>
      </c>
      <c r="G67" s="164">
        <f t="shared" si="39"/>
        <v>0.11028087817205434</v>
      </c>
      <c r="H67" s="85">
        <f t="shared" si="40"/>
        <v>0.12018854555080601</v>
      </c>
      <c r="I67" s="169"/>
      <c r="J67" s="169"/>
      <c r="K67" s="157"/>
    </row>
    <row r="68" spans="2:13" ht="13.5" thickBot="1" x14ac:dyDescent="0.25">
      <c r="I68" s="74"/>
      <c r="J68" s="74"/>
    </row>
    <row r="69" spans="2:13" ht="13.5" thickBot="1" x14ac:dyDescent="0.25">
      <c r="B69" s="93" t="s">
        <v>6</v>
      </c>
      <c r="C69" s="86">
        <f>SUM(C56:C67)</f>
        <v>2426157.1</v>
      </c>
      <c r="D69" s="86">
        <f t="shared" ref="D69" si="41">SUM(D56:D67)</f>
        <v>2226464.7999999998</v>
      </c>
      <c r="E69" s="80">
        <f>SUM(E56:E67)</f>
        <v>2287524.34</v>
      </c>
      <c r="F69" s="87">
        <f>+W30/C69</f>
        <v>0.16325966690285637</v>
      </c>
      <c r="G69" s="87">
        <f>+W51/D69</f>
        <v>0.10838103526271783</v>
      </c>
      <c r="H69" s="88">
        <f>+Y30/E69</f>
        <v>0.11254998930415755</v>
      </c>
      <c r="I69" s="169"/>
      <c r="J69" s="169"/>
    </row>
    <row r="70" spans="2:13" x14ac:dyDescent="0.2">
      <c r="I70" s="74"/>
      <c r="J70" s="74"/>
    </row>
    <row r="71" spans="2:13" x14ac:dyDescent="0.2">
      <c r="B71" s="91" t="s">
        <v>25</v>
      </c>
      <c r="C71" s="111">
        <f>C69-D69</f>
        <v>199692.30000000028</v>
      </c>
      <c r="D71" s="1"/>
      <c r="E71" s="1"/>
      <c r="F71" s="1"/>
      <c r="H71" s="167"/>
    </row>
    <row r="72" spans="2:13" x14ac:dyDescent="0.2">
      <c r="B72" s="91" t="s">
        <v>111</v>
      </c>
      <c r="C72" s="1">
        <f>(C69-D69)/C69</f>
        <v>8.2308066530399154E-2</v>
      </c>
      <c r="F72" s="82"/>
      <c r="H72" s="167"/>
    </row>
    <row r="73" spans="2:13" x14ac:dyDescent="0.2">
      <c r="B73" s="91" t="s">
        <v>123</v>
      </c>
      <c r="C73" s="170">
        <f>+C72*0.39</f>
        <v>3.2100145946855674E-2</v>
      </c>
      <c r="D73" s="3"/>
      <c r="E73" s="3"/>
      <c r="F73" s="3"/>
      <c r="G73" s="82"/>
    </row>
    <row r="75" spans="2:13" x14ac:dyDescent="0.2">
      <c r="C75" s="145"/>
    </row>
  </sheetData>
  <sheetProtection password="DE72" sheet="1" objects="1" scenarios="1"/>
  <mergeCells count="65">
    <mergeCell ref="W4:W5"/>
    <mergeCell ref="C32:C33"/>
    <mergeCell ref="D32:D33"/>
    <mergeCell ref="V32:V33"/>
    <mergeCell ref="W32:W33"/>
    <mergeCell ref="U4:U5"/>
    <mergeCell ref="U32:U33"/>
    <mergeCell ref="O32:P32"/>
    <mergeCell ref="Q32:R32"/>
    <mergeCell ref="S32:T32"/>
    <mergeCell ref="Q29:R29"/>
    <mergeCell ref="S29:T29"/>
    <mergeCell ref="B30:C30"/>
    <mergeCell ref="E30:F30"/>
    <mergeCell ref="Q30:R30"/>
    <mergeCell ref="S30:T30"/>
    <mergeCell ref="M51:N51"/>
    <mergeCell ref="O51:P51"/>
    <mergeCell ref="Q51:R51"/>
    <mergeCell ref="S51:T51"/>
    <mergeCell ref="B54:B55"/>
    <mergeCell ref="C54:E54"/>
    <mergeCell ref="F54:H54"/>
    <mergeCell ref="B51:C51"/>
    <mergeCell ref="E51:F51"/>
    <mergeCell ref="G51:H51"/>
    <mergeCell ref="I51:J51"/>
    <mergeCell ref="K51:L51"/>
    <mergeCell ref="B50:C50"/>
    <mergeCell ref="E50:F50"/>
    <mergeCell ref="G50:H50"/>
    <mergeCell ref="I50:J50"/>
    <mergeCell ref="K50:L50"/>
    <mergeCell ref="S50:T50"/>
    <mergeCell ref="E32:F32"/>
    <mergeCell ref="G32:H32"/>
    <mergeCell ref="I32:J32"/>
    <mergeCell ref="K32:L32"/>
    <mergeCell ref="M32:N32"/>
    <mergeCell ref="M29:N29"/>
    <mergeCell ref="O29:P29"/>
    <mergeCell ref="M50:N50"/>
    <mergeCell ref="O50:P50"/>
    <mergeCell ref="Q50:R50"/>
    <mergeCell ref="G30:H30"/>
    <mergeCell ref="I30:J30"/>
    <mergeCell ref="K30:L30"/>
    <mergeCell ref="M30:N30"/>
    <mergeCell ref="O30:P30"/>
    <mergeCell ref="V4:V5"/>
    <mergeCell ref="E4:F4"/>
    <mergeCell ref="B29:C29"/>
    <mergeCell ref="E29:F29"/>
    <mergeCell ref="Q4:R4"/>
    <mergeCell ref="S4:T4"/>
    <mergeCell ref="G4:H4"/>
    <mergeCell ref="I4:J4"/>
    <mergeCell ref="K4:L4"/>
    <mergeCell ref="M4:N4"/>
    <mergeCell ref="O4:P4"/>
    <mergeCell ref="C4:C5"/>
    <mergeCell ref="D4:D5"/>
    <mergeCell ref="G29:H29"/>
    <mergeCell ref="I29:J29"/>
    <mergeCell ref="K29:L29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workbookViewId="0">
      <selection activeCell="M16" sqref="M16"/>
    </sheetView>
  </sheetViews>
  <sheetFormatPr baseColWidth="10" defaultRowHeight="12.75" x14ac:dyDescent="0.2"/>
  <cols>
    <col min="1" max="1" width="3.7109375" customWidth="1"/>
    <col min="2" max="2" width="34.42578125" bestFit="1" customWidth="1"/>
    <col min="3" max="3" width="7.5703125" bestFit="1" customWidth="1"/>
    <col min="4" max="4" width="8.5703125" bestFit="1" customWidth="1"/>
    <col min="5" max="5" width="14.7109375" bestFit="1" customWidth="1"/>
    <col min="6" max="6" width="11.7109375" bestFit="1" customWidth="1"/>
    <col min="7" max="7" width="9.5703125" bestFit="1" customWidth="1"/>
    <col min="8" max="8" width="14.7109375" bestFit="1" customWidth="1"/>
  </cols>
  <sheetData>
    <row r="2" spans="2:8" x14ac:dyDescent="0.2">
      <c r="B2" s="39" t="s">
        <v>125</v>
      </c>
    </row>
    <row r="3" spans="2:8" ht="13.5" thickBot="1" x14ac:dyDescent="0.25">
      <c r="B3" s="39"/>
    </row>
    <row r="4" spans="2:8" ht="39" thickBot="1" x14ac:dyDescent="0.25">
      <c r="B4" s="95" t="s">
        <v>100</v>
      </c>
      <c r="C4" s="96" t="s">
        <v>47</v>
      </c>
      <c r="D4" s="97" t="s">
        <v>110</v>
      </c>
      <c r="E4" s="95" t="s">
        <v>64</v>
      </c>
      <c r="F4" s="96" t="s">
        <v>96</v>
      </c>
      <c r="G4" s="98" t="s">
        <v>101</v>
      </c>
      <c r="H4" s="63"/>
    </row>
    <row r="5" spans="2:8" x14ac:dyDescent="0.2">
      <c r="B5" s="14" t="s">
        <v>49</v>
      </c>
      <c r="C5" s="30" t="s">
        <v>50</v>
      </c>
      <c r="D5" s="13">
        <v>32</v>
      </c>
      <c r="E5" s="13">
        <v>270</v>
      </c>
      <c r="F5" s="31">
        <f>D5*E5</f>
        <v>8640</v>
      </c>
      <c r="G5" s="46">
        <f>F5*12*20/1000</f>
        <v>2073.6</v>
      </c>
    </row>
    <row r="6" spans="2:8" x14ac:dyDescent="0.2">
      <c r="B6" s="14" t="s">
        <v>49</v>
      </c>
      <c r="C6" s="33" t="s">
        <v>50</v>
      </c>
      <c r="D6" s="14">
        <v>17</v>
      </c>
      <c r="E6" s="14">
        <v>54</v>
      </c>
      <c r="F6" s="34">
        <f t="shared" ref="F6:F17" si="0">D6*E6</f>
        <v>918</v>
      </c>
      <c r="G6" s="47">
        <f t="shared" ref="G6:G17" si="1">F6*12*20/1000</f>
        <v>220.32</v>
      </c>
    </row>
    <row r="7" spans="2:8" x14ac:dyDescent="0.2">
      <c r="B7" s="14" t="s">
        <v>86</v>
      </c>
      <c r="C7" s="33" t="s">
        <v>87</v>
      </c>
      <c r="D7" s="14">
        <v>39</v>
      </c>
      <c r="E7" s="14">
        <v>116</v>
      </c>
      <c r="F7" s="34">
        <f t="shared" si="0"/>
        <v>4524</v>
      </c>
      <c r="G7" s="47">
        <f t="shared" si="1"/>
        <v>1085.76</v>
      </c>
    </row>
    <row r="8" spans="2:8" x14ac:dyDescent="0.2">
      <c r="B8" s="14" t="s">
        <v>86</v>
      </c>
      <c r="C8" s="33" t="s">
        <v>87</v>
      </c>
      <c r="D8" s="14">
        <v>75</v>
      </c>
      <c r="E8" s="14">
        <v>78</v>
      </c>
      <c r="F8" s="34">
        <f t="shared" si="0"/>
        <v>5850</v>
      </c>
      <c r="G8" s="47">
        <f t="shared" si="1"/>
        <v>1404</v>
      </c>
    </row>
    <row r="9" spans="2:8" x14ac:dyDescent="0.2">
      <c r="B9" s="14" t="s">
        <v>88</v>
      </c>
      <c r="C9" s="33" t="s">
        <v>89</v>
      </c>
      <c r="D9" s="14">
        <v>1000</v>
      </c>
      <c r="E9" s="14">
        <v>4</v>
      </c>
      <c r="F9" s="34">
        <f t="shared" si="0"/>
        <v>4000</v>
      </c>
      <c r="G9" s="47">
        <f t="shared" si="1"/>
        <v>960</v>
      </c>
    </row>
    <row r="10" spans="2:8" x14ac:dyDescent="0.2">
      <c r="B10" s="14" t="s">
        <v>88</v>
      </c>
      <c r="C10" s="33" t="s">
        <v>89</v>
      </c>
      <c r="D10" s="14">
        <v>400</v>
      </c>
      <c r="E10" s="14">
        <v>1</v>
      </c>
      <c r="F10" s="34">
        <f t="shared" si="0"/>
        <v>400</v>
      </c>
      <c r="G10" s="47">
        <f t="shared" si="1"/>
        <v>96</v>
      </c>
    </row>
    <row r="11" spans="2:8" x14ac:dyDescent="0.2">
      <c r="B11" s="14" t="s">
        <v>90</v>
      </c>
      <c r="C11" s="33" t="s">
        <v>91</v>
      </c>
      <c r="D11" s="14">
        <v>150</v>
      </c>
      <c r="E11" s="14">
        <v>39</v>
      </c>
      <c r="F11" s="34">
        <f t="shared" si="0"/>
        <v>5850</v>
      </c>
      <c r="G11" s="47">
        <f t="shared" si="1"/>
        <v>1404</v>
      </c>
    </row>
    <row r="12" spans="2:8" x14ac:dyDescent="0.2">
      <c r="B12" s="14" t="s">
        <v>90</v>
      </c>
      <c r="C12" s="33" t="s">
        <v>91</v>
      </c>
      <c r="D12" s="14">
        <v>250</v>
      </c>
      <c r="E12" s="14">
        <v>14</v>
      </c>
      <c r="F12" s="34">
        <f t="shared" si="0"/>
        <v>3500</v>
      </c>
      <c r="G12" s="47">
        <f t="shared" si="1"/>
        <v>840</v>
      </c>
    </row>
    <row r="13" spans="2:8" x14ac:dyDescent="0.2">
      <c r="B13" s="14" t="s">
        <v>90</v>
      </c>
      <c r="C13" s="33" t="s">
        <v>91</v>
      </c>
      <c r="D13" s="14">
        <v>70</v>
      </c>
      <c r="E13" s="14">
        <v>12</v>
      </c>
      <c r="F13" s="34">
        <f t="shared" si="0"/>
        <v>840</v>
      </c>
      <c r="G13" s="47">
        <f t="shared" si="1"/>
        <v>201.6</v>
      </c>
    </row>
    <row r="14" spans="2:8" x14ac:dyDescent="0.2">
      <c r="B14" s="14" t="s">
        <v>92</v>
      </c>
      <c r="C14" s="33" t="s">
        <v>93</v>
      </c>
      <c r="D14" s="14">
        <v>125</v>
      </c>
      <c r="E14" s="14">
        <v>27</v>
      </c>
      <c r="F14" s="34">
        <f t="shared" si="0"/>
        <v>3375</v>
      </c>
      <c r="G14" s="47">
        <f t="shared" si="1"/>
        <v>810</v>
      </c>
    </row>
    <row r="15" spans="2:8" x14ac:dyDescent="0.2">
      <c r="B15" s="14" t="s">
        <v>51</v>
      </c>
      <c r="C15" s="33" t="s">
        <v>52</v>
      </c>
      <c r="D15" s="14">
        <v>20</v>
      </c>
      <c r="E15" s="14">
        <v>40</v>
      </c>
      <c r="F15" s="34">
        <f t="shared" si="0"/>
        <v>800</v>
      </c>
      <c r="G15" s="47">
        <f t="shared" si="1"/>
        <v>192</v>
      </c>
    </row>
    <row r="16" spans="2:8" x14ac:dyDescent="0.2">
      <c r="B16" s="14" t="s">
        <v>51</v>
      </c>
      <c r="C16" s="33" t="s">
        <v>52</v>
      </c>
      <c r="D16" s="14">
        <v>11</v>
      </c>
      <c r="E16" s="14">
        <v>20</v>
      </c>
      <c r="F16" s="34">
        <f t="shared" si="0"/>
        <v>220</v>
      </c>
      <c r="G16" s="47">
        <f t="shared" si="1"/>
        <v>52.8</v>
      </c>
    </row>
    <row r="17" spans="2:8" ht="13.5" thickBot="1" x14ac:dyDescent="0.25">
      <c r="B17" s="15" t="s">
        <v>94</v>
      </c>
      <c r="C17" s="36" t="s">
        <v>95</v>
      </c>
      <c r="D17" s="15">
        <v>60</v>
      </c>
      <c r="E17" s="15">
        <v>33</v>
      </c>
      <c r="F17" s="37">
        <f t="shared" si="0"/>
        <v>1980</v>
      </c>
      <c r="G17" s="79">
        <f t="shared" si="1"/>
        <v>475.2</v>
      </c>
    </row>
    <row r="18" spans="2:8" x14ac:dyDescent="0.2">
      <c r="B18" s="34"/>
      <c r="C18" s="34"/>
      <c r="D18" s="34"/>
      <c r="E18" s="34"/>
      <c r="F18" s="34"/>
      <c r="G18" s="78"/>
    </row>
    <row r="19" spans="2:8" ht="13.5" thickBot="1" x14ac:dyDescent="0.25">
      <c r="H19" s="56" t="s">
        <v>121</v>
      </c>
    </row>
    <row r="20" spans="2:8" ht="13.5" thickBot="1" x14ac:dyDescent="0.25">
      <c r="B20" s="333" t="s">
        <v>6</v>
      </c>
      <c r="C20" s="334"/>
      <c r="D20" s="34"/>
      <c r="E20" s="81">
        <f>SUM(E5:E17)</f>
        <v>708</v>
      </c>
      <c r="F20" s="80">
        <f>SUM(F5:F17)</f>
        <v>40897</v>
      </c>
      <c r="G20" s="155">
        <f>SUM(G5:G17)</f>
        <v>9815.2800000000007</v>
      </c>
      <c r="H20" s="155">
        <f>+G20*0.65</f>
        <v>6379.9320000000007</v>
      </c>
    </row>
    <row r="21" spans="2:8" ht="13.5" thickBot="1" x14ac:dyDescent="0.25">
      <c r="B21" s="333" t="s">
        <v>109</v>
      </c>
      <c r="C21" s="334"/>
      <c r="D21" s="34"/>
      <c r="E21" s="40"/>
      <c r="F21" s="52"/>
      <c r="G21" s="155">
        <f>+G20*12</f>
        <v>117783.36000000002</v>
      </c>
      <c r="H21" s="155">
        <f>+H20*12</f>
        <v>76559.184000000008</v>
      </c>
    </row>
    <row r="22" spans="2:8" x14ac:dyDescent="0.2">
      <c r="B22" s="341" t="s">
        <v>113</v>
      </c>
      <c r="C22" s="342"/>
      <c r="D22" s="34"/>
      <c r="E22" s="40"/>
      <c r="F22" s="52"/>
    </row>
    <row r="23" spans="2:8" ht="13.5" thickBot="1" x14ac:dyDescent="0.25">
      <c r="B23" s="343"/>
      <c r="C23" s="344"/>
      <c r="E23" s="29"/>
      <c r="F23" s="4"/>
      <c r="G23" s="4"/>
    </row>
    <row r="24" spans="2:8" x14ac:dyDescent="0.2">
      <c r="B24" s="260"/>
      <c r="C24" s="260"/>
      <c r="E24" s="29"/>
      <c r="F24" s="4"/>
      <c r="G24" s="4"/>
    </row>
    <row r="25" spans="2:8" ht="13.5" thickBot="1" x14ac:dyDescent="0.25">
      <c r="B25" s="91" t="s">
        <v>5</v>
      </c>
    </row>
    <row r="26" spans="2:8" ht="35.25" customHeight="1" thickBot="1" x14ac:dyDescent="0.25">
      <c r="B26" s="319" t="s">
        <v>85</v>
      </c>
      <c r="C26" s="345" t="s">
        <v>160</v>
      </c>
      <c r="D26" s="346"/>
      <c r="E26" s="347"/>
      <c r="F26" s="348" t="s">
        <v>107</v>
      </c>
      <c r="G26" s="349"/>
      <c r="H26" s="350"/>
    </row>
    <row r="27" spans="2:8" ht="13.5" thickBot="1" x14ac:dyDescent="0.25">
      <c r="B27" s="320"/>
      <c r="C27" s="99">
        <v>2014</v>
      </c>
      <c r="D27" s="96">
        <v>2015</v>
      </c>
      <c r="E27" s="96" t="s">
        <v>114</v>
      </c>
      <c r="F27" s="100">
        <v>2014</v>
      </c>
      <c r="G27" s="100">
        <v>2015</v>
      </c>
      <c r="H27" s="96" t="s">
        <v>114</v>
      </c>
    </row>
    <row r="28" spans="2:8" x14ac:dyDescent="0.2">
      <c r="B28" s="13" t="s">
        <v>73</v>
      </c>
      <c r="C28" s="18">
        <v>32000</v>
      </c>
      <c r="D28" s="16">
        <v>24000</v>
      </c>
      <c r="E28" s="10">
        <f>+C28-($G$20-$H$20)</f>
        <v>28564.652000000002</v>
      </c>
      <c r="F28" s="83">
        <f t="shared" ref="F28:G30" si="2">+$G$20/C28</f>
        <v>0.30672750000000004</v>
      </c>
      <c r="G28" s="83">
        <f t="shared" si="2"/>
        <v>0.40897</v>
      </c>
      <c r="H28" s="83">
        <f t="shared" ref="H28:H39" si="3">+$H$20/E28</f>
        <v>0.22335059429395465</v>
      </c>
    </row>
    <row r="29" spans="2:8" x14ac:dyDescent="0.2">
      <c r="B29" s="14" t="s">
        <v>74</v>
      </c>
      <c r="C29" s="18">
        <v>24000</v>
      </c>
      <c r="D29" s="16">
        <v>24000</v>
      </c>
      <c r="E29" s="11">
        <f>+C29-($G$20-$H$20)</f>
        <v>20564.652000000002</v>
      </c>
      <c r="F29" s="84">
        <f t="shared" si="2"/>
        <v>0.40897</v>
      </c>
      <c r="G29" s="84">
        <f t="shared" si="2"/>
        <v>0.40897</v>
      </c>
      <c r="H29" s="84">
        <f t="shared" si="3"/>
        <v>0.31023778082896808</v>
      </c>
    </row>
    <row r="30" spans="2:8" x14ac:dyDescent="0.2">
      <c r="B30" s="14" t="s">
        <v>75</v>
      </c>
      <c r="C30" s="18">
        <v>24000</v>
      </c>
      <c r="D30" s="16">
        <v>16000</v>
      </c>
      <c r="E30" s="11">
        <f>+C30-($G$20-$H$20)</f>
        <v>20564.652000000002</v>
      </c>
      <c r="F30" s="84">
        <f t="shared" si="2"/>
        <v>0.40897</v>
      </c>
      <c r="G30" s="84">
        <f t="shared" si="2"/>
        <v>0.61345500000000008</v>
      </c>
      <c r="H30" s="84">
        <f t="shared" si="3"/>
        <v>0.31023778082896808</v>
      </c>
    </row>
    <row r="31" spans="2:8" x14ac:dyDescent="0.2">
      <c r="B31" s="14" t="s">
        <v>76</v>
      </c>
      <c r="C31" s="18">
        <v>0</v>
      </c>
      <c r="D31" s="16">
        <v>24370</v>
      </c>
      <c r="E31" s="11">
        <f>25000-($G$20-$H$20)</f>
        <v>21564.652000000002</v>
      </c>
      <c r="F31" s="84">
        <f>+$G$20/25000</f>
        <v>0.39261120000000005</v>
      </c>
      <c r="G31" s="84">
        <f>+$G$20/D31</f>
        <v>0.40276077144029548</v>
      </c>
      <c r="H31" s="84">
        <f t="shared" si="3"/>
        <v>0.2958513775228091</v>
      </c>
    </row>
    <row r="32" spans="2:8" x14ac:dyDescent="0.2">
      <c r="B32" s="14" t="s">
        <v>77</v>
      </c>
      <c r="C32" s="18">
        <v>32000</v>
      </c>
      <c r="D32" s="16">
        <v>22780</v>
      </c>
      <c r="E32" s="11">
        <f t="shared" ref="E32:E39" si="4">+C32-($G$20-$H$20)</f>
        <v>28564.652000000002</v>
      </c>
      <c r="F32" s="84">
        <f t="shared" ref="F32:F39" si="5">+$G$20/C32</f>
        <v>0.30672750000000004</v>
      </c>
      <c r="G32" s="84">
        <f>+$G$20/D32</f>
        <v>0.43087269534679545</v>
      </c>
      <c r="H32" s="84">
        <f t="shared" si="3"/>
        <v>0.22335059429395465</v>
      </c>
    </row>
    <row r="33" spans="2:8" x14ac:dyDescent="0.2">
      <c r="B33" s="14" t="s">
        <v>78</v>
      </c>
      <c r="C33" s="18">
        <v>32000</v>
      </c>
      <c r="D33" s="16">
        <v>56000</v>
      </c>
      <c r="E33" s="11">
        <f t="shared" si="4"/>
        <v>28564.652000000002</v>
      </c>
      <c r="F33" s="84">
        <f t="shared" si="5"/>
        <v>0.30672750000000004</v>
      </c>
      <c r="G33" s="84">
        <f>+$G$20/D33</f>
        <v>0.17527285714285715</v>
      </c>
      <c r="H33" s="84">
        <f t="shared" si="3"/>
        <v>0.22335059429395465</v>
      </c>
    </row>
    <row r="34" spans="2:8" x14ac:dyDescent="0.2">
      <c r="B34" s="14" t="s">
        <v>79</v>
      </c>
      <c r="C34" s="18">
        <v>16000</v>
      </c>
      <c r="D34" s="16">
        <v>8000</v>
      </c>
      <c r="E34" s="11">
        <f t="shared" si="4"/>
        <v>12564.652</v>
      </c>
      <c r="F34" s="84">
        <f t="shared" si="5"/>
        <v>0.61345500000000008</v>
      </c>
      <c r="G34" s="84">
        <f>+$G$20/D34</f>
        <v>1.2269100000000002</v>
      </c>
      <c r="H34" s="84">
        <f t="shared" si="3"/>
        <v>0.50776830110376325</v>
      </c>
    </row>
    <row r="35" spans="2:8" x14ac:dyDescent="0.2">
      <c r="B35" s="14" t="s">
        <v>80</v>
      </c>
      <c r="C35" s="18">
        <v>32000</v>
      </c>
      <c r="D35" s="16">
        <v>0</v>
      </c>
      <c r="E35" s="11">
        <f t="shared" si="4"/>
        <v>28564.652000000002</v>
      </c>
      <c r="F35" s="84">
        <f>+$G$20/C35</f>
        <v>0.30672750000000004</v>
      </c>
      <c r="G35" s="84">
        <f>+$G$20/25000</f>
        <v>0.39261120000000005</v>
      </c>
      <c r="H35" s="84">
        <f t="shared" si="3"/>
        <v>0.22335059429395465</v>
      </c>
    </row>
    <row r="36" spans="2:8" x14ac:dyDescent="0.2">
      <c r="B36" s="14" t="s">
        <v>81</v>
      </c>
      <c r="C36" s="18">
        <v>16000</v>
      </c>
      <c r="D36" s="16">
        <v>24000</v>
      </c>
      <c r="E36" s="11">
        <f t="shared" si="4"/>
        <v>12564.652</v>
      </c>
      <c r="F36" s="84">
        <f t="shared" si="5"/>
        <v>0.61345500000000008</v>
      </c>
      <c r="G36" s="84">
        <f>+$G$20/D36</f>
        <v>0.40897</v>
      </c>
      <c r="H36" s="84">
        <f t="shared" si="3"/>
        <v>0.50776830110376325</v>
      </c>
    </row>
    <row r="37" spans="2:8" x14ac:dyDescent="0.2">
      <c r="B37" s="14" t="s">
        <v>82</v>
      </c>
      <c r="C37" s="18">
        <v>24000</v>
      </c>
      <c r="D37" s="16">
        <v>24000</v>
      </c>
      <c r="E37" s="11">
        <f t="shared" si="4"/>
        <v>20564.652000000002</v>
      </c>
      <c r="F37" s="84">
        <f t="shared" si="5"/>
        <v>0.40897</v>
      </c>
      <c r="G37" s="84">
        <f>+$G$20/D37</f>
        <v>0.40897</v>
      </c>
      <c r="H37" s="84">
        <f t="shared" si="3"/>
        <v>0.31023778082896808</v>
      </c>
    </row>
    <row r="38" spans="2:8" x14ac:dyDescent="0.2">
      <c r="B38" s="14" t="s">
        <v>83</v>
      </c>
      <c r="C38" s="18">
        <v>24000</v>
      </c>
      <c r="D38" s="16">
        <v>27260</v>
      </c>
      <c r="E38" s="11">
        <f t="shared" si="4"/>
        <v>20564.652000000002</v>
      </c>
      <c r="F38" s="84">
        <f t="shared" si="5"/>
        <v>0.40897</v>
      </c>
      <c r="G38" s="84">
        <f>+$G$20/D38</f>
        <v>0.36006162876008807</v>
      </c>
      <c r="H38" s="84">
        <f t="shared" si="3"/>
        <v>0.31023778082896808</v>
      </c>
    </row>
    <row r="39" spans="2:8" ht="13.5" thickBot="1" x14ac:dyDescent="0.25">
      <c r="B39" s="15" t="s">
        <v>84</v>
      </c>
      <c r="C39" s="19">
        <v>24000</v>
      </c>
      <c r="D39" s="17">
        <v>19016</v>
      </c>
      <c r="E39" s="12">
        <f t="shared" si="4"/>
        <v>20564.652000000002</v>
      </c>
      <c r="F39" s="85">
        <f t="shared" si="5"/>
        <v>0.40897</v>
      </c>
      <c r="G39" s="85">
        <f>+$G$20/D39</f>
        <v>0.51615902397980651</v>
      </c>
      <c r="H39" s="85">
        <f t="shared" si="3"/>
        <v>0.31023778082896808</v>
      </c>
    </row>
    <row r="40" spans="2:8" ht="13.5" thickBot="1" x14ac:dyDescent="0.25">
      <c r="G40" s="74"/>
      <c r="H40" s="74"/>
    </row>
    <row r="41" spans="2:8" ht="13.5" thickBot="1" x14ac:dyDescent="0.25">
      <c r="B41" s="93" t="s">
        <v>112</v>
      </c>
      <c r="C41" s="86">
        <f>SUM(C28:C39)</f>
        <v>280000</v>
      </c>
      <c r="D41" s="86">
        <f t="shared" ref="D41:E41" si="6">SUM(D28:D39)</f>
        <v>269426</v>
      </c>
      <c r="E41" s="86">
        <f t="shared" si="6"/>
        <v>263775.82400000002</v>
      </c>
      <c r="F41" s="87">
        <f>+G21/D41</f>
        <v>0.43716404504390821</v>
      </c>
      <c r="G41" s="87">
        <f>+G21/E41</f>
        <v>0.44652826105852672</v>
      </c>
      <c r="H41" s="87">
        <f>+H21/E41</f>
        <v>0.29024336968804237</v>
      </c>
    </row>
    <row r="42" spans="2:8" x14ac:dyDescent="0.2">
      <c r="G42" s="74"/>
      <c r="H42" s="74"/>
    </row>
    <row r="43" spans="2:8" x14ac:dyDescent="0.2">
      <c r="B43" s="91" t="s">
        <v>25</v>
      </c>
      <c r="C43" s="111">
        <f>C41-D41</f>
        <v>10574</v>
      </c>
      <c r="G43" s="183"/>
      <c r="H43" s="74"/>
    </row>
    <row r="44" spans="2:8" x14ac:dyDescent="0.2">
      <c r="B44" s="91" t="s">
        <v>111</v>
      </c>
      <c r="C44" s="1">
        <f>(C41-D41)/C41</f>
        <v>3.7764285714285716E-2</v>
      </c>
    </row>
    <row r="45" spans="2:8" x14ac:dyDescent="0.2">
      <c r="B45" s="91"/>
      <c r="C45" s="170"/>
    </row>
  </sheetData>
  <sheetProtection password="DE72" sheet="1" objects="1" scenarios="1"/>
  <mergeCells count="6">
    <mergeCell ref="B22:C23"/>
    <mergeCell ref="C26:E26"/>
    <mergeCell ref="F26:H26"/>
    <mergeCell ref="B20:C20"/>
    <mergeCell ref="B21:C21"/>
    <mergeCell ref="B26:B27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3"/>
  <sheetViews>
    <sheetView workbookViewId="0">
      <selection activeCell="O15" sqref="O15"/>
    </sheetView>
  </sheetViews>
  <sheetFormatPr baseColWidth="10" defaultRowHeight="12.75" x14ac:dyDescent="0.2"/>
  <cols>
    <col min="1" max="1" width="3.7109375" customWidth="1"/>
    <col min="2" max="2" width="41.140625" customWidth="1"/>
    <col min="3" max="3" width="7.28515625" bestFit="1" customWidth="1"/>
    <col min="4" max="4" width="8.5703125" bestFit="1" customWidth="1"/>
    <col min="5" max="5" width="14.7109375" bestFit="1" customWidth="1"/>
    <col min="6" max="6" width="11.7109375" bestFit="1" customWidth="1"/>
    <col min="7" max="7" width="9.5703125" bestFit="1" customWidth="1"/>
    <col min="8" max="8" width="14.7109375" bestFit="1" customWidth="1"/>
  </cols>
  <sheetData>
    <row r="2" spans="2:8" x14ac:dyDescent="0.2">
      <c r="B2" s="39" t="s">
        <v>185</v>
      </c>
    </row>
    <row r="3" spans="2:8" ht="13.5" thickBot="1" x14ac:dyDescent="0.25">
      <c r="B3" s="39"/>
    </row>
    <row r="4" spans="2:8" ht="39" thickBot="1" x14ac:dyDescent="0.25">
      <c r="B4" s="95" t="s">
        <v>100</v>
      </c>
      <c r="C4" s="96" t="s">
        <v>47</v>
      </c>
      <c r="D4" s="120" t="s">
        <v>110</v>
      </c>
      <c r="E4" s="95" t="s">
        <v>64</v>
      </c>
      <c r="F4" s="96" t="s">
        <v>96</v>
      </c>
      <c r="G4" s="118" t="s">
        <v>101</v>
      </c>
      <c r="H4" s="63"/>
    </row>
    <row r="5" spans="2:8" x14ac:dyDescent="0.2">
      <c r="B5" s="30" t="s">
        <v>49</v>
      </c>
      <c r="C5" s="13" t="s">
        <v>50</v>
      </c>
      <c r="D5" s="31">
        <v>17</v>
      </c>
      <c r="E5" s="13">
        <v>376</v>
      </c>
      <c r="F5" s="30">
        <f>E5*D5</f>
        <v>6392</v>
      </c>
      <c r="G5" s="46">
        <f>F5*12*20/1000</f>
        <v>1534.08</v>
      </c>
    </row>
    <row r="6" spans="2:8" x14ac:dyDescent="0.2">
      <c r="B6" s="33" t="s">
        <v>49</v>
      </c>
      <c r="C6" s="14" t="s">
        <v>50</v>
      </c>
      <c r="D6" s="34">
        <v>32</v>
      </c>
      <c r="E6" s="14">
        <v>131</v>
      </c>
      <c r="F6" s="33">
        <f t="shared" ref="F6:F15" si="0">E6*D6</f>
        <v>4192</v>
      </c>
      <c r="G6" s="47">
        <f t="shared" ref="G6:G15" si="1">F6*12*20/1000</f>
        <v>1006.08</v>
      </c>
    </row>
    <row r="7" spans="2:8" x14ac:dyDescent="0.2">
      <c r="B7" s="33" t="s">
        <v>86</v>
      </c>
      <c r="C7" s="14" t="s">
        <v>87</v>
      </c>
      <c r="D7" s="34">
        <v>39</v>
      </c>
      <c r="E7" s="14">
        <v>164</v>
      </c>
      <c r="F7" s="33">
        <f t="shared" si="0"/>
        <v>6396</v>
      </c>
      <c r="G7" s="47">
        <f t="shared" si="1"/>
        <v>1535.04</v>
      </c>
    </row>
    <row r="8" spans="2:8" x14ac:dyDescent="0.2">
      <c r="B8" s="33" t="s">
        <v>86</v>
      </c>
      <c r="C8" s="14" t="s">
        <v>87</v>
      </c>
      <c r="D8" s="34">
        <v>75</v>
      </c>
      <c r="E8" s="14">
        <v>34</v>
      </c>
      <c r="F8" s="33">
        <f t="shared" si="0"/>
        <v>2550</v>
      </c>
      <c r="G8" s="47">
        <f t="shared" si="1"/>
        <v>612</v>
      </c>
    </row>
    <row r="9" spans="2:8" x14ac:dyDescent="0.2">
      <c r="B9" s="33" t="s">
        <v>51</v>
      </c>
      <c r="C9" s="14" t="s">
        <v>52</v>
      </c>
      <c r="D9" s="34">
        <v>25</v>
      </c>
      <c r="E9" s="14">
        <v>20</v>
      </c>
      <c r="F9" s="33">
        <f t="shared" si="0"/>
        <v>500</v>
      </c>
      <c r="G9" s="47">
        <f t="shared" si="1"/>
        <v>120</v>
      </c>
    </row>
    <row r="10" spans="2:8" x14ac:dyDescent="0.2">
      <c r="B10" s="33" t="s">
        <v>51</v>
      </c>
      <c r="C10" s="14" t="s">
        <v>52</v>
      </c>
      <c r="D10" s="34">
        <v>13</v>
      </c>
      <c r="E10" s="14">
        <v>1</v>
      </c>
      <c r="F10" s="33">
        <f t="shared" si="0"/>
        <v>13</v>
      </c>
      <c r="G10" s="47">
        <f t="shared" si="1"/>
        <v>3.12</v>
      </c>
    </row>
    <row r="11" spans="2:8" x14ac:dyDescent="0.2">
      <c r="B11" s="33" t="s">
        <v>53</v>
      </c>
      <c r="C11" s="14" t="s">
        <v>54</v>
      </c>
      <c r="D11" s="34">
        <v>50</v>
      </c>
      <c r="E11" s="14">
        <v>9</v>
      </c>
      <c r="F11" s="33">
        <f t="shared" si="0"/>
        <v>450</v>
      </c>
      <c r="G11" s="47">
        <f t="shared" si="1"/>
        <v>108</v>
      </c>
    </row>
    <row r="12" spans="2:8" x14ac:dyDescent="0.2">
      <c r="B12" s="33" t="s">
        <v>105</v>
      </c>
      <c r="C12" s="14" t="s">
        <v>89</v>
      </c>
      <c r="D12" s="34">
        <v>400</v>
      </c>
      <c r="E12" s="14">
        <v>11</v>
      </c>
      <c r="F12" s="33">
        <f t="shared" si="0"/>
        <v>4400</v>
      </c>
      <c r="G12" s="47">
        <f t="shared" si="1"/>
        <v>1056</v>
      </c>
    </row>
    <row r="13" spans="2:8" x14ac:dyDescent="0.2">
      <c r="B13" s="33" t="s">
        <v>102</v>
      </c>
      <c r="C13" s="14" t="s">
        <v>95</v>
      </c>
      <c r="D13" s="34">
        <v>60</v>
      </c>
      <c r="E13" s="14">
        <v>5</v>
      </c>
      <c r="F13" s="33">
        <f t="shared" si="0"/>
        <v>300</v>
      </c>
      <c r="G13" s="47">
        <f t="shared" si="1"/>
        <v>72</v>
      </c>
    </row>
    <row r="14" spans="2:8" x14ac:dyDescent="0.2">
      <c r="B14" s="33" t="s">
        <v>102</v>
      </c>
      <c r="C14" s="14" t="s">
        <v>95</v>
      </c>
      <c r="D14" s="34">
        <v>100</v>
      </c>
      <c r="E14" s="14">
        <v>3</v>
      </c>
      <c r="F14" s="33">
        <f t="shared" si="0"/>
        <v>300</v>
      </c>
      <c r="G14" s="47">
        <f t="shared" si="1"/>
        <v>72</v>
      </c>
    </row>
    <row r="15" spans="2:8" ht="13.5" thickBot="1" x14ac:dyDescent="0.25">
      <c r="B15" s="36" t="s">
        <v>102</v>
      </c>
      <c r="C15" s="15" t="s">
        <v>95</v>
      </c>
      <c r="D15" s="37">
        <v>150</v>
      </c>
      <c r="E15" s="15">
        <v>4</v>
      </c>
      <c r="F15" s="36">
        <f t="shared" si="0"/>
        <v>600</v>
      </c>
      <c r="G15" s="79">
        <f t="shared" si="1"/>
        <v>144</v>
      </c>
    </row>
    <row r="16" spans="2:8" x14ac:dyDescent="0.2">
      <c r="B16" s="34"/>
      <c r="C16" s="34"/>
      <c r="D16" s="34"/>
      <c r="E16" s="34"/>
      <c r="F16" s="34"/>
      <c r="G16" s="78"/>
    </row>
    <row r="17" spans="2:8" ht="13.5" thickBot="1" x14ac:dyDescent="0.25">
      <c r="H17" s="56" t="s">
        <v>121</v>
      </c>
    </row>
    <row r="18" spans="2:8" ht="13.5" thickBot="1" x14ac:dyDescent="0.25">
      <c r="B18" s="333" t="s">
        <v>6</v>
      </c>
      <c r="C18" s="334"/>
      <c r="D18" s="34"/>
      <c r="E18" s="81">
        <f>SUM(E5:E15)</f>
        <v>758</v>
      </c>
      <c r="F18" s="80">
        <f>SUM(F5:F15)</f>
        <v>26093</v>
      </c>
      <c r="G18" s="155">
        <f>SUM(G5:G15)</f>
        <v>6262.32</v>
      </c>
      <c r="H18" s="155">
        <f>+G18*0.65</f>
        <v>4070.5079999999998</v>
      </c>
    </row>
    <row r="19" spans="2:8" ht="13.5" thickBot="1" x14ac:dyDescent="0.25">
      <c r="B19" s="333" t="s">
        <v>109</v>
      </c>
      <c r="C19" s="334"/>
      <c r="D19" s="34"/>
      <c r="E19" s="40"/>
      <c r="F19" s="52"/>
      <c r="G19" s="155">
        <f>+G18*12</f>
        <v>75147.839999999997</v>
      </c>
      <c r="H19" s="155">
        <f>+H18*12</f>
        <v>48846.095999999998</v>
      </c>
    </row>
    <row r="20" spans="2:8" x14ac:dyDescent="0.2">
      <c r="B20" s="341" t="s">
        <v>113</v>
      </c>
      <c r="C20" s="342"/>
      <c r="D20" s="34"/>
      <c r="E20" s="40"/>
      <c r="F20" s="52"/>
    </row>
    <row r="21" spans="2:8" ht="13.5" thickBot="1" x14ac:dyDescent="0.25">
      <c r="B21" s="343"/>
      <c r="C21" s="344"/>
      <c r="E21" s="29"/>
      <c r="F21" s="4"/>
      <c r="G21" s="4"/>
    </row>
    <row r="22" spans="2:8" x14ac:dyDescent="0.2">
      <c r="B22" s="260"/>
      <c r="C22" s="260"/>
      <c r="E22" s="29"/>
      <c r="F22" s="4"/>
      <c r="G22" s="4"/>
    </row>
    <row r="23" spans="2:8" ht="13.5" thickBot="1" x14ac:dyDescent="0.25">
      <c r="B23" s="91" t="s">
        <v>5</v>
      </c>
    </row>
    <row r="24" spans="2:8" ht="35.25" customHeight="1" thickBot="1" x14ac:dyDescent="0.25">
      <c r="B24" s="319" t="s">
        <v>85</v>
      </c>
      <c r="C24" s="345" t="s">
        <v>160</v>
      </c>
      <c r="D24" s="346"/>
      <c r="E24" s="347"/>
      <c r="F24" s="348" t="s">
        <v>107</v>
      </c>
      <c r="G24" s="349"/>
      <c r="H24" s="350"/>
    </row>
    <row r="25" spans="2:8" ht="13.5" thickBot="1" x14ac:dyDescent="0.25">
      <c r="B25" s="320"/>
      <c r="C25" s="99">
        <v>2014</v>
      </c>
      <c r="D25" s="96">
        <v>2015</v>
      </c>
      <c r="E25" s="96" t="s">
        <v>114</v>
      </c>
      <c r="F25" s="100">
        <v>2014</v>
      </c>
      <c r="G25" s="100">
        <v>2015</v>
      </c>
      <c r="H25" s="96" t="s">
        <v>114</v>
      </c>
    </row>
    <row r="26" spans="2:8" x14ac:dyDescent="0.2">
      <c r="B26" s="13" t="s">
        <v>73</v>
      </c>
      <c r="C26" s="18">
        <v>16180</v>
      </c>
      <c r="D26" s="52">
        <v>16100</v>
      </c>
      <c r="E26" s="10">
        <f>+C26-($G$18-$H$18)</f>
        <v>13988.188</v>
      </c>
      <c r="F26" s="83">
        <f t="shared" ref="F26:G28" si="2">+$G$18/C26</f>
        <v>0.38704079110012357</v>
      </c>
      <c r="G26" s="83">
        <f>+$G$18/D26</f>
        <v>0.38896397515527947</v>
      </c>
      <c r="H26" s="83">
        <f t="shared" ref="H26:H37" si="3">+$H$18/E26</f>
        <v>0.29099608898593582</v>
      </c>
    </row>
    <row r="27" spans="2:8" x14ac:dyDescent="0.2">
      <c r="B27" s="14" t="s">
        <v>74</v>
      </c>
      <c r="C27" s="18">
        <v>13980</v>
      </c>
      <c r="D27" s="52">
        <v>17000</v>
      </c>
      <c r="E27" s="11">
        <f>+C27-($G$18-$H$18)</f>
        <v>11788.188</v>
      </c>
      <c r="F27" s="84">
        <f t="shared" si="2"/>
        <v>0.44794849785407725</v>
      </c>
      <c r="G27" s="84">
        <f t="shared" si="2"/>
        <v>0.36837176470588234</v>
      </c>
      <c r="H27" s="84">
        <f t="shared" si="3"/>
        <v>0.34530396020151694</v>
      </c>
    </row>
    <row r="28" spans="2:8" x14ac:dyDescent="0.2">
      <c r="B28" s="14" t="s">
        <v>75</v>
      </c>
      <c r="C28" s="18">
        <v>14800</v>
      </c>
      <c r="D28" s="261">
        <v>0</v>
      </c>
      <c r="E28" s="11">
        <f>+C28-($G$18-$H$18)</f>
        <v>12608.188</v>
      </c>
      <c r="F28" s="84">
        <f t="shared" si="2"/>
        <v>0.42312972972972973</v>
      </c>
      <c r="G28" s="84">
        <f>+$G$18/14310</f>
        <v>0.43761844863731653</v>
      </c>
      <c r="H28" s="84">
        <f t="shared" si="3"/>
        <v>0.3228463915671308</v>
      </c>
    </row>
    <row r="29" spans="2:8" x14ac:dyDescent="0.2">
      <c r="B29" s="14" t="s">
        <v>76</v>
      </c>
      <c r="C29" s="262">
        <v>0</v>
      </c>
      <c r="D29" s="52">
        <v>15720</v>
      </c>
      <c r="E29" s="11">
        <f>9036-($G$18-$H$18)</f>
        <v>6844.1880000000001</v>
      </c>
      <c r="F29" s="84">
        <f>+$G$18/15077</f>
        <v>0.41535584002122439</v>
      </c>
      <c r="G29" s="84">
        <f t="shared" ref="G29:G37" si="4">+$G$18/D29</f>
        <v>0.39836641221374042</v>
      </c>
      <c r="H29" s="84">
        <f t="shared" si="3"/>
        <v>0.59473936133840855</v>
      </c>
    </row>
    <row r="30" spans="2:8" x14ac:dyDescent="0.2">
      <c r="B30" s="14" t="s">
        <v>77</v>
      </c>
      <c r="C30" s="18">
        <v>23060</v>
      </c>
      <c r="D30" s="52">
        <v>13880</v>
      </c>
      <c r="E30" s="11">
        <f t="shared" ref="E30:E37" si="5">+C30-($G$18-$H$18)</f>
        <v>20868.188000000002</v>
      </c>
      <c r="F30" s="84">
        <f t="shared" ref="F30:F37" si="6">+$G$18/C30</f>
        <v>0.2715663486556808</v>
      </c>
      <c r="G30" s="84">
        <f t="shared" si="4"/>
        <v>0.45117579250720458</v>
      </c>
      <c r="H30" s="84">
        <f t="shared" si="3"/>
        <v>0.19505804720563183</v>
      </c>
    </row>
    <row r="31" spans="2:8" x14ac:dyDescent="0.2">
      <c r="B31" s="14" t="s">
        <v>78</v>
      </c>
      <c r="C31" s="18">
        <v>15340</v>
      </c>
      <c r="D31" s="52">
        <v>15120</v>
      </c>
      <c r="E31" s="11">
        <f t="shared" si="5"/>
        <v>13148.188</v>
      </c>
      <c r="F31" s="84">
        <f t="shared" si="6"/>
        <v>0.40823468057366363</v>
      </c>
      <c r="G31" s="84">
        <f t="shared" si="4"/>
        <v>0.41417460317460314</v>
      </c>
      <c r="H31" s="84">
        <f t="shared" si="3"/>
        <v>0.30958699404054763</v>
      </c>
    </row>
    <row r="32" spans="2:8" x14ac:dyDescent="0.2">
      <c r="B32" s="14" t="s">
        <v>79</v>
      </c>
      <c r="C32" s="18">
        <v>15360</v>
      </c>
      <c r="D32" s="52">
        <v>15440</v>
      </c>
      <c r="E32" s="11">
        <f t="shared" si="5"/>
        <v>13168.188</v>
      </c>
      <c r="F32" s="84">
        <f t="shared" si="6"/>
        <v>0.407703125</v>
      </c>
      <c r="G32" s="84">
        <f t="shared" si="4"/>
        <v>0.40559067357512951</v>
      </c>
      <c r="H32" s="84">
        <f t="shared" si="3"/>
        <v>0.30911678964486228</v>
      </c>
    </row>
    <row r="33" spans="2:8" x14ac:dyDescent="0.2">
      <c r="B33" s="14" t="s">
        <v>80</v>
      </c>
      <c r="C33" s="18">
        <v>16432</v>
      </c>
      <c r="D33" s="52">
        <v>15040</v>
      </c>
      <c r="E33" s="11">
        <f t="shared" si="5"/>
        <v>14240.188</v>
      </c>
      <c r="F33" s="84">
        <f t="shared" si="6"/>
        <v>0.38110516066212269</v>
      </c>
      <c r="G33" s="84">
        <f t="shared" si="4"/>
        <v>0.41637765957446804</v>
      </c>
      <c r="H33" s="84">
        <f t="shared" si="3"/>
        <v>0.28584650708263121</v>
      </c>
    </row>
    <row r="34" spans="2:8" x14ac:dyDescent="0.2">
      <c r="B34" s="14" t="s">
        <v>81</v>
      </c>
      <c r="C34" s="18">
        <v>21776</v>
      </c>
      <c r="D34" s="52">
        <v>14660</v>
      </c>
      <c r="E34" s="11">
        <f t="shared" si="5"/>
        <v>19584.188000000002</v>
      </c>
      <c r="F34" s="84">
        <f t="shared" si="6"/>
        <v>0.28757898603967669</v>
      </c>
      <c r="G34" s="84">
        <f t="shared" si="4"/>
        <v>0.42717053206002725</v>
      </c>
      <c r="H34" s="84">
        <f t="shared" si="3"/>
        <v>0.20784665670080371</v>
      </c>
    </row>
    <row r="35" spans="2:8" x14ac:dyDescent="0.2">
      <c r="B35" s="14" t="s">
        <v>82</v>
      </c>
      <c r="C35" s="18">
        <v>14320</v>
      </c>
      <c r="D35" s="52">
        <v>16240</v>
      </c>
      <c r="E35" s="11">
        <f t="shared" si="5"/>
        <v>12128.188</v>
      </c>
      <c r="F35" s="84">
        <f t="shared" si="6"/>
        <v>0.43731284916201113</v>
      </c>
      <c r="G35" s="84">
        <f t="shared" si="4"/>
        <v>0.38561083743842361</v>
      </c>
      <c r="H35" s="84">
        <f t="shared" si="3"/>
        <v>0.33562375517266058</v>
      </c>
    </row>
    <row r="36" spans="2:8" x14ac:dyDescent="0.2">
      <c r="B36" s="14" t="s">
        <v>83</v>
      </c>
      <c r="C36" s="18">
        <v>14180</v>
      </c>
      <c r="D36" s="52">
        <v>14600</v>
      </c>
      <c r="E36" s="11">
        <f t="shared" si="5"/>
        <v>11988.188</v>
      </c>
      <c r="F36" s="84">
        <f t="shared" si="6"/>
        <v>0.44163046544428769</v>
      </c>
      <c r="G36" s="84">
        <f t="shared" si="4"/>
        <v>0.42892602739726027</v>
      </c>
      <c r="H36" s="84">
        <f t="shared" si="3"/>
        <v>0.33954322371320833</v>
      </c>
    </row>
    <row r="37" spans="2:8" ht="13.5" thickBot="1" x14ac:dyDescent="0.25">
      <c r="B37" s="15" t="s">
        <v>84</v>
      </c>
      <c r="C37" s="19">
        <v>15500</v>
      </c>
      <c r="D37" s="58">
        <v>17920</v>
      </c>
      <c r="E37" s="12">
        <f t="shared" si="5"/>
        <v>13308.188</v>
      </c>
      <c r="F37" s="85">
        <f t="shared" si="6"/>
        <v>0.40402064516129033</v>
      </c>
      <c r="G37" s="85">
        <f t="shared" si="4"/>
        <v>0.3494598214285714</v>
      </c>
      <c r="H37" s="85">
        <f t="shared" si="3"/>
        <v>0.30586493067275572</v>
      </c>
    </row>
    <row r="38" spans="2:8" ht="13.5" thickBot="1" x14ac:dyDescent="0.25">
      <c r="G38" s="74"/>
      <c r="H38" s="74"/>
    </row>
    <row r="39" spans="2:8" ht="13.5" thickBot="1" x14ac:dyDescent="0.25">
      <c r="B39" s="93" t="s">
        <v>112</v>
      </c>
      <c r="C39" s="86">
        <f>SUM(C26:C37)</f>
        <v>180928</v>
      </c>
      <c r="D39" s="86">
        <f t="shared" ref="D39:E39" si="7">SUM(D26:D37)</f>
        <v>171720</v>
      </c>
      <c r="E39" s="86">
        <f t="shared" si="7"/>
        <v>163662.25599999996</v>
      </c>
      <c r="F39" s="87">
        <f>+G19/D39</f>
        <v>0.43761844863731653</v>
      </c>
      <c r="G39" s="87">
        <f>+G19/E39</f>
        <v>0.4591641459470045</v>
      </c>
      <c r="H39" s="87">
        <f>+H19/E39</f>
        <v>0.29845669486555293</v>
      </c>
    </row>
    <row r="40" spans="2:8" x14ac:dyDescent="0.2">
      <c r="G40" s="74"/>
      <c r="H40" s="74"/>
    </row>
    <row r="41" spans="2:8" x14ac:dyDescent="0.2">
      <c r="B41" s="91" t="s">
        <v>25</v>
      </c>
      <c r="C41" s="111">
        <f>C39-D39</f>
        <v>9208</v>
      </c>
      <c r="G41" s="183"/>
      <c r="H41" s="74"/>
    </row>
    <row r="42" spans="2:8" x14ac:dyDescent="0.2">
      <c r="B42" s="91" t="s">
        <v>111</v>
      </c>
      <c r="C42" s="1">
        <f>(C39-D39)/C39</f>
        <v>5.0893172974885034E-2</v>
      </c>
    </row>
    <row r="43" spans="2:8" x14ac:dyDescent="0.2">
      <c r="B43" s="91"/>
      <c r="C43" s="170"/>
    </row>
  </sheetData>
  <sheetProtection password="DE72" sheet="1" objects="1" scenarios="1"/>
  <mergeCells count="6">
    <mergeCell ref="F24:H24"/>
    <mergeCell ref="B18:C18"/>
    <mergeCell ref="B19:C19"/>
    <mergeCell ref="B20:C21"/>
    <mergeCell ref="B24:B25"/>
    <mergeCell ref="C24:E2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workbookViewId="0">
      <selection activeCell="L15" sqref="L15"/>
    </sheetView>
  </sheetViews>
  <sheetFormatPr baseColWidth="10" defaultRowHeight="12.75" x14ac:dyDescent="0.2"/>
  <cols>
    <col min="1" max="1" width="3.7109375" customWidth="1"/>
    <col min="2" max="2" width="40.85546875" customWidth="1"/>
    <col min="3" max="3" width="8.140625" bestFit="1" customWidth="1"/>
    <col min="4" max="4" width="10.140625" bestFit="1" customWidth="1"/>
    <col min="5" max="5" width="14.7109375" bestFit="1" customWidth="1"/>
    <col min="7" max="7" width="9.5703125" bestFit="1" customWidth="1"/>
    <col min="8" max="8" width="14.7109375" bestFit="1" customWidth="1"/>
  </cols>
  <sheetData>
    <row r="2" spans="2:8" x14ac:dyDescent="0.2">
      <c r="B2" s="39" t="s">
        <v>129</v>
      </c>
    </row>
    <row r="3" spans="2:8" ht="13.5" thickBot="1" x14ac:dyDescent="0.25"/>
    <row r="4" spans="2:8" ht="39" thickBot="1" x14ac:dyDescent="0.25">
      <c r="B4" s="95" t="s">
        <v>100</v>
      </c>
      <c r="C4" s="96" t="s">
        <v>47</v>
      </c>
      <c r="D4" s="120" t="s">
        <v>110</v>
      </c>
      <c r="E4" s="95" t="s">
        <v>64</v>
      </c>
      <c r="F4" s="96" t="s">
        <v>96</v>
      </c>
      <c r="G4" s="118" t="s">
        <v>101</v>
      </c>
      <c r="H4" s="63"/>
    </row>
    <row r="5" spans="2:8" x14ac:dyDescent="0.2">
      <c r="B5" s="30" t="s">
        <v>49</v>
      </c>
      <c r="C5" s="13" t="s">
        <v>50</v>
      </c>
      <c r="D5" s="31">
        <v>17</v>
      </c>
      <c r="E5" s="13">
        <v>327</v>
      </c>
      <c r="F5" s="13">
        <f>E5*D5</f>
        <v>5559</v>
      </c>
      <c r="G5" s="46">
        <f>F5*12*30/1000</f>
        <v>2001.24</v>
      </c>
    </row>
    <row r="6" spans="2:8" x14ac:dyDescent="0.2">
      <c r="B6" s="33" t="s">
        <v>49</v>
      </c>
      <c r="C6" s="14" t="s">
        <v>50</v>
      </c>
      <c r="D6" s="34">
        <v>32</v>
      </c>
      <c r="E6" s="14">
        <v>18</v>
      </c>
      <c r="F6" s="14">
        <f t="shared" ref="F6:F14" si="0">E6*D6</f>
        <v>576</v>
      </c>
      <c r="G6" s="14">
        <f t="shared" ref="G6:G14" si="1">F6*12*30/1000</f>
        <v>207.36</v>
      </c>
    </row>
    <row r="7" spans="2:8" x14ac:dyDescent="0.2">
      <c r="B7" s="33" t="s">
        <v>51</v>
      </c>
      <c r="C7" s="14" t="s">
        <v>52</v>
      </c>
      <c r="D7" s="34">
        <v>11</v>
      </c>
      <c r="E7" s="14">
        <v>1</v>
      </c>
      <c r="F7" s="14">
        <f t="shared" si="0"/>
        <v>11</v>
      </c>
      <c r="G7" s="14">
        <f t="shared" si="1"/>
        <v>3.96</v>
      </c>
    </row>
    <row r="8" spans="2:8" x14ac:dyDescent="0.2">
      <c r="B8" s="33" t="s">
        <v>51</v>
      </c>
      <c r="C8" s="14" t="s">
        <v>52</v>
      </c>
      <c r="D8" s="34">
        <v>20</v>
      </c>
      <c r="E8" s="14">
        <v>45</v>
      </c>
      <c r="F8" s="14">
        <f t="shared" si="0"/>
        <v>900</v>
      </c>
      <c r="G8" s="14">
        <f t="shared" si="1"/>
        <v>324</v>
      </c>
    </row>
    <row r="9" spans="2:8" x14ac:dyDescent="0.2">
      <c r="B9" s="33" t="s">
        <v>51</v>
      </c>
      <c r="C9" s="14" t="s">
        <v>52</v>
      </c>
      <c r="D9" s="34">
        <v>26</v>
      </c>
      <c r="E9" s="14">
        <v>160</v>
      </c>
      <c r="F9" s="14">
        <f t="shared" si="0"/>
        <v>4160</v>
      </c>
      <c r="G9" s="14">
        <f t="shared" si="1"/>
        <v>1497.6</v>
      </c>
    </row>
    <row r="10" spans="2:8" x14ac:dyDescent="0.2">
      <c r="B10" s="33" t="s">
        <v>102</v>
      </c>
      <c r="C10" s="14" t="s">
        <v>95</v>
      </c>
      <c r="D10" s="34">
        <v>100</v>
      </c>
      <c r="E10" s="14">
        <v>1</v>
      </c>
      <c r="F10" s="14">
        <f t="shared" si="0"/>
        <v>100</v>
      </c>
      <c r="G10" s="14">
        <f t="shared" si="1"/>
        <v>36</v>
      </c>
    </row>
    <row r="11" spans="2:8" x14ac:dyDescent="0.2">
      <c r="B11" s="33" t="s">
        <v>53</v>
      </c>
      <c r="C11" s="14" t="s">
        <v>54</v>
      </c>
      <c r="D11" s="34">
        <v>50</v>
      </c>
      <c r="E11" s="14">
        <v>14</v>
      </c>
      <c r="F11" s="14">
        <f t="shared" si="0"/>
        <v>700</v>
      </c>
      <c r="G11" s="14">
        <f t="shared" si="1"/>
        <v>252</v>
      </c>
    </row>
    <row r="12" spans="2:8" x14ac:dyDescent="0.2">
      <c r="B12" s="33" t="s">
        <v>63</v>
      </c>
      <c r="C12" s="14" t="s">
        <v>48</v>
      </c>
      <c r="D12" s="34">
        <v>19</v>
      </c>
      <c r="E12" s="14">
        <v>68</v>
      </c>
      <c r="F12" s="14">
        <f t="shared" si="0"/>
        <v>1292</v>
      </c>
      <c r="G12" s="14">
        <f t="shared" si="1"/>
        <v>465.12</v>
      </c>
    </row>
    <row r="13" spans="2:8" x14ac:dyDescent="0.2">
      <c r="B13" s="33" t="s">
        <v>90</v>
      </c>
      <c r="C13" s="14" t="s">
        <v>91</v>
      </c>
      <c r="D13" s="34">
        <v>250</v>
      </c>
      <c r="E13" s="14">
        <v>28</v>
      </c>
      <c r="F13" s="14">
        <f t="shared" si="0"/>
        <v>7000</v>
      </c>
      <c r="G13" s="14">
        <f t="shared" si="1"/>
        <v>2520</v>
      </c>
    </row>
    <row r="14" spans="2:8" ht="13.5" thickBot="1" x14ac:dyDescent="0.25">
      <c r="B14" s="15" t="s">
        <v>90</v>
      </c>
      <c r="C14" s="36" t="s">
        <v>91</v>
      </c>
      <c r="D14" s="15">
        <v>400</v>
      </c>
      <c r="E14" s="15">
        <v>8</v>
      </c>
      <c r="F14" s="38">
        <f t="shared" si="0"/>
        <v>3200</v>
      </c>
      <c r="G14" s="15">
        <f t="shared" si="1"/>
        <v>1152</v>
      </c>
    </row>
    <row r="15" spans="2:8" x14ac:dyDescent="0.2">
      <c r="B15" s="34"/>
      <c r="C15" s="34"/>
      <c r="D15" s="34"/>
      <c r="E15" s="34"/>
      <c r="F15" s="34"/>
      <c r="G15" s="78"/>
    </row>
    <row r="16" spans="2:8" ht="13.5" thickBot="1" x14ac:dyDescent="0.25">
      <c r="H16" s="56" t="s">
        <v>121</v>
      </c>
    </row>
    <row r="17" spans="2:8" ht="13.5" thickBot="1" x14ac:dyDescent="0.25">
      <c r="B17" s="333" t="s">
        <v>6</v>
      </c>
      <c r="C17" s="334"/>
      <c r="D17" s="34"/>
      <c r="E17" s="81">
        <f>SUM(E5:E14)</f>
        <v>670</v>
      </c>
      <c r="F17" s="80">
        <f>SUM(F5:F14)</f>
        <v>23498</v>
      </c>
      <c r="G17" s="155">
        <f>SUM(G5:G14)</f>
        <v>8459.2799999999988</v>
      </c>
      <c r="H17" s="155">
        <f>+G17*0.65</f>
        <v>5498.5319999999992</v>
      </c>
    </row>
    <row r="18" spans="2:8" ht="13.5" thickBot="1" x14ac:dyDescent="0.25">
      <c r="B18" s="333" t="s">
        <v>109</v>
      </c>
      <c r="C18" s="334"/>
      <c r="D18" s="34"/>
      <c r="E18" s="40"/>
      <c r="F18" s="52"/>
      <c r="G18" s="155">
        <f>+G17*12</f>
        <v>101511.35999999999</v>
      </c>
      <c r="H18" s="155">
        <f>+H17*12</f>
        <v>65982.383999999991</v>
      </c>
    </row>
    <row r="19" spans="2:8" x14ac:dyDescent="0.2">
      <c r="B19" s="341" t="s">
        <v>113</v>
      </c>
      <c r="C19" s="342"/>
      <c r="D19" s="34"/>
      <c r="E19" s="40"/>
      <c r="F19" s="52"/>
    </row>
    <row r="20" spans="2:8" ht="13.5" thickBot="1" x14ac:dyDescent="0.25">
      <c r="B20" s="343"/>
      <c r="C20" s="344"/>
      <c r="E20" s="29"/>
      <c r="F20" s="4"/>
      <c r="G20" s="4"/>
    </row>
    <row r="21" spans="2:8" x14ac:dyDescent="0.2">
      <c r="B21" s="260"/>
      <c r="C21" s="260"/>
      <c r="E21" s="29"/>
      <c r="F21" s="4"/>
      <c r="G21" s="4"/>
    </row>
    <row r="22" spans="2:8" ht="13.5" thickBot="1" x14ac:dyDescent="0.25">
      <c r="B22" s="91" t="s">
        <v>5</v>
      </c>
    </row>
    <row r="23" spans="2:8" ht="35.25" customHeight="1" thickBot="1" x14ac:dyDescent="0.25">
      <c r="B23" s="319" t="s">
        <v>85</v>
      </c>
      <c r="C23" s="345" t="s">
        <v>160</v>
      </c>
      <c r="D23" s="346"/>
      <c r="E23" s="347"/>
      <c r="F23" s="348" t="s">
        <v>107</v>
      </c>
      <c r="G23" s="349"/>
      <c r="H23" s="350"/>
    </row>
    <row r="24" spans="2:8" ht="13.5" thickBot="1" x14ac:dyDescent="0.25">
      <c r="B24" s="320"/>
      <c r="C24" s="99">
        <v>2014</v>
      </c>
      <c r="D24" s="96">
        <v>2015</v>
      </c>
      <c r="E24" s="96" t="s">
        <v>114</v>
      </c>
      <c r="F24" s="100">
        <v>2014</v>
      </c>
      <c r="G24" s="100">
        <v>2015</v>
      </c>
      <c r="H24" s="96" t="s">
        <v>114</v>
      </c>
    </row>
    <row r="25" spans="2:8" x14ac:dyDescent="0.2">
      <c r="B25" s="13" t="s">
        <v>73</v>
      </c>
      <c r="C25" s="18">
        <v>46500</v>
      </c>
      <c r="D25" s="52">
        <v>38082</v>
      </c>
      <c r="E25" s="10">
        <f>+C25-($G$17-$H$17)</f>
        <v>43539.252</v>
      </c>
      <c r="F25" s="83">
        <f t="shared" ref="F25:G36" si="2">+$G$17/C25</f>
        <v>0.18191999999999997</v>
      </c>
      <c r="G25" s="83">
        <f t="shared" si="2"/>
        <v>0.22213329131873322</v>
      </c>
      <c r="H25" s="83">
        <f t="shared" ref="H25:H36" si="3">+$H$17/E25</f>
        <v>0.12628907818627658</v>
      </c>
    </row>
    <row r="26" spans="2:8" x14ac:dyDescent="0.2">
      <c r="B26" s="14" t="s">
        <v>74</v>
      </c>
      <c r="C26" s="18">
        <v>39600</v>
      </c>
      <c r="D26" s="52">
        <v>41100</v>
      </c>
      <c r="E26" s="11">
        <f>+C26-($G$17-$H$17)</f>
        <v>36639.252</v>
      </c>
      <c r="F26" s="84">
        <f t="shared" si="2"/>
        <v>0.21361818181818179</v>
      </c>
      <c r="G26" s="84">
        <f t="shared" si="2"/>
        <v>0.20582189781021895</v>
      </c>
      <c r="H26" s="84">
        <f t="shared" si="3"/>
        <v>0.15007216850387664</v>
      </c>
    </row>
    <row r="27" spans="2:8" x14ac:dyDescent="0.2">
      <c r="B27" s="14" t="s">
        <v>75</v>
      </c>
      <c r="C27" s="18">
        <v>37200</v>
      </c>
      <c r="D27" s="52">
        <v>47400</v>
      </c>
      <c r="E27" s="11">
        <f>+C27-($G$17-$H$17)</f>
        <v>34239.252</v>
      </c>
      <c r="F27" s="84">
        <f t="shared" si="2"/>
        <v>0.22739999999999996</v>
      </c>
      <c r="G27" s="84">
        <f t="shared" si="2"/>
        <v>0.1784658227848101</v>
      </c>
      <c r="H27" s="84">
        <f t="shared" si="3"/>
        <v>0.1605914755380754</v>
      </c>
    </row>
    <row r="28" spans="2:8" x14ac:dyDescent="0.2">
      <c r="B28" s="14" t="s">
        <v>76</v>
      </c>
      <c r="C28" s="18">
        <v>0</v>
      </c>
      <c r="D28" s="52">
        <v>40200</v>
      </c>
      <c r="E28" s="11">
        <f>41325-($G$17-$H$17)</f>
        <v>38364.252</v>
      </c>
      <c r="F28" s="84">
        <f>+$G$17/41325</f>
        <v>0.20470127041742284</v>
      </c>
      <c r="G28" s="84">
        <f t="shared" ref="G28:G36" si="4">+$G$17/D28</f>
        <v>0.21042985074626863</v>
      </c>
      <c r="H28" s="84">
        <f t="shared" si="3"/>
        <v>0.14332436352466874</v>
      </c>
    </row>
    <row r="29" spans="2:8" x14ac:dyDescent="0.2">
      <c r="B29" s="14" t="s">
        <v>77</v>
      </c>
      <c r="C29" s="18">
        <v>34800</v>
      </c>
      <c r="D29" s="52">
        <v>42900</v>
      </c>
      <c r="E29" s="11">
        <f t="shared" ref="E29:E36" si="5">+C29-($G$17-$H$17)</f>
        <v>31839.252</v>
      </c>
      <c r="F29" s="84">
        <f t="shared" si="2"/>
        <v>0.24308275862068962</v>
      </c>
      <c r="G29" s="84">
        <f t="shared" si="4"/>
        <v>0.19718601398601396</v>
      </c>
      <c r="H29" s="84">
        <f t="shared" si="3"/>
        <v>0.17269664500912268</v>
      </c>
    </row>
    <row r="30" spans="2:8" x14ac:dyDescent="0.2">
      <c r="B30" s="14" t="s">
        <v>78</v>
      </c>
      <c r="C30" s="18">
        <v>37500</v>
      </c>
      <c r="D30" s="52">
        <v>47100</v>
      </c>
      <c r="E30" s="11">
        <f t="shared" si="5"/>
        <v>34539.252</v>
      </c>
      <c r="F30" s="84">
        <f t="shared" si="2"/>
        <v>0.22558079999999997</v>
      </c>
      <c r="G30" s="84">
        <f t="shared" si="4"/>
        <v>0.17960254777070062</v>
      </c>
      <c r="H30" s="84">
        <f t="shared" si="3"/>
        <v>0.15919661491221637</v>
      </c>
    </row>
    <row r="31" spans="2:8" x14ac:dyDescent="0.2">
      <c r="B31" s="14" t="s">
        <v>79</v>
      </c>
      <c r="C31" s="18">
        <v>38700</v>
      </c>
      <c r="D31" s="52">
        <v>41400</v>
      </c>
      <c r="E31" s="11">
        <f t="shared" si="5"/>
        <v>35739.252</v>
      </c>
      <c r="F31" s="84">
        <f t="shared" si="2"/>
        <v>0.21858604651162789</v>
      </c>
      <c r="G31" s="84">
        <f t="shared" si="4"/>
        <v>0.20433043478260868</v>
      </c>
      <c r="H31" s="84">
        <f t="shared" si="3"/>
        <v>0.15385134529396416</v>
      </c>
    </row>
    <row r="32" spans="2:8" x14ac:dyDescent="0.2">
      <c r="B32" s="14" t="s">
        <v>80</v>
      </c>
      <c r="C32" s="18">
        <v>42600</v>
      </c>
      <c r="D32" s="52">
        <v>42900</v>
      </c>
      <c r="E32" s="11">
        <f t="shared" si="5"/>
        <v>39639.252</v>
      </c>
      <c r="F32" s="84">
        <f t="shared" si="2"/>
        <v>0.19857464788732393</v>
      </c>
      <c r="G32" s="84">
        <f t="shared" si="4"/>
        <v>0.19718601398601396</v>
      </c>
      <c r="H32" s="84">
        <f t="shared" si="3"/>
        <v>0.13871432286361002</v>
      </c>
    </row>
    <row r="33" spans="2:8" x14ac:dyDescent="0.2">
      <c r="B33" s="14" t="s">
        <v>81</v>
      </c>
      <c r="C33" s="18">
        <v>43800</v>
      </c>
      <c r="D33" s="52">
        <v>47100</v>
      </c>
      <c r="E33" s="11">
        <f t="shared" si="5"/>
        <v>40839.252</v>
      </c>
      <c r="F33" s="84">
        <f t="shared" si="2"/>
        <v>0.19313424657534245</v>
      </c>
      <c r="G33" s="84">
        <f t="shared" si="4"/>
        <v>0.17960254777070062</v>
      </c>
      <c r="H33" s="84">
        <f t="shared" si="3"/>
        <v>0.13463841110508096</v>
      </c>
    </row>
    <row r="34" spans="2:8" x14ac:dyDescent="0.2">
      <c r="B34" s="14" t="s">
        <v>82</v>
      </c>
      <c r="C34" s="18">
        <v>42900</v>
      </c>
      <c r="D34" s="52">
        <v>44400</v>
      </c>
      <c r="E34" s="11">
        <f t="shared" si="5"/>
        <v>39939.252</v>
      </c>
      <c r="F34" s="84">
        <f t="shared" si="2"/>
        <v>0.19718601398601396</v>
      </c>
      <c r="G34" s="84">
        <f t="shared" si="4"/>
        <v>0.19052432432432428</v>
      </c>
      <c r="H34" s="84">
        <f t="shared" si="3"/>
        <v>0.13767238304813517</v>
      </c>
    </row>
    <row r="35" spans="2:8" x14ac:dyDescent="0.2">
      <c r="B35" s="14" t="s">
        <v>83</v>
      </c>
      <c r="C35" s="18">
        <v>48000</v>
      </c>
      <c r="D35" s="52">
        <v>42900</v>
      </c>
      <c r="E35" s="11">
        <f t="shared" si="5"/>
        <v>45039.252</v>
      </c>
      <c r="F35" s="84">
        <f t="shared" si="2"/>
        <v>0.17623499999999998</v>
      </c>
      <c r="G35" s="84">
        <f t="shared" si="4"/>
        <v>0.19718601398601396</v>
      </c>
      <c r="H35" s="84">
        <f t="shared" si="3"/>
        <v>0.12208311097173637</v>
      </c>
    </row>
    <row r="36" spans="2:8" ht="13.5" thickBot="1" x14ac:dyDescent="0.25">
      <c r="B36" s="15" t="s">
        <v>84</v>
      </c>
      <c r="C36" s="19">
        <v>42300</v>
      </c>
      <c r="D36" s="58">
        <v>51900</v>
      </c>
      <c r="E36" s="12">
        <f t="shared" si="5"/>
        <v>39339.252</v>
      </c>
      <c r="F36" s="85">
        <f t="shared" si="2"/>
        <v>0.19998297872340423</v>
      </c>
      <c r="G36" s="85">
        <f t="shared" si="4"/>
        <v>0.16299190751445083</v>
      </c>
      <c r="H36" s="85">
        <f t="shared" si="3"/>
        <v>0.1397721542849874</v>
      </c>
    </row>
    <row r="37" spans="2:8" ht="13.5" thickBot="1" x14ac:dyDescent="0.25">
      <c r="G37" s="74"/>
      <c r="H37" s="74"/>
    </row>
    <row r="38" spans="2:8" ht="13.5" thickBot="1" x14ac:dyDescent="0.25">
      <c r="B38" s="93" t="s">
        <v>112</v>
      </c>
      <c r="C38" s="86">
        <f>SUM(C25:C36)</f>
        <v>453900</v>
      </c>
      <c r="D38" s="86">
        <f t="shared" ref="D38:E38" si="6">SUM(D25:D36)</f>
        <v>527382</v>
      </c>
      <c r="E38" s="86">
        <f t="shared" si="6"/>
        <v>459696.02399999992</v>
      </c>
      <c r="F38" s="87">
        <f>+G18/D38</f>
        <v>0.19248165466398168</v>
      </c>
      <c r="G38" s="87">
        <f>+G18/E38</f>
        <v>0.2208227931072991</v>
      </c>
      <c r="H38" s="87">
        <f>+H18/E38</f>
        <v>0.14353481551974442</v>
      </c>
    </row>
    <row r="39" spans="2:8" x14ac:dyDescent="0.2">
      <c r="G39" s="74"/>
      <c r="H39" s="74"/>
    </row>
    <row r="40" spans="2:8" x14ac:dyDescent="0.2">
      <c r="B40" s="91" t="s">
        <v>25</v>
      </c>
      <c r="C40" s="111">
        <f>C38-D38</f>
        <v>-73482</v>
      </c>
      <c r="G40" s="183"/>
      <c r="H40" s="74"/>
    </row>
    <row r="41" spans="2:8" x14ac:dyDescent="0.2">
      <c r="B41" s="91" t="s">
        <v>111</v>
      </c>
      <c r="C41" s="1">
        <f>(C38-D38)/C38</f>
        <v>-0.16189028420356907</v>
      </c>
    </row>
  </sheetData>
  <sheetProtection password="DE72" sheet="1" objects="1" scenarios="1"/>
  <mergeCells count="6">
    <mergeCell ref="F23:H23"/>
    <mergeCell ref="B17:C17"/>
    <mergeCell ref="B18:C18"/>
    <mergeCell ref="B19:C20"/>
    <mergeCell ref="B23:B24"/>
    <mergeCell ref="C23:E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CALCULOS</vt:lpstr>
      <vt:lpstr>GEO Acción 1</vt:lpstr>
      <vt:lpstr>GEO Acción 2</vt:lpstr>
      <vt:lpstr>GEO Acción 3</vt:lpstr>
      <vt:lpstr>GEO Total</vt:lpstr>
      <vt:lpstr>GEA Acción 4</vt:lpstr>
      <vt:lpstr>GEA Acción 5</vt:lpstr>
      <vt:lpstr>GEA Acción 6</vt:lpstr>
      <vt:lpstr>GEA Acción 7</vt:lpstr>
      <vt:lpstr>GEA Acción 8</vt:lpstr>
      <vt:lpstr>GEA Acción 9</vt:lpstr>
      <vt:lpstr>GEA Acción 10</vt:lpstr>
      <vt:lpstr>AAE Acción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Alfredo Pérez Campo</dc:creator>
  <cp:lastModifiedBy>Martha Patricia Cruz Moreno</cp:lastModifiedBy>
  <dcterms:created xsi:type="dcterms:W3CDTF">2015-03-13T20:15:26Z</dcterms:created>
  <dcterms:modified xsi:type="dcterms:W3CDTF">2016-05-23T20:43:49Z</dcterms:modified>
</cp:coreProperties>
</file>