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D:\Respaldo\1.SGA\6.Planificación\6.2.1.Objetivos_ambientales\4.PIPS\10.Inventario_GEI_2016-2017\3.Informe_GEI_publicado\"/>
    </mc:Choice>
  </mc:AlternateContent>
  <xr:revisionPtr revIDLastSave="0" documentId="13_ncr:1_{9785CD4B-6872-4D56-870C-04CE7701C2ED}" xr6:coauthVersionLast="45" xr6:coauthVersionMax="45" xr10:uidLastSave="{00000000-0000-0000-0000-000000000000}"/>
  <bookViews>
    <workbookView xWindow="-120" yWindow="-120" windowWidth="20730" windowHeight="11160" activeTab="5" xr2:uid="{00000000-000D-0000-FFFF-FFFF00000000}"/>
  </bookViews>
  <sheets>
    <sheet name="INICIO" sheetId="1" r:id="rId1"/>
    <sheet name="INSTRUCCIONES GESTIÓN DE LA INF" sheetId="2" state="hidden" r:id="rId2"/>
    <sheet name="FORMATO" sheetId="3" r:id="rId3"/>
    <sheet name="ÁREAS" sheetId="9" state="hidden" r:id="rId4"/>
    <sheet name="INSTRUCCIONES INCERTIDUMBRE" sheetId="5" state="hidden" r:id="rId5"/>
    <sheet name="HC CORPORATIVA-INCERTIDUMBRE" sheetId="4" r:id="rId6"/>
    <sheet name="HC CORPORATIVA-BIOMASA" sheetId="8" r:id="rId7"/>
    <sheet name="Resumen y Gráfica " sheetId="7" r:id="rId8"/>
    <sheet name="Otros factores" sheetId="6" state="hidden" r:id="rId9"/>
  </sheets>
  <externalReferences>
    <externalReference r:id="rId10"/>
  </externalReferences>
  <definedNames>
    <definedName name="_xlnm._FilterDatabase" localSheetId="2" hidden="1">FORMATO!$B$7:$T$33</definedName>
    <definedName name="_xlnm._FilterDatabase" localSheetId="5" hidden="1">'HC CORPORATIVA-INCERTIDUMBRE'!$A$196:$ED$196</definedName>
    <definedName name="CATEGORIA" localSheetId="7">[1]FORMATO!$B$261:$B$268</definedName>
    <definedName name="CATEGORIA">FORMATO!$B$272:$B$279</definedName>
    <definedName name="CATEGORIAS">FORMATO!$C$271:$J$271</definedName>
    <definedName name="Combustibles_Gaseosos">FORMATO!$D$272:$D$317</definedName>
    <definedName name="Combustibles_Liquidos">FORMATO!$E$272:$E$307</definedName>
    <definedName name="Combustibles_Solidos">FORMATO!$C$272:$C$329</definedName>
    <definedName name="Direcciones">ÁREAS!$A$2:$A$32</definedName>
    <definedName name="Energia_Electrica">FORMATO!$I$272</definedName>
    <definedName name="Gases_Refrigerantes">FORMATO!$F$272:$F$310</definedName>
    <definedName name="Otras">FORMATO!$J$272:$J$308</definedName>
    <definedName name="Procesos_Agropecuarios">FORMATO!$H$272:$H$315</definedName>
    <definedName name="Registro">ÁREAS!$B$2:$B$6</definedName>
    <definedName name="Reporte">ÁREAS!$C$2:$C$6</definedName>
    <definedName name="Tratamiento_de_Residuos">FORMATO!$G$272:$G$276</definedName>
    <definedName name="Tratamiento_Residuos">FORMATO!$G$272:$G$278</definedName>
  </definedNames>
  <calcPr calcId="181029"/>
</workbook>
</file>

<file path=xl/calcChain.xml><?xml version="1.0" encoding="utf-8"?>
<calcChain xmlns="http://schemas.openxmlformats.org/spreadsheetml/2006/main">
  <c r="Q69" i="4" l="1"/>
  <c r="R57" i="4" l="1"/>
  <c r="Q31" i="8"/>
  <c r="BF175" i="4"/>
  <c r="R69" i="4"/>
  <c r="Q53" i="4"/>
  <c r="D69" i="4"/>
  <c r="CP570" i="4"/>
  <c r="CP569" i="4"/>
  <c r="CP568" i="4"/>
  <c r="CP567" i="4"/>
  <c r="CP566" i="4"/>
  <c r="CP565" i="4"/>
  <c r="CP564" i="4"/>
  <c r="CP563" i="4"/>
  <c r="CP562" i="4"/>
  <c r="CP561" i="4"/>
  <c r="CP560" i="4"/>
  <c r="CP559" i="4"/>
  <c r="CP558" i="4"/>
  <c r="CP557" i="4"/>
  <c r="CP556" i="4"/>
  <c r="CP555" i="4"/>
  <c r="CP554" i="4"/>
  <c r="CP553" i="4"/>
  <c r="CP552" i="4"/>
  <c r="CP551" i="4"/>
  <c r="CP550" i="4"/>
  <c r="CP549" i="4"/>
  <c r="CP548" i="4"/>
  <c r="CP547" i="4"/>
  <c r="CP546" i="4"/>
  <c r="CP545" i="4"/>
  <c r="CP544" i="4"/>
  <c r="CP543" i="4"/>
  <c r="CP542" i="4"/>
  <c r="CP541" i="4"/>
  <c r="CP540" i="4"/>
  <c r="CP539" i="4"/>
  <c r="CP538" i="4"/>
  <c r="CP537" i="4"/>
  <c r="CP536" i="4"/>
  <c r="CP535" i="4"/>
  <c r="CP534" i="4"/>
  <c r="CP533" i="4"/>
  <c r="CP532" i="4"/>
  <c r="CP531" i="4"/>
  <c r="CP530" i="4"/>
  <c r="CP529" i="4"/>
  <c r="CP528" i="4"/>
  <c r="CP527" i="4"/>
  <c r="CP526" i="4"/>
  <c r="CP525" i="4"/>
  <c r="CP524" i="4"/>
  <c r="CP523" i="4"/>
  <c r="CP522" i="4"/>
  <c r="CP521" i="4"/>
  <c r="CP520" i="4"/>
  <c r="CP519" i="4"/>
  <c r="CP518" i="4"/>
  <c r="CP517" i="4"/>
  <c r="CP516" i="4"/>
  <c r="CP515" i="4"/>
  <c r="CP514" i="4"/>
  <c r="CP513" i="4"/>
  <c r="CP512" i="4"/>
  <c r="CP511" i="4"/>
  <c r="CP510" i="4"/>
  <c r="CP509" i="4"/>
  <c r="CP508" i="4"/>
  <c r="CP507" i="4"/>
  <c r="CP506" i="4"/>
  <c r="CP505" i="4"/>
  <c r="CP504" i="4"/>
  <c r="CP503" i="4"/>
  <c r="CP502" i="4"/>
  <c r="CP501" i="4"/>
  <c r="CP500" i="4"/>
  <c r="CP499" i="4"/>
  <c r="CP498" i="4"/>
  <c r="CP497" i="4"/>
  <c r="CP496" i="4"/>
  <c r="CP495" i="4"/>
  <c r="CP494" i="4"/>
  <c r="CP493" i="4"/>
  <c r="CP492" i="4"/>
  <c r="CP491" i="4"/>
  <c r="CP490" i="4"/>
  <c r="CP489" i="4"/>
  <c r="CP488" i="4"/>
  <c r="CP487" i="4"/>
  <c r="CP486" i="4"/>
  <c r="CP485" i="4"/>
  <c r="CP484" i="4"/>
  <c r="CP483" i="4"/>
  <c r="CP482" i="4"/>
  <c r="CP481" i="4"/>
  <c r="CP480" i="4"/>
  <c r="CP479" i="4"/>
  <c r="CP478" i="4"/>
  <c r="CP477" i="4"/>
  <c r="CP476" i="4"/>
  <c r="CP475" i="4"/>
  <c r="CP474" i="4"/>
  <c r="CP473" i="4"/>
  <c r="CP472" i="4"/>
  <c r="CP471" i="4"/>
  <c r="CP470" i="4"/>
  <c r="CP469" i="4"/>
  <c r="CP468" i="4"/>
  <c r="CP467" i="4"/>
  <c r="CP466" i="4"/>
  <c r="CP465" i="4"/>
  <c r="CP464" i="4"/>
  <c r="CP463" i="4"/>
  <c r="CP462" i="4"/>
  <c r="CP461" i="4"/>
  <c r="CP460" i="4"/>
  <c r="CP459" i="4"/>
  <c r="CP458" i="4"/>
  <c r="CP457" i="4"/>
  <c r="CP456" i="4"/>
  <c r="CP455" i="4"/>
  <c r="CP454" i="4"/>
  <c r="CP453" i="4"/>
  <c r="CP452" i="4"/>
  <c r="CP451" i="4"/>
  <c r="CP450" i="4"/>
  <c r="CP449" i="4"/>
  <c r="CP448" i="4"/>
  <c r="CP447" i="4"/>
  <c r="CP446" i="4"/>
  <c r="CP445" i="4"/>
  <c r="CP437" i="4"/>
  <c r="CP436" i="4"/>
  <c r="CP435" i="4"/>
  <c r="CP434" i="4"/>
  <c r="CP433" i="4"/>
  <c r="CP432" i="4"/>
  <c r="CP431" i="4"/>
  <c r="CP430" i="4"/>
  <c r="CP429" i="4"/>
  <c r="CP428" i="4"/>
  <c r="CP427" i="4"/>
  <c r="CP426" i="4"/>
  <c r="CP425" i="4"/>
  <c r="CP424" i="4"/>
  <c r="CP423" i="4"/>
  <c r="CP422" i="4"/>
  <c r="CP421" i="4"/>
  <c r="CP420" i="4"/>
  <c r="CP419" i="4"/>
  <c r="CP418" i="4"/>
  <c r="CP417" i="4"/>
  <c r="CP416" i="4"/>
  <c r="CP415" i="4"/>
  <c r="CP414" i="4"/>
  <c r="CP413" i="4"/>
  <c r="CP412" i="4"/>
  <c r="CP411" i="4"/>
  <c r="CP410" i="4"/>
  <c r="CP409" i="4"/>
  <c r="CP408" i="4"/>
  <c r="CP407" i="4"/>
  <c r="CP406" i="4"/>
  <c r="CP405" i="4"/>
  <c r="CP404" i="4"/>
  <c r="CP403" i="4"/>
  <c r="CP402" i="4"/>
  <c r="CP401" i="4"/>
  <c r="CP400" i="4"/>
  <c r="CP399" i="4"/>
  <c r="CP398" i="4"/>
  <c r="CP397" i="4"/>
  <c r="CP396" i="4"/>
  <c r="CP395" i="4"/>
  <c r="CP394" i="4"/>
  <c r="CP393" i="4"/>
  <c r="CP392" i="4"/>
  <c r="CP391" i="4"/>
  <c r="CP390" i="4"/>
  <c r="CP389" i="4"/>
  <c r="CP388" i="4"/>
  <c r="CP387" i="4"/>
  <c r="CP386" i="4"/>
  <c r="CP385" i="4"/>
  <c r="CP384" i="4"/>
  <c r="CP383" i="4"/>
  <c r="CP382" i="4"/>
  <c r="CP381" i="4"/>
  <c r="CP380" i="4"/>
  <c r="CP379" i="4"/>
  <c r="CP378" i="4"/>
  <c r="CP377" i="4"/>
  <c r="CP376" i="4"/>
  <c r="CP375" i="4"/>
  <c r="CP374" i="4"/>
  <c r="CP373" i="4"/>
  <c r="CP372" i="4"/>
  <c r="CP371" i="4"/>
  <c r="CP370" i="4"/>
  <c r="CP369" i="4"/>
  <c r="CP368" i="4"/>
  <c r="CP367" i="4"/>
  <c r="CP366" i="4"/>
  <c r="CP365" i="4"/>
  <c r="CP364" i="4"/>
  <c r="CP363" i="4"/>
  <c r="CP362" i="4"/>
  <c r="CP361" i="4"/>
  <c r="CP360" i="4"/>
  <c r="CP359" i="4"/>
  <c r="CP358" i="4"/>
  <c r="CP357" i="4"/>
  <c r="CP356" i="4"/>
  <c r="CP355" i="4"/>
  <c r="CP354" i="4"/>
  <c r="CP344" i="4"/>
  <c r="CP338" i="4"/>
  <c r="CP337" i="4"/>
  <c r="CP336" i="4"/>
  <c r="CP335" i="4"/>
  <c r="CP334" i="4"/>
  <c r="CP333" i="4"/>
  <c r="CP332" i="4"/>
  <c r="CP331" i="4"/>
  <c r="CP330" i="4"/>
  <c r="CP329" i="4"/>
  <c r="CP328" i="4"/>
  <c r="CP327" i="4"/>
  <c r="CP326" i="4"/>
  <c r="CP325" i="4"/>
  <c r="CP324" i="4"/>
  <c r="CP323" i="4"/>
  <c r="CP322" i="4"/>
  <c r="CP321" i="4"/>
  <c r="CP320" i="4"/>
  <c r="CP319" i="4"/>
  <c r="CP318" i="4"/>
  <c r="CP317" i="4"/>
  <c r="CP316" i="4"/>
  <c r="CP315" i="4"/>
  <c r="CP314" i="4"/>
  <c r="CP313" i="4"/>
  <c r="CP312" i="4"/>
  <c r="CP311" i="4"/>
  <c r="CP310" i="4"/>
  <c r="CP309" i="4"/>
  <c r="CP308" i="4"/>
  <c r="CP307" i="4"/>
  <c r="CP306" i="4"/>
  <c r="CP305" i="4"/>
  <c r="CP304" i="4"/>
  <c r="CP303" i="4"/>
  <c r="CP302" i="4"/>
  <c r="CP301" i="4"/>
  <c r="CP300" i="4"/>
  <c r="CP299" i="4"/>
  <c r="CP298" i="4"/>
  <c r="CP297" i="4"/>
  <c r="CP296" i="4"/>
  <c r="CP295" i="4"/>
  <c r="CP294" i="4"/>
  <c r="CP293" i="4"/>
  <c r="CP292" i="4"/>
  <c r="CP291" i="4"/>
  <c r="CP290" i="4"/>
  <c r="CP289" i="4"/>
  <c r="CP288" i="4"/>
  <c r="CP287" i="4"/>
  <c r="CP286" i="4"/>
  <c r="CP285" i="4"/>
  <c r="CP284" i="4"/>
  <c r="CP283" i="4"/>
  <c r="CP282" i="4"/>
  <c r="CP281" i="4"/>
  <c r="CP280" i="4"/>
  <c r="CP279" i="4"/>
  <c r="CP278" i="4"/>
  <c r="CP277" i="4"/>
  <c r="CP276" i="4"/>
  <c r="CP275" i="4"/>
  <c r="CP274" i="4"/>
  <c r="CP273" i="4"/>
  <c r="CP272" i="4"/>
  <c r="CP271" i="4"/>
  <c r="CP270" i="4"/>
  <c r="CP269" i="4"/>
  <c r="CP268" i="4"/>
  <c r="CP267" i="4"/>
  <c r="CP266" i="4"/>
  <c r="CP265" i="4"/>
  <c r="CP264" i="4"/>
  <c r="AX371" i="4"/>
  <c r="AV363" i="4"/>
  <c r="AZ371" i="4"/>
  <c r="AY371" i="4"/>
  <c r="AW371" i="4"/>
  <c r="AV371" i="4"/>
  <c r="AK73" i="8"/>
  <c r="BL72" i="8"/>
  <c r="BL73" i="8" s="1"/>
  <c r="BK72" i="8"/>
  <c r="BK73" i="8" s="1"/>
  <c r="BJ72" i="8"/>
  <c r="BJ73" i="8" s="1"/>
  <c r="BI73" i="8"/>
  <c r="BG72" i="8"/>
  <c r="BG73" i="8"/>
  <c r="BF72" i="8"/>
  <c r="BF73" i="8"/>
  <c r="BE72" i="8"/>
  <c r="BE73" i="8"/>
  <c r="BD72" i="8"/>
  <c r="BD73" i="8"/>
  <c r="BA72" i="8"/>
  <c r="BA73" i="8"/>
  <c r="AZ72" i="8"/>
  <c r="AZ73" i="8"/>
  <c r="AY72" i="8"/>
  <c r="AY73" i="8"/>
  <c r="AX72" i="8"/>
  <c r="AX73" i="8"/>
  <c r="AU72" i="8"/>
  <c r="AU73" i="8"/>
  <c r="AT72" i="8"/>
  <c r="AT73" i="8"/>
  <c r="AS72" i="8"/>
  <c r="AS73" i="8"/>
  <c r="AR72" i="8"/>
  <c r="AR73" i="8"/>
  <c r="AO72" i="8"/>
  <c r="AO73" i="8"/>
  <c r="AN72" i="8"/>
  <c r="AN73" i="8"/>
  <c r="AM72" i="8"/>
  <c r="AM73" i="8"/>
  <c r="AL72" i="8"/>
  <c r="AL73" i="8"/>
  <c r="AJ72" i="8"/>
  <c r="AJ73" i="8"/>
  <c r="BX354" i="4"/>
  <c r="BN348" i="4"/>
  <c r="CP348" i="4" s="1"/>
  <c r="BF348" i="4"/>
  <c r="BN347" i="4"/>
  <c r="CP347" i="4"/>
  <c r="BM347" i="4"/>
  <c r="BF347" i="4"/>
  <c r="BN346" i="4"/>
  <c r="CP346" i="4"/>
  <c r="BM346" i="4"/>
  <c r="BG346" i="4"/>
  <c r="BF346" i="4"/>
  <c r="BN345" i="4"/>
  <c r="CP345" i="4" s="1"/>
  <c r="BF345" i="4"/>
  <c r="BK343" i="4"/>
  <c r="BF343" i="4"/>
  <c r="BM343" i="4"/>
  <c r="BN343" i="4"/>
  <c r="CP343" i="4" s="1"/>
  <c r="BN342" i="4"/>
  <c r="CP342" i="4" s="1"/>
  <c r="BM342" i="4"/>
  <c r="BK342" i="4"/>
  <c r="BF342" i="4"/>
  <c r="BN341" i="4"/>
  <c r="CP341" i="4"/>
  <c r="BM341" i="4"/>
  <c r="BK341" i="4"/>
  <c r="BF341" i="4" s="1"/>
  <c r="BN340" i="4"/>
  <c r="CP340" i="4" s="1"/>
  <c r="BM340" i="4"/>
  <c r="BK340" i="4"/>
  <c r="BF340" i="4"/>
  <c r="BG340" i="4"/>
  <c r="BN339" i="4"/>
  <c r="CP339" i="4" s="1"/>
  <c r="BM339" i="4"/>
  <c r="BK339" i="4"/>
  <c r="BF339" i="4"/>
  <c r="BK338" i="4"/>
  <c r="BF338" i="4"/>
  <c r="AZ372" i="4"/>
  <c r="AY372" i="4"/>
  <c r="AX372" i="4"/>
  <c r="AW372" i="4"/>
  <c r="AV372" i="4"/>
  <c r="BA411" i="4"/>
  <c r="BA410" i="4"/>
  <c r="BA409" i="4"/>
  <c r="S426" i="4"/>
  <c r="T426" i="4"/>
  <c r="U426" i="4"/>
  <c r="V426" i="4"/>
  <c r="W426" i="4"/>
  <c r="X426" i="4"/>
  <c r="Y426" i="4"/>
  <c r="Z426" i="4"/>
  <c r="AA426" i="4"/>
  <c r="AB426" i="4"/>
  <c r="AC426" i="4"/>
  <c r="AD426" i="4"/>
  <c r="AE426" i="4"/>
  <c r="AG426" i="4"/>
  <c r="S427" i="4"/>
  <c r="T427" i="4"/>
  <c r="U427" i="4"/>
  <c r="V427" i="4"/>
  <c r="W427" i="4"/>
  <c r="X427" i="4"/>
  <c r="Y427" i="4"/>
  <c r="Z427" i="4"/>
  <c r="AA427" i="4"/>
  <c r="AB427" i="4"/>
  <c r="AC427" i="4"/>
  <c r="AD427" i="4"/>
  <c r="AE427" i="4"/>
  <c r="AG427" i="4"/>
  <c r="S428" i="4"/>
  <c r="T428" i="4"/>
  <c r="U428" i="4"/>
  <c r="V428" i="4"/>
  <c r="W428" i="4"/>
  <c r="X428" i="4"/>
  <c r="Y428" i="4"/>
  <c r="Z428" i="4"/>
  <c r="AA428" i="4"/>
  <c r="AB428" i="4"/>
  <c r="AC428" i="4"/>
  <c r="AD428" i="4"/>
  <c r="AE428" i="4"/>
  <c r="AG428" i="4"/>
  <c r="S429" i="4"/>
  <c r="T429" i="4"/>
  <c r="U429" i="4"/>
  <c r="V429" i="4"/>
  <c r="W429" i="4"/>
  <c r="X429" i="4"/>
  <c r="Y429" i="4"/>
  <c r="Z429" i="4"/>
  <c r="AA429" i="4"/>
  <c r="AB429" i="4"/>
  <c r="AC429" i="4"/>
  <c r="AD429" i="4"/>
  <c r="AE429" i="4"/>
  <c r="AG429" i="4"/>
  <c r="S430" i="4"/>
  <c r="T430" i="4"/>
  <c r="U430" i="4"/>
  <c r="V430" i="4"/>
  <c r="W430" i="4"/>
  <c r="X430" i="4"/>
  <c r="Y430" i="4"/>
  <c r="Z430" i="4"/>
  <c r="AA430" i="4"/>
  <c r="AB430" i="4"/>
  <c r="AC430" i="4"/>
  <c r="AD430" i="4"/>
  <c r="AE430" i="4"/>
  <c r="AG430" i="4"/>
  <c r="S431" i="4"/>
  <c r="T431" i="4"/>
  <c r="U431" i="4"/>
  <c r="V431" i="4"/>
  <c r="W431" i="4"/>
  <c r="X431" i="4"/>
  <c r="Y431" i="4"/>
  <c r="Z431" i="4"/>
  <c r="AA431" i="4"/>
  <c r="AB431" i="4"/>
  <c r="AC431" i="4"/>
  <c r="AD431" i="4"/>
  <c r="AE431" i="4"/>
  <c r="AG431" i="4"/>
  <c r="S432" i="4"/>
  <c r="T432" i="4"/>
  <c r="U432" i="4"/>
  <c r="V432" i="4"/>
  <c r="W432" i="4"/>
  <c r="X432" i="4"/>
  <c r="Y432" i="4"/>
  <c r="Z432" i="4"/>
  <c r="AA432" i="4"/>
  <c r="AB432" i="4"/>
  <c r="AC432" i="4"/>
  <c r="AD432" i="4"/>
  <c r="AE432" i="4"/>
  <c r="AG432" i="4"/>
  <c r="S433" i="4"/>
  <c r="T433" i="4"/>
  <c r="U433" i="4"/>
  <c r="V433" i="4"/>
  <c r="W433" i="4"/>
  <c r="X433" i="4"/>
  <c r="Y433" i="4"/>
  <c r="Z433" i="4"/>
  <c r="AA433" i="4"/>
  <c r="AB433" i="4"/>
  <c r="AC433" i="4"/>
  <c r="AD433" i="4"/>
  <c r="AE433" i="4"/>
  <c r="AG433" i="4"/>
  <c r="S434" i="4"/>
  <c r="T434" i="4"/>
  <c r="U434" i="4"/>
  <c r="V434" i="4"/>
  <c r="W434" i="4"/>
  <c r="X434" i="4"/>
  <c r="Y434" i="4"/>
  <c r="Z434" i="4"/>
  <c r="AA434" i="4"/>
  <c r="AB434" i="4"/>
  <c r="AC434" i="4"/>
  <c r="AD434" i="4"/>
  <c r="AE434" i="4"/>
  <c r="AG434" i="4"/>
  <c r="S435" i="4"/>
  <c r="T435" i="4"/>
  <c r="U435" i="4"/>
  <c r="V435" i="4"/>
  <c r="W435" i="4"/>
  <c r="X435" i="4"/>
  <c r="Y435" i="4"/>
  <c r="Z435" i="4"/>
  <c r="AA435" i="4"/>
  <c r="AB435" i="4"/>
  <c r="AC435" i="4"/>
  <c r="AD435" i="4"/>
  <c r="AE435" i="4"/>
  <c r="AG435" i="4"/>
  <c r="S404" i="4"/>
  <c r="T404" i="4"/>
  <c r="U404" i="4"/>
  <c r="V404" i="4"/>
  <c r="W404" i="4"/>
  <c r="X404" i="4"/>
  <c r="Y404" i="4"/>
  <c r="Z404" i="4"/>
  <c r="AA404" i="4"/>
  <c r="AB404" i="4"/>
  <c r="AC404" i="4"/>
  <c r="AD404" i="4"/>
  <c r="AE404" i="4"/>
  <c r="AG404" i="4"/>
  <c r="S405" i="4"/>
  <c r="T405" i="4"/>
  <c r="U405" i="4"/>
  <c r="V405" i="4"/>
  <c r="W405" i="4"/>
  <c r="X405" i="4"/>
  <c r="Y405" i="4"/>
  <c r="Z405" i="4"/>
  <c r="AA405" i="4"/>
  <c r="AB405" i="4"/>
  <c r="AC405" i="4"/>
  <c r="AD405" i="4"/>
  <c r="AE405" i="4"/>
  <c r="AG405" i="4"/>
  <c r="S406" i="4"/>
  <c r="T406" i="4"/>
  <c r="U406" i="4"/>
  <c r="V406" i="4"/>
  <c r="W406" i="4"/>
  <c r="X406" i="4"/>
  <c r="Y406" i="4"/>
  <c r="Z406" i="4"/>
  <c r="AA406" i="4"/>
  <c r="AB406" i="4"/>
  <c r="AC406" i="4"/>
  <c r="AD406" i="4"/>
  <c r="AE406" i="4"/>
  <c r="AG406" i="4"/>
  <c r="S407" i="4"/>
  <c r="T407" i="4"/>
  <c r="U407" i="4"/>
  <c r="V407" i="4"/>
  <c r="W407" i="4"/>
  <c r="X407" i="4"/>
  <c r="Y407" i="4"/>
  <c r="Z407" i="4"/>
  <c r="AA407" i="4"/>
  <c r="AB407" i="4"/>
  <c r="AC407" i="4"/>
  <c r="AD407" i="4"/>
  <c r="AE407" i="4"/>
  <c r="AG407" i="4"/>
  <c r="S408" i="4"/>
  <c r="T408" i="4"/>
  <c r="U408" i="4"/>
  <c r="V408" i="4"/>
  <c r="W408" i="4"/>
  <c r="X408" i="4"/>
  <c r="Y408" i="4"/>
  <c r="Z408" i="4"/>
  <c r="AA408" i="4"/>
  <c r="AB408" i="4"/>
  <c r="AC408" i="4"/>
  <c r="AD408" i="4"/>
  <c r="AE408" i="4"/>
  <c r="AG408" i="4"/>
  <c r="S409" i="4"/>
  <c r="T409" i="4"/>
  <c r="U409" i="4"/>
  <c r="V409" i="4"/>
  <c r="W409" i="4"/>
  <c r="X409" i="4"/>
  <c r="AA409" i="4"/>
  <c r="AB409" i="4"/>
  <c r="AC409" i="4"/>
  <c r="AD409" i="4"/>
  <c r="AE409" i="4"/>
  <c r="AF409" i="4"/>
  <c r="AG409" i="4"/>
  <c r="S410" i="4"/>
  <c r="T410" i="4"/>
  <c r="U410" i="4"/>
  <c r="V410" i="4"/>
  <c r="W410" i="4"/>
  <c r="X410" i="4"/>
  <c r="AA410" i="4"/>
  <c r="AB410" i="4"/>
  <c r="AC410" i="4"/>
  <c r="AD410" i="4"/>
  <c r="AE410" i="4"/>
  <c r="AF410" i="4"/>
  <c r="AG410" i="4"/>
  <c r="S411" i="4"/>
  <c r="T411" i="4"/>
  <c r="U411" i="4"/>
  <c r="V411" i="4"/>
  <c r="W411" i="4"/>
  <c r="X411" i="4"/>
  <c r="AA411" i="4"/>
  <c r="AB411" i="4"/>
  <c r="AC411" i="4"/>
  <c r="AD411" i="4"/>
  <c r="AE411" i="4"/>
  <c r="AF411" i="4"/>
  <c r="AG411" i="4"/>
  <c r="S412" i="4"/>
  <c r="T412" i="4"/>
  <c r="U412" i="4"/>
  <c r="V412" i="4"/>
  <c r="W412" i="4"/>
  <c r="X412" i="4"/>
  <c r="Y412" i="4"/>
  <c r="Z412" i="4"/>
  <c r="AA412" i="4"/>
  <c r="AB412" i="4"/>
  <c r="AC412" i="4"/>
  <c r="AD412" i="4"/>
  <c r="AE412" i="4"/>
  <c r="AG412" i="4"/>
  <c r="S413" i="4"/>
  <c r="T413" i="4"/>
  <c r="U413" i="4"/>
  <c r="V413" i="4"/>
  <c r="W413" i="4"/>
  <c r="X413" i="4"/>
  <c r="Y413" i="4"/>
  <c r="Z413" i="4"/>
  <c r="AA413" i="4"/>
  <c r="AB413" i="4"/>
  <c r="AC413" i="4"/>
  <c r="AD413" i="4"/>
  <c r="AE413" i="4"/>
  <c r="AG413" i="4"/>
  <c r="S414" i="4"/>
  <c r="T414" i="4"/>
  <c r="U414" i="4"/>
  <c r="V414" i="4"/>
  <c r="W414" i="4"/>
  <c r="X414" i="4"/>
  <c r="Y414" i="4"/>
  <c r="Z414" i="4"/>
  <c r="AA414" i="4"/>
  <c r="AB414" i="4"/>
  <c r="AC414" i="4"/>
  <c r="AD414" i="4"/>
  <c r="AE414" i="4"/>
  <c r="AG414" i="4"/>
  <c r="S415" i="4"/>
  <c r="T415" i="4"/>
  <c r="U415" i="4"/>
  <c r="V415" i="4"/>
  <c r="W415" i="4"/>
  <c r="X415" i="4"/>
  <c r="Y415" i="4"/>
  <c r="Z415" i="4"/>
  <c r="AA415" i="4"/>
  <c r="AB415" i="4"/>
  <c r="AC415" i="4"/>
  <c r="AD415" i="4"/>
  <c r="AE415" i="4"/>
  <c r="AG415" i="4"/>
  <c r="S416" i="4"/>
  <c r="T416" i="4"/>
  <c r="U416" i="4"/>
  <c r="V416" i="4"/>
  <c r="W416" i="4"/>
  <c r="X416" i="4"/>
  <c r="Y416" i="4"/>
  <c r="Z416" i="4"/>
  <c r="AA416" i="4"/>
  <c r="AB416" i="4"/>
  <c r="AC416" i="4"/>
  <c r="AD416" i="4"/>
  <c r="AE416" i="4"/>
  <c r="AG416" i="4"/>
  <c r="S417" i="4"/>
  <c r="T417" i="4"/>
  <c r="U417" i="4"/>
  <c r="V417" i="4"/>
  <c r="W417" i="4"/>
  <c r="X417" i="4"/>
  <c r="Y417" i="4"/>
  <c r="Z417" i="4"/>
  <c r="AA417" i="4"/>
  <c r="AB417" i="4"/>
  <c r="AC417" i="4"/>
  <c r="AD417" i="4"/>
  <c r="AE417" i="4"/>
  <c r="AG417" i="4"/>
  <c r="S418" i="4"/>
  <c r="T418" i="4"/>
  <c r="U418" i="4"/>
  <c r="V418" i="4"/>
  <c r="W418" i="4"/>
  <c r="X418" i="4"/>
  <c r="Y418" i="4"/>
  <c r="Z418" i="4"/>
  <c r="AA418" i="4"/>
  <c r="AB418" i="4"/>
  <c r="AC418" i="4"/>
  <c r="AD418" i="4"/>
  <c r="AE418" i="4"/>
  <c r="AG418" i="4"/>
  <c r="S419" i="4"/>
  <c r="T419" i="4"/>
  <c r="U419" i="4"/>
  <c r="V419" i="4"/>
  <c r="W419" i="4"/>
  <c r="X419" i="4"/>
  <c r="Y419" i="4"/>
  <c r="Z419" i="4"/>
  <c r="AA419" i="4"/>
  <c r="AB419" i="4"/>
  <c r="AC419" i="4"/>
  <c r="AD419" i="4"/>
  <c r="AE419" i="4"/>
  <c r="AG419" i="4"/>
  <c r="S420" i="4"/>
  <c r="T420" i="4"/>
  <c r="U420" i="4"/>
  <c r="V420" i="4"/>
  <c r="W420" i="4"/>
  <c r="X420" i="4"/>
  <c r="Y420" i="4"/>
  <c r="Z420" i="4"/>
  <c r="AA420" i="4"/>
  <c r="AB420" i="4"/>
  <c r="AC420" i="4"/>
  <c r="AD420" i="4"/>
  <c r="AE420" i="4"/>
  <c r="AG420" i="4"/>
  <c r="S421" i="4"/>
  <c r="T421" i="4"/>
  <c r="U421" i="4"/>
  <c r="V421" i="4"/>
  <c r="W421" i="4"/>
  <c r="X421" i="4"/>
  <c r="Y421" i="4"/>
  <c r="Z421" i="4"/>
  <c r="AA421" i="4"/>
  <c r="AB421" i="4"/>
  <c r="AC421" i="4"/>
  <c r="AD421" i="4"/>
  <c r="AE421" i="4"/>
  <c r="AG421" i="4"/>
  <c r="S422" i="4"/>
  <c r="T422" i="4"/>
  <c r="U422" i="4"/>
  <c r="V422" i="4"/>
  <c r="W422" i="4"/>
  <c r="X422" i="4"/>
  <c r="Y422" i="4"/>
  <c r="Z422" i="4"/>
  <c r="AA422" i="4"/>
  <c r="AB422" i="4"/>
  <c r="AC422" i="4"/>
  <c r="AD422" i="4"/>
  <c r="AE422" i="4"/>
  <c r="AG422" i="4"/>
  <c r="S423" i="4"/>
  <c r="T423" i="4"/>
  <c r="U423" i="4"/>
  <c r="V423" i="4"/>
  <c r="W423" i="4"/>
  <c r="X423" i="4"/>
  <c r="Y423" i="4"/>
  <c r="Z423" i="4"/>
  <c r="AA423" i="4"/>
  <c r="AB423" i="4"/>
  <c r="AC423" i="4"/>
  <c r="AD423" i="4"/>
  <c r="AE423" i="4"/>
  <c r="AG423" i="4"/>
  <c r="S424" i="4"/>
  <c r="T424" i="4"/>
  <c r="U424" i="4"/>
  <c r="V424" i="4"/>
  <c r="W424" i="4"/>
  <c r="X424" i="4"/>
  <c r="Y424" i="4"/>
  <c r="Z424" i="4"/>
  <c r="AA424" i="4"/>
  <c r="AB424" i="4"/>
  <c r="AC424" i="4"/>
  <c r="AD424" i="4"/>
  <c r="AE424" i="4"/>
  <c r="AG424" i="4"/>
  <c r="S425" i="4"/>
  <c r="T425" i="4"/>
  <c r="U425" i="4"/>
  <c r="V425" i="4"/>
  <c r="W425" i="4"/>
  <c r="X425" i="4"/>
  <c r="Y425" i="4"/>
  <c r="Z425" i="4"/>
  <c r="AA425" i="4"/>
  <c r="AB425" i="4"/>
  <c r="AC425" i="4"/>
  <c r="AD425" i="4"/>
  <c r="AE425" i="4"/>
  <c r="AG425" i="4"/>
  <c r="T403" i="4"/>
  <c r="U403" i="4"/>
  <c r="V403" i="4"/>
  <c r="W403" i="4"/>
  <c r="X403" i="4"/>
  <c r="Y403" i="4"/>
  <c r="Z403" i="4"/>
  <c r="AA403" i="4"/>
  <c r="AB403" i="4"/>
  <c r="AC403" i="4"/>
  <c r="AD403" i="4"/>
  <c r="AE403" i="4"/>
  <c r="AG403" i="4"/>
  <c r="S403" i="4"/>
  <c r="BC438" i="4"/>
  <c r="BB438" i="4"/>
  <c r="BA438" i="4"/>
  <c r="AZ438" i="4"/>
  <c r="AY438" i="4"/>
  <c r="AW438" i="4"/>
  <c r="AV438" i="4"/>
  <c r="AU438" i="4"/>
  <c r="AT438" i="4"/>
  <c r="AS438" i="4"/>
  <c r="AQ438" i="4"/>
  <c r="AP438" i="4"/>
  <c r="BC437" i="4"/>
  <c r="BB437" i="4"/>
  <c r="BA437" i="4"/>
  <c r="AZ437" i="4"/>
  <c r="AY437" i="4"/>
  <c r="AW437" i="4"/>
  <c r="AV437" i="4"/>
  <c r="AU437" i="4"/>
  <c r="AT437" i="4"/>
  <c r="AS437" i="4"/>
  <c r="AQ437" i="4"/>
  <c r="AP437" i="4"/>
  <c r="BC436" i="4"/>
  <c r="BB436" i="4"/>
  <c r="BA436" i="4"/>
  <c r="AZ436" i="4"/>
  <c r="AY436" i="4"/>
  <c r="AW436" i="4"/>
  <c r="AV436" i="4"/>
  <c r="AU436" i="4"/>
  <c r="AT436" i="4"/>
  <c r="AS436" i="4"/>
  <c r="AQ436" i="4"/>
  <c r="AP436" i="4"/>
  <c r="BC435" i="4"/>
  <c r="BB435" i="4"/>
  <c r="BA435" i="4"/>
  <c r="AZ435" i="4"/>
  <c r="AY435" i="4"/>
  <c r="AW435" i="4"/>
  <c r="AV435" i="4"/>
  <c r="AU435" i="4"/>
  <c r="AT435" i="4"/>
  <c r="AS435" i="4"/>
  <c r="AQ435" i="4"/>
  <c r="AP435" i="4"/>
  <c r="BC434" i="4"/>
  <c r="BB434" i="4"/>
  <c r="BA434" i="4"/>
  <c r="AZ434" i="4"/>
  <c r="AY434" i="4"/>
  <c r="AW434" i="4"/>
  <c r="AV434" i="4"/>
  <c r="AU434" i="4"/>
  <c r="AT434" i="4"/>
  <c r="AS434" i="4"/>
  <c r="AQ434" i="4"/>
  <c r="AP434" i="4"/>
  <c r="BC433" i="4"/>
  <c r="BB433" i="4"/>
  <c r="BA433" i="4"/>
  <c r="AZ433" i="4"/>
  <c r="AY433" i="4"/>
  <c r="AW433" i="4"/>
  <c r="AV433" i="4"/>
  <c r="AU433" i="4"/>
  <c r="AT433" i="4"/>
  <c r="AS433" i="4"/>
  <c r="AQ433" i="4"/>
  <c r="AP433" i="4"/>
  <c r="BD411" i="4"/>
  <c r="BD410" i="4"/>
  <c r="BD409" i="4"/>
  <c r="BC409" i="4"/>
  <c r="BC432" i="4"/>
  <c r="BB432" i="4"/>
  <c r="BA432" i="4"/>
  <c r="AZ432" i="4"/>
  <c r="AY432" i="4"/>
  <c r="AW432" i="4"/>
  <c r="AV432" i="4"/>
  <c r="AU432" i="4"/>
  <c r="AT432" i="4"/>
  <c r="AS432" i="4"/>
  <c r="AQ432" i="4"/>
  <c r="AP432" i="4"/>
  <c r="BC431" i="4"/>
  <c r="BB431" i="4"/>
  <c r="BA431" i="4"/>
  <c r="AZ431" i="4"/>
  <c r="AY431" i="4"/>
  <c r="AW431" i="4"/>
  <c r="AV431" i="4"/>
  <c r="AU431" i="4"/>
  <c r="AT431" i="4"/>
  <c r="AS431" i="4"/>
  <c r="AQ431" i="4"/>
  <c r="AP431" i="4"/>
  <c r="BC430" i="4"/>
  <c r="BB430" i="4"/>
  <c r="BA430" i="4"/>
  <c r="AZ430" i="4"/>
  <c r="AY430" i="4"/>
  <c r="AW430" i="4"/>
  <c r="AV430" i="4"/>
  <c r="AU430" i="4"/>
  <c r="AT430" i="4"/>
  <c r="AS430" i="4"/>
  <c r="AQ430" i="4"/>
  <c r="AP430" i="4"/>
  <c r="BC429" i="4"/>
  <c r="BB429" i="4"/>
  <c r="BA429" i="4"/>
  <c r="AZ429" i="4"/>
  <c r="AY429" i="4"/>
  <c r="AW429" i="4"/>
  <c r="AV429" i="4"/>
  <c r="AU429" i="4"/>
  <c r="AT429" i="4"/>
  <c r="AS429" i="4"/>
  <c r="AQ429" i="4"/>
  <c r="AP429" i="4"/>
  <c r="BC428" i="4"/>
  <c r="BB428" i="4"/>
  <c r="BA428" i="4"/>
  <c r="AZ428" i="4"/>
  <c r="AY428" i="4"/>
  <c r="AW428" i="4"/>
  <c r="AV428" i="4"/>
  <c r="AU428" i="4"/>
  <c r="AT428" i="4"/>
  <c r="AS428" i="4"/>
  <c r="AQ428" i="4"/>
  <c r="AP428" i="4"/>
  <c r="BC427" i="4"/>
  <c r="BB427" i="4"/>
  <c r="BA427" i="4"/>
  <c r="AZ427" i="4"/>
  <c r="AY427" i="4"/>
  <c r="AW427" i="4"/>
  <c r="AV427" i="4"/>
  <c r="AU427" i="4"/>
  <c r="AT427" i="4"/>
  <c r="AS427" i="4"/>
  <c r="AQ427" i="4"/>
  <c r="AP427" i="4"/>
  <c r="BC426" i="4"/>
  <c r="BB426" i="4"/>
  <c r="BA426" i="4"/>
  <c r="AZ426" i="4"/>
  <c r="AY426" i="4"/>
  <c r="AW426" i="4"/>
  <c r="AV426" i="4"/>
  <c r="AU426" i="4"/>
  <c r="AT426" i="4"/>
  <c r="AS426" i="4"/>
  <c r="AQ426" i="4"/>
  <c r="AP426" i="4"/>
  <c r="BC425" i="4"/>
  <c r="BB425" i="4"/>
  <c r="BA425" i="4"/>
  <c r="AZ425" i="4"/>
  <c r="AY425" i="4"/>
  <c r="AW425" i="4"/>
  <c r="AV425" i="4"/>
  <c r="AU425" i="4"/>
  <c r="AT425" i="4"/>
  <c r="AS425" i="4"/>
  <c r="AQ425" i="4"/>
  <c r="AP425" i="4"/>
  <c r="BC424" i="4"/>
  <c r="BB424" i="4"/>
  <c r="BA424" i="4"/>
  <c r="AZ424" i="4"/>
  <c r="AY424" i="4"/>
  <c r="AW424" i="4"/>
  <c r="AV424" i="4"/>
  <c r="AU424" i="4"/>
  <c r="AT424" i="4"/>
  <c r="AS424" i="4"/>
  <c r="AQ424" i="4"/>
  <c r="AP424" i="4"/>
  <c r="BC423" i="4"/>
  <c r="BB423" i="4"/>
  <c r="BA423" i="4"/>
  <c r="AZ423" i="4"/>
  <c r="AY423" i="4"/>
  <c r="AW423" i="4"/>
  <c r="AV423" i="4"/>
  <c r="AU423" i="4"/>
  <c r="AT423" i="4"/>
  <c r="AS423" i="4"/>
  <c r="AQ423" i="4"/>
  <c r="AP423" i="4"/>
  <c r="BC422" i="4"/>
  <c r="BB422" i="4"/>
  <c r="BA422" i="4"/>
  <c r="AZ422" i="4"/>
  <c r="AY422" i="4"/>
  <c r="AW422" i="4"/>
  <c r="AV422" i="4"/>
  <c r="AU422" i="4"/>
  <c r="AT422" i="4"/>
  <c r="AS422" i="4"/>
  <c r="AQ422" i="4"/>
  <c r="AP422" i="4"/>
  <c r="BC421" i="4"/>
  <c r="BB421" i="4"/>
  <c r="BA421" i="4"/>
  <c r="AZ421" i="4"/>
  <c r="AY421" i="4"/>
  <c r="AW421" i="4"/>
  <c r="AV421" i="4"/>
  <c r="AU421" i="4"/>
  <c r="AT421" i="4"/>
  <c r="AS421" i="4"/>
  <c r="AQ421" i="4"/>
  <c r="AP421" i="4"/>
  <c r="BC420" i="4"/>
  <c r="BB420" i="4"/>
  <c r="BA420" i="4"/>
  <c r="AZ420" i="4"/>
  <c r="AY420" i="4"/>
  <c r="AW420" i="4"/>
  <c r="AV420" i="4"/>
  <c r="AU420" i="4"/>
  <c r="AT420" i="4"/>
  <c r="AS420" i="4"/>
  <c r="AQ420" i="4"/>
  <c r="AP420" i="4"/>
  <c r="BC419" i="4"/>
  <c r="BB419" i="4"/>
  <c r="BA419" i="4"/>
  <c r="AZ419" i="4"/>
  <c r="AY419" i="4"/>
  <c r="AW419" i="4"/>
  <c r="AV419" i="4"/>
  <c r="AU419" i="4"/>
  <c r="AT419" i="4"/>
  <c r="AS419" i="4"/>
  <c r="AQ419" i="4"/>
  <c r="AP419" i="4"/>
  <c r="BC418" i="4"/>
  <c r="BB418" i="4"/>
  <c r="BA418" i="4"/>
  <c r="AZ418" i="4"/>
  <c r="AY418" i="4"/>
  <c r="AW418" i="4"/>
  <c r="AV418" i="4"/>
  <c r="AU418" i="4"/>
  <c r="AT418" i="4"/>
  <c r="AS418" i="4"/>
  <c r="AQ418" i="4"/>
  <c r="AP418" i="4"/>
  <c r="BC417" i="4"/>
  <c r="BB417" i="4"/>
  <c r="BA417" i="4"/>
  <c r="AZ417" i="4"/>
  <c r="AY417" i="4"/>
  <c r="AW417" i="4"/>
  <c r="AV417" i="4"/>
  <c r="AU417" i="4"/>
  <c r="AT417" i="4"/>
  <c r="AS417" i="4"/>
  <c r="AQ417" i="4"/>
  <c r="AP417" i="4"/>
  <c r="BC416" i="4"/>
  <c r="BB416" i="4"/>
  <c r="BA416" i="4"/>
  <c r="AZ416" i="4"/>
  <c r="AY416" i="4"/>
  <c r="AW416" i="4"/>
  <c r="AV416" i="4"/>
  <c r="AU416" i="4"/>
  <c r="AT416" i="4"/>
  <c r="AS416" i="4"/>
  <c r="AQ416" i="4"/>
  <c r="AP416" i="4"/>
  <c r="BC415" i="4"/>
  <c r="BB415" i="4"/>
  <c r="BA415" i="4"/>
  <c r="AZ415" i="4"/>
  <c r="AY415" i="4"/>
  <c r="AW415" i="4"/>
  <c r="AV415" i="4"/>
  <c r="AU415" i="4"/>
  <c r="AT415" i="4"/>
  <c r="AS415" i="4"/>
  <c r="AQ415" i="4"/>
  <c r="AP415" i="4"/>
  <c r="BC414" i="4"/>
  <c r="BB414" i="4"/>
  <c r="BA414" i="4"/>
  <c r="AZ414" i="4"/>
  <c r="AY414" i="4"/>
  <c r="AW414" i="4"/>
  <c r="AV414" i="4"/>
  <c r="AU414" i="4"/>
  <c r="AT414" i="4"/>
  <c r="AS414" i="4"/>
  <c r="AQ414" i="4"/>
  <c r="AP414" i="4"/>
  <c r="BC413" i="4"/>
  <c r="BB413" i="4"/>
  <c r="BA413" i="4"/>
  <c r="AZ413" i="4"/>
  <c r="AY413" i="4"/>
  <c r="AW413" i="4"/>
  <c r="AV413" i="4"/>
  <c r="AU413" i="4"/>
  <c r="AT413" i="4"/>
  <c r="AS413" i="4"/>
  <c r="AQ413" i="4"/>
  <c r="AP413" i="4"/>
  <c r="BC412" i="4"/>
  <c r="BB412" i="4"/>
  <c r="BA412" i="4"/>
  <c r="AZ412" i="4"/>
  <c r="AY412" i="4"/>
  <c r="AW412" i="4"/>
  <c r="AV412" i="4"/>
  <c r="AU412" i="4"/>
  <c r="AT412" i="4"/>
  <c r="AS412" i="4"/>
  <c r="AQ412" i="4"/>
  <c r="AP412" i="4"/>
  <c r="BC411" i="4"/>
  <c r="BB411" i="4"/>
  <c r="AZ411" i="4"/>
  <c r="AV411" i="4"/>
  <c r="AU411" i="4"/>
  <c r="AT411" i="4"/>
  <c r="AS411" i="4"/>
  <c r="AQ411" i="4"/>
  <c r="AP411" i="4"/>
  <c r="BC410" i="4"/>
  <c r="BB410" i="4"/>
  <c r="AZ410" i="4"/>
  <c r="AV410" i="4"/>
  <c r="AU410" i="4"/>
  <c r="AT410" i="4"/>
  <c r="AS410" i="4"/>
  <c r="AQ410" i="4"/>
  <c r="AP410" i="4"/>
  <c r="BB409" i="4"/>
  <c r="AZ409" i="4"/>
  <c r="AV409" i="4"/>
  <c r="AU409" i="4"/>
  <c r="AT409" i="4"/>
  <c r="AS409" i="4"/>
  <c r="AQ409" i="4"/>
  <c r="AP409" i="4"/>
  <c r="BC408" i="4"/>
  <c r="BB408" i="4"/>
  <c r="BA408" i="4"/>
  <c r="AZ408" i="4"/>
  <c r="AY408" i="4"/>
  <c r="AW408" i="4"/>
  <c r="AV408" i="4"/>
  <c r="AU408" i="4"/>
  <c r="AT408" i="4"/>
  <c r="AS408" i="4"/>
  <c r="AQ408" i="4"/>
  <c r="AP408" i="4"/>
  <c r="BC407" i="4"/>
  <c r="BB407" i="4"/>
  <c r="BA407" i="4"/>
  <c r="AZ407" i="4"/>
  <c r="AY407" i="4"/>
  <c r="AW407" i="4"/>
  <c r="AV407" i="4"/>
  <c r="AU407" i="4"/>
  <c r="AT407" i="4"/>
  <c r="AS407" i="4"/>
  <c r="AQ407" i="4"/>
  <c r="AP407" i="4"/>
  <c r="BC406" i="4"/>
  <c r="BB406" i="4"/>
  <c r="BA406" i="4"/>
  <c r="AZ406" i="4"/>
  <c r="AY406" i="4"/>
  <c r="AW406" i="4"/>
  <c r="AV406" i="4"/>
  <c r="AU406" i="4"/>
  <c r="AT406" i="4"/>
  <c r="AS406" i="4"/>
  <c r="AQ406" i="4"/>
  <c r="AP406" i="4"/>
  <c r="BC405" i="4"/>
  <c r="BB405" i="4"/>
  <c r="BA405" i="4"/>
  <c r="AZ405" i="4"/>
  <c r="AY405" i="4"/>
  <c r="AW405" i="4"/>
  <c r="AV405" i="4"/>
  <c r="AU405" i="4"/>
  <c r="AT405" i="4"/>
  <c r="AS405" i="4"/>
  <c r="AQ405" i="4"/>
  <c r="AP405" i="4"/>
  <c r="BC404" i="4"/>
  <c r="BB404" i="4"/>
  <c r="BA404" i="4"/>
  <c r="AZ404" i="4"/>
  <c r="AY404" i="4"/>
  <c r="AW404" i="4"/>
  <c r="AV404" i="4"/>
  <c r="AU404" i="4"/>
  <c r="AT404" i="4"/>
  <c r="AS404" i="4"/>
  <c r="AQ404" i="4"/>
  <c r="AP404" i="4"/>
  <c r="BC403" i="4"/>
  <c r="BB403" i="4"/>
  <c r="BA403" i="4"/>
  <c r="AZ403" i="4"/>
  <c r="AY403" i="4"/>
  <c r="AW403" i="4"/>
  <c r="AV403" i="4"/>
  <c r="AU403" i="4"/>
  <c r="AT403" i="4"/>
  <c r="AS403" i="4"/>
  <c r="AQ403" i="4"/>
  <c r="AP403" i="4"/>
  <c r="BD442" i="4"/>
  <c r="BK442" i="4" s="1"/>
  <c r="BN442" i="4"/>
  <c r="CP442" i="4"/>
  <c r="BM442" i="4"/>
  <c r="AV383" i="4"/>
  <c r="AW383" i="4" s="1"/>
  <c r="AX383" i="4" s="1"/>
  <c r="AY383" i="4" s="1"/>
  <c r="AZ383" i="4" s="1"/>
  <c r="AZ374" i="4"/>
  <c r="AZ375" i="4"/>
  <c r="AZ376" i="4"/>
  <c r="AZ377" i="4"/>
  <c r="AZ378" i="4"/>
  <c r="AZ379" i="4"/>
  <c r="AZ380" i="4"/>
  <c r="AY374" i="4"/>
  <c r="AY375" i="4"/>
  <c r="AY376" i="4"/>
  <c r="AY377" i="4"/>
  <c r="AY378" i="4"/>
  <c r="AY379" i="4"/>
  <c r="AY380" i="4"/>
  <c r="AX374" i="4"/>
  <c r="AX375" i="4"/>
  <c r="AX376" i="4"/>
  <c r="AX377" i="4"/>
  <c r="AX378" i="4"/>
  <c r="AX379" i="4"/>
  <c r="AX380" i="4"/>
  <c r="AW374" i="4"/>
  <c r="AW375" i="4"/>
  <c r="AW376" i="4"/>
  <c r="AW377" i="4"/>
  <c r="AW378" i="4"/>
  <c r="AW379" i="4"/>
  <c r="AW380" i="4"/>
  <c r="AV374" i="4"/>
  <c r="AV375" i="4"/>
  <c r="BK364" i="4" s="1"/>
  <c r="AV376" i="4"/>
  <c r="BK365" i="4" s="1"/>
  <c r="AV377" i="4"/>
  <c r="AV378" i="4"/>
  <c r="BK367" i="4" s="1"/>
  <c r="AV379" i="4"/>
  <c r="AV380" i="4"/>
  <c r="BK369" i="4" s="1"/>
  <c r="AZ373" i="4"/>
  <c r="AY373" i="4"/>
  <c r="AX373" i="4"/>
  <c r="AW373" i="4"/>
  <c r="AV373" i="4"/>
  <c r="BG371" i="4"/>
  <c r="BK359" i="4"/>
  <c r="BG370" i="4"/>
  <c r="BK358" i="4"/>
  <c r="BG372" i="4"/>
  <c r="BK360" i="4"/>
  <c r="BG350" i="4"/>
  <c r="BG369" i="4"/>
  <c r="BK357" i="4"/>
  <c r="BK356" i="4"/>
  <c r="BB371" i="4"/>
  <c r="BA371" i="4"/>
  <c r="BG356" i="4"/>
  <c r="AM91" i="4"/>
  <c r="AL91" i="4"/>
  <c r="BN441" i="4"/>
  <c r="CP441" i="4" s="1"/>
  <c r="BN440" i="4"/>
  <c r="CP440" i="4" s="1"/>
  <c r="BM441" i="4"/>
  <c r="BM440" i="4"/>
  <c r="BK441" i="4"/>
  <c r="BK440" i="4"/>
  <c r="BS439" i="4"/>
  <c r="BR439" i="4"/>
  <c r="BP439" i="4"/>
  <c r="BS438" i="4"/>
  <c r="BR438" i="4"/>
  <c r="BP438" i="4"/>
  <c r="BK439" i="4"/>
  <c r="BK438" i="4"/>
  <c r="BN439" i="4"/>
  <c r="CP439" i="4" s="1"/>
  <c r="BM439" i="4"/>
  <c r="BN438" i="4"/>
  <c r="CP438" i="4"/>
  <c r="BM438" i="4"/>
  <c r="BQ396" i="4"/>
  <c r="BQ397" i="4"/>
  <c r="BK395" i="4"/>
  <c r="BK337" i="4"/>
  <c r="BF344" i="4"/>
  <c r="BN352" i="4"/>
  <c r="CP352" i="4"/>
  <c r="BF352" i="4"/>
  <c r="BN353" i="4"/>
  <c r="CP353" i="4" s="1"/>
  <c r="BF353" i="4"/>
  <c r="BN351" i="4"/>
  <c r="CP351" i="4"/>
  <c r="BN350" i="4"/>
  <c r="CP350" i="4"/>
  <c r="BF351" i="4"/>
  <c r="BF350" i="4"/>
  <c r="BF349" i="4"/>
  <c r="BN349" i="4"/>
  <c r="CP349" i="4" s="1"/>
  <c r="BP444" i="4"/>
  <c r="BP443" i="4"/>
  <c r="BY444" i="4"/>
  <c r="BX444" i="4"/>
  <c r="BS444" i="4"/>
  <c r="BR444" i="4"/>
  <c r="BN444" i="4"/>
  <c r="CP444" i="4" s="1"/>
  <c r="BM444" i="4"/>
  <c r="BK444" i="4"/>
  <c r="BY443" i="4"/>
  <c r="BX443" i="4"/>
  <c r="BS443" i="4"/>
  <c r="BR443" i="4"/>
  <c r="BN443" i="4"/>
  <c r="CP443" i="4" s="1"/>
  <c r="BM443" i="4"/>
  <c r="BK443" i="4"/>
  <c r="BK455" i="4"/>
  <c r="BK454" i="4"/>
  <c r="BK453" i="4"/>
  <c r="Y88" i="4"/>
  <c r="X88" i="4"/>
  <c r="Y72" i="4"/>
  <c r="X72" i="4"/>
  <c r="BG315" i="4"/>
  <c r="BK315" i="4"/>
  <c r="BF315" i="4"/>
  <c r="BD315" i="4"/>
  <c r="BE315" i="4"/>
  <c r="BD314" i="4"/>
  <c r="BF314" i="4"/>
  <c r="BG314" i="4"/>
  <c r="BK314" i="4" s="1"/>
  <c r="BE314" i="4"/>
  <c r="BQ231" i="4"/>
  <c r="AM44" i="4"/>
  <c r="AF44" i="4"/>
  <c r="Y44" i="4"/>
  <c r="X44" i="4"/>
  <c r="R44" i="4"/>
  <c r="Q44" i="4"/>
  <c r="BB44" i="4" s="1"/>
  <c r="BD44" i="4" s="1"/>
  <c r="D44" i="4"/>
  <c r="AV44" i="4"/>
  <c r="BC44" i="4"/>
  <c r="Z44" i="4"/>
  <c r="AT53" i="4"/>
  <c r="AS53" i="4"/>
  <c r="R53" i="4"/>
  <c r="D53" i="4"/>
  <c r="AT52" i="4"/>
  <c r="R52" i="4"/>
  <c r="Q52" i="4"/>
  <c r="BB52" i="4" s="1"/>
  <c r="BC52" i="4" s="1"/>
  <c r="BE52" i="4" s="1"/>
  <c r="D52" i="4"/>
  <c r="AH84" i="8"/>
  <c r="AH79" i="8"/>
  <c r="AH78" i="8"/>
  <c r="AH71" i="8"/>
  <c r="AH70" i="8"/>
  <c r="AH69" i="8"/>
  <c r="AH68" i="8"/>
  <c r="AH67" i="8"/>
  <c r="AH66" i="8"/>
  <c r="AH65" i="8"/>
  <c r="AH64" i="8"/>
  <c r="AH63" i="8"/>
  <c r="AH62" i="8"/>
  <c r="AH61" i="8"/>
  <c r="AH60" i="8"/>
  <c r="AH59" i="8"/>
  <c r="AU52" i="4"/>
  <c r="AY148" i="4"/>
  <c r="BK307" i="4"/>
  <c r="AY62" i="4" s="1"/>
  <c r="AT173" i="4"/>
  <c r="AT172" i="4"/>
  <c r="AT171" i="4"/>
  <c r="AT170" i="4"/>
  <c r="AT169" i="4"/>
  <c r="AT168" i="4"/>
  <c r="AT167" i="4"/>
  <c r="AT166" i="4"/>
  <c r="AT165" i="4"/>
  <c r="AT164" i="4"/>
  <c r="AT163" i="4"/>
  <c r="AT162" i="4"/>
  <c r="AT144" i="4"/>
  <c r="AT142" i="4"/>
  <c r="AT141" i="4"/>
  <c r="AT140" i="4"/>
  <c r="AT117" i="4"/>
  <c r="AT116" i="4"/>
  <c r="AT115" i="4"/>
  <c r="AT58" i="4"/>
  <c r="AT56" i="4"/>
  <c r="AT55" i="4"/>
  <c r="AT54" i="4"/>
  <c r="AT30" i="4"/>
  <c r="AT28" i="4"/>
  <c r="AT27" i="4"/>
  <c r="AT26" i="4"/>
  <c r="AM87" i="4"/>
  <c r="AM86" i="4"/>
  <c r="AM85" i="4"/>
  <c r="AM172" i="4"/>
  <c r="AM171" i="4"/>
  <c r="AM170" i="4"/>
  <c r="AM169" i="4"/>
  <c r="AM168" i="4"/>
  <c r="AM167" i="4"/>
  <c r="AM166" i="4"/>
  <c r="AM165" i="4"/>
  <c r="AM164" i="4"/>
  <c r="AM163" i="4"/>
  <c r="AM162" i="4"/>
  <c r="AM173" i="4"/>
  <c r="AL87" i="4"/>
  <c r="AL86" i="4"/>
  <c r="AL85" i="4"/>
  <c r="AF173" i="4"/>
  <c r="AF172" i="4"/>
  <c r="AF171" i="4"/>
  <c r="AF170" i="4"/>
  <c r="AF169" i="4"/>
  <c r="AF168" i="4"/>
  <c r="AF167" i="4"/>
  <c r="AF166" i="4"/>
  <c r="AF165" i="4"/>
  <c r="AF164" i="4"/>
  <c r="AF163" i="4"/>
  <c r="AF162" i="4"/>
  <c r="Y98" i="4"/>
  <c r="Y155" i="4"/>
  <c r="Y156" i="4"/>
  <c r="Y172" i="4"/>
  <c r="Y171" i="4"/>
  <c r="Y170" i="4"/>
  <c r="Y169" i="4"/>
  <c r="Y168" i="4"/>
  <c r="Y167" i="4"/>
  <c r="Y166" i="4"/>
  <c r="Y165" i="4"/>
  <c r="Y164" i="4"/>
  <c r="Y163" i="4"/>
  <c r="Y162" i="4"/>
  <c r="Y173" i="4"/>
  <c r="X173" i="4"/>
  <c r="X172" i="4"/>
  <c r="X171" i="4"/>
  <c r="X170" i="4"/>
  <c r="X169" i="4"/>
  <c r="X168" i="4"/>
  <c r="X167" i="4"/>
  <c r="X166" i="4"/>
  <c r="X165" i="4"/>
  <c r="X164" i="4"/>
  <c r="X163" i="4"/>
  <c r="X162" i="4"/>
  <c r="X156" i="4"/>
  <c r="X155" i="4"/>
  <c r="X98" i="4"/>
  <c r="Y74" i="4"/>
  <c r="X74" i="4"/>
  <c r="AF158" i="4"/>
  <c r="AF157" i="4"/>
  <c r="AE158" i="4"/>
  <c r="AE157" i="4"/>
  <c r="AE92" i="4"/>
  <c r="AF92" i="4"/>
  <c r="AF91" i="4"/>
  <c r="AE84" i="4"/>
  <c r="AE83" i="4"/>
  <c r="AF84" i="4"/>
  <c r="AF83" i="4"/>
  <c r="AM84" i="4"/>
  <c r="AM83" i="4"/>
  <c r="AL84" i="4"/>
  <c r="AL83" i="4"/>
  <c r="AM80" i="4"/>
  <c r="AL80" i="4"/>
  <c r="AM79" i="4"/>
  <c r="AL79" i="4"/>
  <c r="AM78" i="4"/>
  <c r="AL78" i="4"/>
  <c r="AF80" i="4"/>
  <c r="AF79" i="4"/>
  <c r="AF78" i="4"/>
  <c r="AF77" i="4"/>
  <c r="AF76" i="4"/>
  <c r="AF75" i="4"/>
  <c r="AM73" i="4"/>
  <c r="AL73" i="4"/>
  <c r="AF72" i="4"/>
  <c r="AE72" i="4"/>
  <c r="AF71" i="4"/>
  <c r="AE71" i="4"/>
  <c r="AF70" i="4"/>
  <c r="AE70" i="4"/>
  <c r="AE69" i="4"/>
  <c r="AF69" i="4"/>
  <c r="AF155" i="4"/>
  <c r="BK259" i="4"/>
  <c r="BK279" i="4"/>
  <c r="BK278" i="4"/>
  <c r="BK277" i="4"/>
  <c r="AS55" i="4" s="1"/>
  <c r="BK276" i="4"/>
  <c r="AS52" i="4"/>
  <c r="CI259" i="4"/>
  <c r="CC259" i="4"/>
  <c r="BW259" i="4"/>
  <c r="BQ259" i="4"/>
  <c r="CI258" i="4"/>
  <c r="CC258" i="4"/>
  <c r="BW258" i="4"/>
  <c r="BQ258" i="4"/>
  <c r="AX70" i="4"/>
  <c r="R70" i="4"/>
  <c r="U70" i="4" s="1"/>
  <c r="Q70" i="4"/>
  <c r="D70" i="4"/>
  <c r="BB70" i="4"/>
  <c r="BC70" i="4" s="1"/>
  <c r="BE70" i="4" s="1"/>
  <c r="BK335" i="4"/>
  <c r="AX158" i="4"/>
  <c r="R158" i="4"/>
  <c r="Q158" i="4"/>
  <c r="AG158" i="4" s="1"/>
  <c r="D158" i="4"/>
  <c r="AX157" i="4"/>
  <c r="R157" i="4"/>
  <c r="S157" i="4" s="1"/>
  <c r="Q157" i="4"/>
  <c r="D157" i="4"/>
  <c r="AX156" i="4"/>
  <c r="AH156" i="4"/>
  <c r="AI156" i="4" s="1"/>
  <c r="R156" i="4"/>
  <c r="T156" i="4" s="1"/>
  <c r="Q156" i="4"/>
  <c r="Z156" i="4" s="1"/>
  <c r="D156" i="4"/>
  <c r="AX84" i="4"/>
  <c r="R84" i="4"/>
  <c r="U84" i="4" s="1"/>
  <c r="Q84" i="4"/>
  <c r="AA84" i="4" s="1"/>
  <c r="D84" i="4"/>
  <c r="BX355" i="4"/>
  <c r="AN84" i="4"/>
  <c r="T157" i="4"/>
  <c r="T84" i="4"/>
  <c r="AG21" i="8"/>
  <c r="AG40" i="8"/>
  <c r="AV174" i="4"/>
  <c r="AV159" i="4"/>
  <c r="F8" i="7"/>
  <c r="AZ148" i="4"/>
  <c r="R148" i="4"/>
  <c r="U148" i="4" s="1"/>
  <c r="Q148" i="4"/>
  <c r="D148" i="4"/>
  <c r="Y147" i="4"/>
  <c r="X147" i="4"/>
  <c r="R147" i="4"/>
  <c r="U147" i="4" s="1"/>
  <c r="Q147" i="4"/>
  <c r="D147" i="4"/>
  <c r="Y146" i="4"/>
  <c r="X146" i="4"/>
  <c r="R146" i="4"/>
  <c r="Q146" i="4"/>
  <c r="BB146" i="4" s="1"/>
  <c r="BC146" i="4" s="1"/>
  <c r="D146" i="4"/>
  <c r="Y145" i="4"/>
  <c r="X145" i="4"/>
  <c r="R145" i="4"/>
  <c r="T145" i="4" s="1"/>
  <c r="Q145" i="4"/>
  <c r="BB145" i="4" s="1"/>
  <c r="D145" i="4"/>
  <c r="AS144" i="4"/>
  <c r="R144" i="4"/>
  <c r="S144" i="4" s="1"/>
  <c r="Q144" i="4"/>
  <c r="D144" i="4"/>
  <c r="Y143" i="4"/>
  <c r="X143" i="4"/>
  <c r="R143" i="4"/>
  <c r="Q143" i="4"/>
  <c r="D143" i="4"/>
  <c r="AS142" i="4"/>
  <c r="R142" i="4"/>
  <c r="Q142" i="4"/>
  <c r="D142" i="4"/>
  <c r="AS141" i="4"/>
  <c r="R141" i="4"/>
  <c r="S141" i="4" s="1"/>
  <c r="Q141" i="4"/>
  <c r="D141" i="4"/>
  <c r="AS140" i="4"/>
  <c r="AV140" i="4" s="1"/>
  <c r="AW140" i="4" s="1"/>
  <c r="R140" i="4"/>
  <c r="U140" i="4"/>
  <c r="Q140" i="4"/>
  <c r="AU140" i="4" s="1"/>
  <c r="D140" i="4"/>
  <c r="AT139" i="4"/>
  <c r="AS139" i="4"/>
  <c r="AM139" i="4"/>
  <c r="R139" i="4"/>
  <c r="U139" i="4" s="1"/>
  <c r="Q139" i="4"/>
  <c r="AU139" i="4" s="1"/>
  <c r="D139" i="4"/>
  <c r="AM137" i="4"/>
  <c r="AF137" i="4"/>
  <c r="Y137" i="4"/>
  <c r="X137" i="4"/>
  <c r="R137" i="4"/>
  <c r="Q137" i="4"/>
  <c r="AV137" i="4" s="1"/>
  <c r="D137" i="4"/>
  <c r="AM136" i="4"/>
  <c r="AF136" i="4"/>
  <c r="Y136" i="4"/>
  <c r="X136" i="4"/>
  <c r="R136" i="4"/>
  <c r="Q136" i="4"/>
  <c r="AV136" i="4" s="1"/>
  <c r="AW136" i="4" s="1"/>
  <c r="D136" i="4"/>
  <c r="AM135" i="4"/>
  <c r="AF135" i="4"/>
  <c r="Y135" i="4"/>
  <c r="X135" i="4"/>
  <c r="AA135" i="4" s="1"/>
  <c r="AC135" i="4" s="1"/>
  <c r="R135" i="4"/>
  <c r="Q135" i="4"/>
  <c r="BB135" i="4" s="1"/>
  <c r="BC135" i="4" s="1"/>
  <c r="D135" i="4"/>
  <c r="AM134" i="4"/>
  <c r="AF134" i="4"/>
  <c r="Y134" i="4"/>
  <c r="X134" i="4"/>
  <c r="AA134" i="4" s="1"/>
  <c r="R134" i="4"/>
  <c r="Q134" i="4"/>
  <c r="BB134" i="4" s="1"/>
  <c r="BC134" i="4" s="1"/>
  <c r="D134" i="4"/>
  <c r="AM133" i="4"/>
  <c r="AF133" i="4"/>
  <c r="Y133" i="4"/>
  <c r="X133" i="4"/>
  <c r="R133" i="4"/>
  <c r="Q133" i="4"/>
  <c r="BB133" i="4" s="1"/>
  <c r="D133" i="4"/>
  <c r="AM132" i="4"/>
  <c r="AF132" i="4"/>
  <c r="Y132" i="4"/>
  <c r="X132" i="4"/>
  <c r="R132" i="4"/>
  <c r="T132" i="4" s="1"/>
  <c r="Q132" i="4"/>
  <c r="BB132" i="4" s="1"/>
  <c r="D132" i="4"/>
  <c r="AM131" i="4"/>
  <c r="AF131" i="4"/>
  <c r="Y131" i="4"/>
  <c r="X131" i="4"/>
  <c r="R131" i="4"/>
  <c r="T131" i="4" s="1"/>
  <c r="Q131" i="4"/>
  <c r="BB131" i="4"/>
  <c r="D131" i="4"/>
  <c r="AM130" i="4"/>
  <c r="AF130" i="4"/>
  <c r="Y130" i="4"/>
  <c r="X130" i="4"/>
  <c r="R130" i="4"/>
  <c r="T130" i="4" s="1"/>
  <c r="Q130" i="4"/>
  <c r="Z130" i="4" s="1"/>
  <c r="D130" i="4"/>
  <c r="AM129" i="4"/>
  <c r="AF129" i="4"/>
  <c r="Y129" i="4"/>
  <c r="X129" i="4"/>
  <c r="R129" i="4"/>
  <c r="T129" i="4" s="1"/>
  <c r="Q129" i="4"/>
  <c r="D129" i="4"/>
  <c r="AM128" i="4"/>
  <c r="AF128" i="4"/>
  <c r="Y128" i="4"/>
  <c r="X128" i="4"/>
  <c r="R128" i="4"/>
  <c r="Q128" i="4"/>
  <c r="D128" i="4"/>
  <c r="Y121" i="4"/>
  <c r="X121" i="4"/>
  <c r="R121" i="4"/>
  <c r="Q121" i="4"/>
  <c r="BB121" i="4" s="1"/>
  <c r="D121" i="4"/>
  <c r="Y120" i="4"/>
  <c r="X120" i="4"/>
  <c r="R120" i="4"/>
  <c r="T120" i="4" s="1"/>
  <c r="Q120" i="4"/>
  <c r="D120" i="4"/>
  <c r="AT119" i="4"/>
  <c r="AS119" i="4"/>
  <c r="AV119" i="4" s="1"/>
  <c r="AW119" i="4" s="1"/>
  <c r="R119" i="4"/>
  <c r="U119" i="4"/>
  <c r="Q119" i="4"/>
  <c r="D119" i="4"/>
  <c r="Y118" i="4"/>
  <c r="X118" i="4"/>
  <c r="R118" i="4"/>
  <c r="U118" i="4" s="1"/>
  <c r="Q118" i="4"/>
  <c r="Z118" i="4" s="1"/>
  <c r="D118" i="4"/>
  <c r="AS117" i="4"/>
  <c r="R117" i="4"/>
  <c r="Q117" i="4"/>
  <c r="BB117" i="4" s="1"/>
  <c r="BC117" i="4" s="1"/>
  <c r="BE117" i="4" s="1"/>
  <c r="D117" i="4"/>
  <c r="AS116" i="4"/>
  <c r="AV116" i="4" s="1"/>
  <c r="R116" i="4"/>
  <c r="S116" i="4"/>
  <c r="Q116" i="4"/>
  <c r="BB116" i="4" s="1"/>
  <c r="BC116" i="4" s="1"/>
  <c r="BE116" i="4" s="1"/>
  <c r="D116" i="4"/>
  <c r="AS115" i="4"/>
  <c r="R115" i="4"/>
  <c r="S115" i="4" s="1"/>
  <c r="Q115" i="4"/>
  <c r="D115" i="4"/>
  <c r="AT114" i="4"/>
  <c r="AS114" i="4"/>
  <c r="AM114" i="4"/>
  <c r="R114" i="4"/>
  <c r="Q114" i="4"/>
  <c r="D114" i="4"/>
  <c r="AM112" i="4"/>
  <c r="AF112" i="4"/>
  <c r="Y112" i="4"/>
  <c r="X112" i="4"/>
  <c r="R112" i="4"/>
  <c r="Q112" i="4"/>
  <c r="AV112" i="4" s="1"/>
  <c r="D112" i="4"/>
  <c r="AM111" i="4"/>
  <c r="AF111" i="4"/>
  <c r="Y111" i="4"/>
  <c r="X111" i="4"/>
  <c r="R111" i="4"/>
  <c r="Q111" i="4"/>
  <c r="D111" i="4"/>
  <c r="AM110" i="4"/>
  <c r="AF110" i="4"/>
  <c r="Y110" i="4"/>
  <c r="X110" i="4"/>
  <c r="R110" i="4"/>
  <c r="Q110" i="4"/>
  <c r="Z110" i="4" s="1"/>
  <c r="D110" i="4"/>
  <c r="AM109" i="4"/>
  <c r="AF109" i="4"/>
  <c r="Y109" i="4"/>
  <c r="X109" i="4"/>
  <c r="AA109" i="4" s="1"/>
  <c r="AC109" i="4" s="1"/>
  <c r="R109" i="4"/>
  <c r="Q109" i="4"/>
  <c r="BB109" i="4" s="1"/>
  <c r="BC109" i="4" s="1"/>
  <c r="D109" i="4"/>
  <c r="AM108" i="4"/>
  <c r="AF108" i="4"/>
  <c r="Y108" i="4"/>
  <c r="X108" i="4"/>
  <c r="R108" i="4"/>
  <c r="Q108" i="4"/>
  <c r="BB108" i="4" s="1"/>
  <c r="BD108" i="4" s="1"/>
  <c r="D108" i="4"/>
  <c r="AM107" i="4"/>
  <c r="AF107" i="4"/>
  <c r="Y107" i="4"/>
  <c r="X107" i="4"/>
  <c r="R107" i="4"/>
  <c r="U107" i="4" s="1"/>
  <c r="Q107" i="4"/>
  <c r="D107" i="4"/>
  <c r="AM106" i="4"/>
  <c r="AF106" i="4"/>
  <c r="Y106" i="4"/>
  <c r="X106" i="4"/>
  <c r="AA106" i="4" s="1"/>
  <c r="AB106" i="4" s="1"/>
  <c r="R106" i="4"/>
  <c r="Q106" i="4"/>
  <c r="BB106" i="4" s="1"/>
  <c r="D106" i="4"/>
  <c r="AM105" i="4"/>
  <c r="AF105" i="4"/>
  <c r="Y105" i="4"/>
  <c r="X105" i="4"/>
  <c r="AA105" i="4" s="1"/>
  <c r="AB105" i="4" s="1"/>
  <c r="R105" i="4"/>
  <c r="U105" i="4" s="1"/>
  <c r="Q105" i="4"/>
  <c r="BB105" i="4" s="1"/>
  <c r="BC105" i="4" s="1"/>
  <c r="D105" i="4"/>
  <c r="BH71" i="8"/>
  <c r="BB71" i="8"/>
  <c r="AV71" i="8"/>
  <c r="AP71" i="8"/>
  <c r="D98" i="4"/>
  <c r="D92" i="4"/>
  <c r="D91" i="4"/>
  <c r="D88" i="4"/>
  <c r="D87" i="4"/>
  <c r="D86" i="4"/>
  <c r="D85" i="4"/>
  <c r="D83" i="4"/>
  <c r="D80" i="4"/>
  <c r="D79" i="4"/>
  <c r="D78" i="4"/>
  <c r="D77" i="4"/>
  <c r="D76" i="4"/>
  <c r="D75" i="4"/>
  <c r="D74" i="4"/>
  <c r="D73" i="4"/>
  <c r="D72" i="4"/>
  <c r="D71" i="4"/>
  <c r="D62" i="4"/>
  <c r="D61" i="4"/>
  <c r="D60" i="4"/>
  <c r="D59" i="4"/>
  <c r="D58" i="4"/>
  <c r="D57" i="4"/>
  <c r="D56" i="4"/>
  <c r="D55" i="4"/>
  <c r="D54" i="4"/>
  <c r="D51" i="4"/>
  <c r="D49" i="4"/>
  <c r="D48" i="4"/>
  <c r="D47" i="4"/>
  <c r="D46" i="4"/>
  <c r="D45" i="4"/>
  <c r="D43" i="4"/>
  <c r="D42" i="4"/>
  <c r="D41" i="4"/>
  <c r="D40" i="4"/>
  <c r="D39" i="4"/>
  <c r="D32" i="4"/>
  <c r="D31" i="4"/>
  <c r="D30" i="4"/>
  <c r="D29" i="4"/>
  <c r="D28" i="4"/>
  <c r="D27" i="4"/>
  <c r="D26" i="4"/>
  <c r="D25" i="4"/>
  <c r="D23" i="4"/>
  <c r="D22" i="4"/>
  <c r="D21" i="4"/>
  <c r="D20" i="4"/>
  <c r="D19" i="4"/>
  <c r="D18" i="4"/>
  <c r="D17" i="4"/>
  <c r="D16" i="4"/>
  <c r="AV93" i="4"/>
  <c r="F6" i="7"/>
  <c r="AF49" i="4"/>
  <c r="AF48" i="4"/>
  <c r="AF47" i="4"/>
  <c r="AF46" i="4"/>
  <c r="AF45" i="4"/>
  <c r="AF43" i="4"/>
  <c r="AF42" i="4"/>
  <c r="AF41" i="4"/>
  <c r="AF40" i="4"/>
  <c r="AF39" i="4"/>
  <c r="AM47" i="4"/>
  <c r="AM46" i="4"/>
  <c r="AM45" i="4"/>
  <c r="AM43" i="4"/>
  <c r="AM42" i="4"/>
  <c r="AM41" i="4"/>
  <c r="AM40" i="4"/>
  <c r="AM39" i="4"/>
  <c r="AM49" i="4"/>
  <c r="AM48" i="4"/>
  <c r="AZ62" i="4"/>
  <c r="Y61" i="4"/>
  <c r="X61" i="4"/>
  <c r="Y60" i="4"/>
  <c r="X60" i="4"/>
  <c r="Y59" i="4"/>
  <c r="X59" i="4"/>
  <c r="AS58" i="4"/>
  <c r="Y57" i="4"/>
  <c r="X57" i="4"/>
  <c r="AS56" i="4"/>
  <c r="AS54" i="4"/>
  <c r="AT51" i="4"/>
  <c r="AS51" i="4"/>
  <c r="AM51" i="4"/>
  <c r="Y49" i="4"/>
  <c r="X49" i="4"/>
  <c r="Y48" i="4"/>
  <c r="X48" i="4"/>
  <c r="Y47" i="4"/>
  <c r="X47" i="4"/>
  <c r="Y46" i="4"/>
  <c r="X46" i="4"/>
  <c r="Y45" i="4"/>
  <c r="X45" i="4"/>
  <c r="Y43" i="4"/>
  <c r="X43" i="4"/>
  <c r="Y42" i="4"/>
  <c r="X42" i="4"/>
  <c r="Y41" i="4"/>
  <c r="X41" i="4"/>
  <c r="Y40" i="4"/>
  <c r="X40" i="4"/>
  <c r="Y39" i="4"/>
  <c r="X39" i="4"/>
  <c r="X32" i="4"/>
  <c r="X31" i="4"/>
  <c r="X29" i="4"/>
  <c r="Y32" i="4"/>
  <c r="Y31" i="4"/>
  <c r="Y29" i="4"/>
  <c r="AS30" i="4"/>
  <c r="AS27" i="4"/>
  <c r="AS26" i="4"/>
  <c r="AS25" i="4"/>
  <c r="AS28" i="4"/>
  <c r="X23" i="4"/>
  <c r="X22" i="4"/>
  <c r="X21" i="4"/>
  <c r="X20" i="4"/>
  <c r="X19" i="4"/>
  <c r="X18" i="4"/>
  <c r="X17" i="4"/>
  <c r="X16" i="4"/>
  <c r="Y23" i="4"/>
  <c r="Y22" i="4"/>
  <c r="Y21" i="4"/>
  <c r="Y20" i="4"/>
  <c r="Y19" i="4"/>
  <c r="Y18" i="4"/>
  <c r="Y17" i="4"/>
  <c r="Y16" i="4"/>
  <c r="AF23" i="4"/>
  <c r="AF22" i="4"/>
  <c r="AF21" i="4"/>
  <c r="AF20" i="4"/>
  <c r="AF19" i="4"/>
  <c r="AF18" i="4"/>
  <c r="AF17" i="4"/>
  <c r="AF16" i="4"/>
  <c r="AM23" i="4"/>
  <c r="AM22" i="4"/>
  <c r="AM21" i="4"/>
  <c r="AM20" i="4"/>
  <c r="AM19" i="4"/>
  <c r="AM18" i="4"/>
  <c r="AM17" i="4"/>
  <c r="AM16" i="4"/>
  <c r="AT25" i="4"/>
  <c r="AM25" i="4"/>
  <c r="AA128" i="4"/>
  <c r="AB128" i="4" s="1"/>
  <c r="BB114" i="4"/>
  <c r="BC114" i="4" s="1"/>
  <c r="AU114" i="4"/>
  <c r="AU115" i="4"/>
  <c r="AU116" i="4"/>
  <c r="BB120" i="4"/>
  <c r="BC120" i="4" s="1"/>
  <c r="Z120" i="4"/>
  <c r="AU141" i="4"/>
  <c r="BB142" i="4"/>
  <c r="BC142" i="4" s="1"/>
  <c r="BE142" i="4" s="1"/>
  <c r="AU142" i="4"/>
  <c r="BA148" i="4"/>
  <c r="BB119" i="4"/>
  <c r="BC119" i="4" s="1"/>
  <c r="BE119" i="4" s="1"/>
  <c r="AU119" i="4"/>
  <c r="AG128" i="4"/>
  <c r="AV176" i="4"/>
  <c r="F12" i="7"/>
  <c r="S140" i="4"/>
  <c r="AO145" i="4"/>
  <c r="AP145" i="4" s="1"/>
  <c r="S118" i="4"/>
  <c r="S119" i="4"/>
  <c r="AG131" i="4"/>
  <c r="AH145" i="4"/>
  <c r="AI145" i="4" s="1"/>
  <c r="AW174" i="4"/>
  <c r="AX174" i="4" s="1"/>
  <c r="AW159" i="4"/>
  <c r="AX159" i="4" s="1"/>
  <c r="AG105" i="4"/>
  <c r="AV105" i="4"/>
  <c r="AW105" i="4" s="1"/>
  <c r="AX105" i="4" s="1"/>
  <c r="AG109" i="4"/>
  <c r="AV109" i="4"/>
  <c r="AW109" i="4" s="1"/>
  <c r="U116" i="4"/>
  <c r="AH120" i="4"/>
  <c r="AV120" i="4"/>
  <c r="AW120" i="4" s="1"/>
  <c r="AX120" i="4" s="1"/>
  <c r="AV131" i="4"/>
  <c r="AW131" i="4" s="1"/>
  <c r="AX131" i="4" s="1"/>
  <c r="AG133" i="4"/>
  <c r="AV133" i="4"/>
  <c r="AW133" i="4" s="1"/>
  <c r="AX133" i="4" s="1"/>
  <c r="AG135" i="4"/>
  <c r="AV135" i="4"/>
  <c r="AW135" i="4" s="1"/>
  <c r="AX135" i="4" s="1"/>
  <c r="S139" i="4"/>
  <c r="AO146" i="4"/>
  <c r="AP146" i="4" s="1"/>
  <c r="S148" i="4"/>
  <c r="AG106" i="4"/>
  <c r="AV106" i="4"/>
  <c r="AW106" i="4" s="1"/>
  <c r="AG108" i="4"/>
  <c r="AV108" i="4"/>
  <c r="AA120" i="4"/>
  <c r="AB120" i="4" s="1"/>
  <c r="AO120" i="4"/>
  <c r="AA131" i="4"/>
  <c r="AC131" i="4" s="1"/>
  <c r="AV132" i="4"/>
  <c r="AW132" i="4" s="1"/>
  <c r="AX132" i="4" s="1"/>
  <c r="AG134" i="4"/>
  <c r="AV134" i="4"/>
  <c r="AH143" i="4"/>
  <c r="AI143" i="4" s="1"/>
  <c r="AV143" i="4"/>
  <c r="AW143" i="4" s="1"/>
  <c r="AH146" i="4"/>
  <c r="AJ146" i="4" s="1"/>
  <c r="AI146" i="4"/>
  <c r="AV146" i="4"/>
  <c r="AW146" i="4" s="1"/>
  <c r="BD109" i="4"/>
  <c r="T105" i="4"/>
  <c r="T107" i="4"/>
  <c r="S105" i="4"/>
  <c r="W105" i="4"/>
  <c r="Z105" i="4"/>
  <c r="AN105" i="4"/>
  <c r="S106" i="4"/>
  <c r="U106" i="4"/>
  <c r="Z106" i="4"/>
  <c r="AN106" i="4"/>
  <c r="S107" i="4"/>
  <c r="Z107" i="4"/>
  <c r="S108" i="4"/>
  <c r="U108" i="4"/>
  <c r="Z108" i="4"/>
  <c r="AN108" i="4"/>
  <c r="AW108" i="4"/>
  <c r="AX108" i="4" s="1"/>
  <c r="S109" i="4"/>
  <c r="U109" i="4"/>
  <c r="Z109" i="4"/>
  <c r="AN109" i="4"/>
  <c r="S110" i="4"/>
  <c r="U110" i="4"/>
  <c r="AV111" i="4"/>
  <c r="BB111" i="4"/>
  <c r="BC111" i="4" s="1"/>
  <c r="AN111" i="4"/>
  <c r="Z111" i="4"/>
  <c r="AG111" i="4"/>
  <c r="AW112" i="4"/>
  <c r="AX112" i="4" s="1"/>
  <c r="T106" i="4"/>
  <c r="T108" i="4"/>
  <c r="T109" i="4"/>
  <c r="T110" i="4"/>
  <c r="S112" i="4"/>
  <c r="U112" i="4"/>
  <c r="Z112" i="4"/>
  <c r="AN112" i="4"/>
  <c r="BB112" i="4"/>
  <c r="BD112" i="4" s="1"/>
  <c r="S114" i="4"/>
  <c r="U114" i="4"/>
  <c r="AA114" i="4"/>
  <c r="AC114" i="4" s="1"/>
  <c r="AH114" i="4"/>
  <c r="AV114" i="4"/>
  <c r="AW114" i="4" s="1"/>
  <c r="AA115" i="4"/>
  <c r="AB115" i="4"/>
  <c r="AH115" i="4"/>
  <c r="AI115" i="4" s="1"/>
  <c r="BB115" i="4"/>
  <c r="T116" i="4"/>
  <c r="W116" i="4"/>
  <c r="AO116" i="4" s="1"/>
  <c r="S117" i="4"/>
  <c r="U117" i="4"/>
  <c r="AA117" i="4"/>
  <c r="AB117" i="4" s="1"/>
  <c r="T118" i="4"/>
  <c r="T119" i="4"/>
  <c r="W119" i="4"/>
  <c r="AO119" i="4" s="1"/>
  <c r="U120" i="4"/>
  <c r="S121" i="4"/>
  <c r="U121" i="4"/>
  <c r="BB128" i="4"/>
  <c r="BC128" i="4" s="1"/>
  <c r="AN128" i="4"/>
  <c r="S128" i="4"/>
  <c r="U128" i="4"/>
  <c r="Z128" i="4"/>
  <c r="AV128" i="4"/>
  <c r="U130" i="4"/>
  <c r="S130" i="4"/>
  <c r="U132" i="4"/>
  <c r="S132" i="4"/>
  <c r="BD134" i="4"/>
  <c r="T112" i="4"/>
  <c r="AG112" i="4"/>
  <c r="T114" i="4"/>
  <c r="AA116" i="4"/>
  <c r="AC116" i="4" s="1"/>
  <c r="AH116" i="4"/>
  <c r="AJ116" i="4" s="1"/>
  <c r="T117" i="4"/>
  <c r="AA119" i="4"/>
  <c r="AB119" i="4" s="1"/>
  <c r="AH119" i="4"/>
  <c r="T121" i="4"/>
  <c r="T128" i="4"/>
  <c r="U129" i="4"/>
  <c r="S129" i="4"/>
  <c r="U131" i="4"/>
  <c r="S131" i="4"/>
  <c r="BD135" i="4"/>
  <c r="BE135" i="4" s="1"/>
  <c r="AW137" i="4"/>
  <c r="AX137" i="4" s="1"/>
  <c r="Z131" i="4"/>
  <c r="AN131" i="4"/>
  <c r="Z132" i="4"/>
  <c r="S133" i="4"/>
  <c r="U133" i="4"/>
  <c r="Z133" i="4"/>
  <c r="AN133" i="4"/>
  <c r="S134" i="4"/>
  <c r="U134" i="4"/>
  <c r="Z134" i="4"/>
  <c r="AN134" i="4"/>
  <c r="S135" i="4"/>
  <c r="U135" i="4"/>
  <c r="Z135" i="4"/>
  <c r="AN135" i="4"/>
  <c r="Z136" i="4"/>
  <c r="Z137" i="4"/>
  <c r="AN137" i="4"/>
  <c r="BB137" i="4"/>
  <c r="BD137" i="4" s="1"/>
  <c r="BB139" i="4"/>
  <c r="BC139" i="4" s="1"/>
  <c r="AA139" i="4"/>
  <c r="AB139" i="4" s="1"/>
  <c r="AH139" i="4"/>
  <c r="T133" i="4"/>
  <c r="T134" i="4"/>
  <c r="T135" i="4"/>
  <c r="AG137" i="4"/>
  <c r="AA140" i="4"/>
  <c r="AH140" i="4"/>
  <c r="AJ140" i="4" s="1"/>
  <c r="BB140" i="4"/>
  <c r="BC140" i="4" s="1"/>
  <c r="T140" i="4"/>
  <c r="W140" i="4"/>
  <c r="AO140" i="4" s="1"/>
  <c r="AP140" i="4" s="1"/>
  <c r="AA141" i="4"/>
  <c r="AB141" i="4" s="1"/>
  <c r="AH141" i="4"/>
  <c r="W142" i="4"/>
  <c r="AO142" i="4" s="1"/>
  <c r="S143" i="4"/>
  <c r="Z143" i="4"/>
  <c r="AA144" i="4"/>
  <c r="AB144" i="4" s="1"/>
  <c r="BB144" i="4"/>
  <c r="BC144" i="4" s="1"/>
  <c r="BE144" i="4" s="1"/>
  <c r="BD146" i="4"/>
  <c r="AA142" i="4"/>
  <c r="AH142" i="4"/>
  <c r="AI142" i="4"/>
  <c r="T143" i="4"/>
  <c r="T144" i="4"/>
  <c r="U144" i="4"/>
  <c r="U145" i="4"/>
  <c r="S145" i="4"/>
  <c r="AQ146" i="4"/>
  <c r="AR146" i="4" s="1"/>
  <c r="T147" i="4"/>
  <c r="AV147" i="4"/>
  <c r="T148" i="4"/>
  <c r="Z146" i="4"/>
  <c r="S147" i="4"/>
  <c r="AA148" i="4"/>
  <c r="AC148" i="4" s="1"/>
  <c r="AH148" i="4"/>
  <c r="AI148" i="4" s="1"/>
  <c r="AO148" i="4"/>
  <c r="AP148" i="4" s="1"/>
  <c r="AV148" i="4"/>
  <c r="AW93" i="4"/>
  <c r="AX93" i="4" s="1"/>
  <c r="AW176" i="4"/>
  <c r="AX176" i="4" s="1"/>
  <c r="AQ145" i="4"/>
  <c r="AR145" i="4" s="1"/>
  <c r="AJ145" i="4"/>
  <c r="W129" i="4"/>
  <c r="W132" i="4"/>
  <c r="BC115" i="4"/>
  <c r="BE115" i="4" s="1"/>
  <c r="AJ120" i="4"/>
  <c r="AI120" i="4"/>
  <c r="W117" i="4"/>
  <c r="AO117" i="4" s="1"/>
  <c r="AQ117" i="4" s="1"/>
  <c r="W107" i="4"/>
  <c r="W112" i="4"/>
  <c r="W147" i="4"/>
  <c r="W134" i="4"/>
  <c r="W133" i="4"/>
  <c r="W109" i="4"/>
  <c r="W108" i="4"/>
  <c r="AJ148" i="4"/>
  <c r="AC144" i="4"/>
  <c r="BE139" i="4"/>
  <c r="AQ148" i="4"/>
  <c r="AJ142" i="4"/>
  <c r="AC141" i="4"/>
  <c r="AC115" i="4"/>
  <c r="BD111" i="4"/>
  <c r="AW111" i="4"/>
  <c r="AX111" i="4" s="1"/>
  <c r="BH84" i="8"/>
  <c r="BB84" i="8"/>
  <c r="AV84" i="8"/>
  <c r="AP84" i="8"/>
  <c r="BH79" i="8"/>
  <c r="BB79" i="8"/>
  <c r="AV79" i="8"/>
  <c r="AP79" i="8"/>
  <c r="BH78" i="8"/>
  <c r="BB78" i="8"/>
  <c r="AV78" i="8"/>
  <c r="AP78" i="8"/>
  <c r="BH70" i="8"/>
  <c r="BB70" i="8"/>
  <c r="AV70" i="8"/>
  <c r="AP70" i="8"/>
  <c r="BH69" i="8"/>
  <c r="BB69" i="8"/>
  <c r="AV69" i="8"/>
  <c r="AP69" i="8"/>
  <c r="BH68" i="8"/>
  <c r="BB68" i="8"/>
  <c r="AV68" i="8"/>
  <c r="AP68" i="8"/>
  <c r="BH67" i="8"/>
  <c r="BB67" i="8"/>
  <c r="AV67" i="8"/>
  <c r="AP67" i="8"/>
  <c r="BH66" i="8"/>
  <c r="BH72" i="8"/>
  <c r="BH73" i="8" s="1"/>
  <c r="BB66" i="8"/>
  <c r="BB72" i="8"/>
  <c r="BB73" i="8"/>
  <c r="AV66" i="8"/>
  <c r="AV72" i="8" s="1"/>
  <c r="AV73" i="8" s="1"/>
  <c r="AP66" i="8"/>
  <c r="AP72" i="8" s="1"/>
  <c r="AP73" i="8" s="1"/>
  <c r="BH65" i="8"/>
  <c r="BB65" i="8"/>
  <c r="AV65" i="8"/>
  <c r="AP65" i="8"/>
  <c r="BH64" i="8"/>
  <c r="BB64" i="8"/>
  <c r="AV64" i="8"/>
  <c r="AP64" i="8"/>
  <c r="BH63" i="8"/>
  <c r="BB63" i="8"/>
  <c r="AV63" i="8"/>
  <c r="AP63" i="8"/>
  <c r="BH62" i="8"/>
  <c r="BB62" i="8"/>
  <c r="AV62" i="8"/>
  <c r="AP62" i="8"/>
  <c r="BH61" i="8"/>
  <c r="BB61" i="8"/>
  <c r="AV61" i="8"/>
  <c r="AP61" i="8"/>
  <c r="BH60" i="8"/>
  <c r="BB60" i="8"/>
  <c r="AV60" i="8"/>
  <c r="AP60" i="8"/>
  <c r="BH59" i="8"/>
  <c r="BB59" i="8"/>
  <c r="AV59" i="8"/>
  <c r="AP59" i="8"/>
  <c r="AG42" i="8"/>
  <c r="R38" i="8"/>
  <c r="Q38" i="8"/>
  <c r="Z38" i="8" s="1"/>
  <c r="R32" i="8"/>
  <c r="Q32" i="8"/>
  <c r="Y30" i="8"/>
  <c r="R30" i="8"/>
  <c r="Q30" i="8"/>
  <c r="R29" i="8"/>
  <c r="Q29" i="8"/>
  <c r="Z29" i="8" s="1"/>
  <c r="R28" i="8"/>
  <c r="Q28" i="8"/>
  <c r="R27" i="8"/>
  <c r="S27" i="8" s="1"/>
  <c r="Q27" i="8"/>
  <c r="R26" i="8"/>
  <c r="Q26" i="8"/>
  <c r="Y25" i="8"/>
  <c r="R25" i="8"/>
  <c r="Q25" i="8"/>
  <c r="R19" i="8"/>
  <c r="U19" i="8"/>
  <c r="Q19" i="8"/>
  <c r="R18" i="8"/>
  <c r="U18" i="8"/>
  <c r="Q18" i="8"/>
  <c r="Z18" i="8" s="1"/>
  <c r="D163" i="4"/>
  <c r="AZ173" i="4"/>
  <c r="AX173" i="4"/>
  <c r="AH173" i="4"/>
  <c r="R173" i="4"/>
  <c r="W173" i="4" s="1"/>
  <c r="AO173" i="4" s="1"/>
  <c r="AP173" i="4" s="1"/>
  <c r="Q173" i="4"/>
  <c r="BB173" i="4" s="1"/>
  <c r="D173" i="4"/>
  <c r="AZ172" i="4"/>
  <c r="AX172" i="4"/>
  <c r="AH172" i="4"/>
  <c r="R172" i="4"/>
  <c r="T172" i="4" s="1"/>
  <c r="Q172" i="4"/>
  <c r="Z172" i="4" s="1"/>
  <c r="D172" i="4"/>
  <c r="AZ171" i="4"/>
  <c r="AX171" i="4"/>
  <c r="AH171" i="4"/>
  <c r="AI171" i="4" s="1"/>
  <c r="R171" i="4"/>
  <c r="T171" i="4" s="1"/>
  <c r="Q171" i="4"/>
  <c r="D171" i="4"/>
  <c r="AZ170" i="4"/>
  <c r="AX170" i="4"/>
  <c r="AH170" i="4"/>
  <c r="AI170" i="4" s="1"/>
  <c r="R170" i="4"/>
  <c r="U170" i="4" s="1"/>
  <c r="Q170" i="4"/>
  <c r="Z170" i="4" s="1"/>
  <c r="D170" i="4"/>
  <c r="AZ169" i="4"/>
  <c r="AX169" i="4"/>
  <c r="AH169" i="4"/>
  <c r="AJ169" i="4" s="1"/>
  <c r="R169" i="4"/>
  <c r="T169" i="4" s="1"/>
  <c r="Q169" i="4"/>
  <c r="D169" i="4"/>
  <c r="AZ168" i="4"/>
  <c r="AX168" i="4"/>
  <c r="AH168" i="4"/>
  <c r="AJ168" i="4" s="1"/>
  <c r="R168" i="4"/>
  <c r="U168" i="4" s="1"/>
  <c r="Q168" i="4"/>
  <c r="Z168" i="4" s="1"/>
  <c r="D168" i="4"/>
  <c r="AZ167" i="4"/>
  <c r="AX167" i="4"/>
  <c r="AH167" i="4"/>
  <c r="AI167" i="4" s="1"/>
  <c r="R167" i="4"/>
  <c r="Q167" i="4"/>
  <c r="Z167" i="4" s="1"/>
  <c r="D167" i="4"/>
  <c r="AZ166" i="4"/>
  <c r="AX166" i="4"/>
  <c r="AH166" i="4"/>
  <c r="AI166" i="4" s="1"/>
  <c r="R166" i="4"/>
  <c r="W166" i="4" s="1"/>
  <c r="AO166" i="4" s="1"/>
  <c r="Q166" i="4"/>
  <c r="Z166" i="4" s="1"/>
  <c r="D166" i="4"/>
  <c r="AZ165" i="4"/>
  <c r="AX165" i="4"/>
  <c r="AH165" i="4"/>
  <c r="AI165" i="4" s="1"/>
  <c r="R165" i="4"/>
  <c r="U165" i="4" s="1"/>
  <c r="Q165" i="4"/>
  <c r="BB165" i="4" s="1"/>
  <c r="BC165" i="4" s="1"/>
  <c r="BE165" i="4" s="1"/>
  <c r="D165" i="4"/>
  <c r="AZ164" i="4"/>
  <c r="AX164" i="4"/>
  <c r="AH164" i="4"/>
  <c r="AI164" i="4" s="1"/>
  <c r="R164" i="4"/>
  <c r="Q164" i="4"/>
  <c r="D164" i="4"/>
  <c r="AZ163" i="4"/>
  <c r="AX163" i="4"/>
  <c r="AH163" i="4"/>
  <c r="R163" i="4"/>
  <c r="U163" i="4" s="1"/>
  <c r="Q163" i="4"/>
  <c r="Z163" i="4" s="1"/>
  <c r="AZ162" i="4"/>
  <c r="AX162" i="4"/>
  <c r="AH162" i="4"/>
  <c r="AI162" i="4" s="1"/>
  <c r="R162" i="4"/>
  <c r="U162" i="4" s="1"/>
  <c r="Q162" i="4"/>
  <c r="BB162" i="4" s="1"/>
  <c r="BC162" i="4" s="1"/>
  <c r="BE162" i="4" s="1"/>
  <c r="D162" i="4"/>
  <c r="AH155" i="4"/>
  <c r="AI155" i="4" s="1"/>
  <c r="D155" i="4"/>
  <c r="AX155" i="4"/>
  <c r="AW99" i="4"/>
  <c r="AV99" i="4"/>
  <c r="F9" i="7"/>
  <c r="BD99" i="4"/>
  <c r="AX98" i="4"/>
  <c r="AX99" i="4" s="1"/>
  <c r="AX88" i="4"/>
  <c r="R88" i="4"/>
  <c r="W88" i="4" s="1"/>
  <c r="Q88" i="4"/>
  <c r="BB88" i="4" s="1"/>
  <c r="BC88" i="4" s="1"/>
  <c r="BE88" i="4" s="1"/>
  <c r="AX87" i="4"/>
  <c r="R87" i="4"/>
  <c r="W87" i="4" s="1"/>
  <c r="Q87" i="4"/>
  <c r="BB87" i="4" s="1"/>
  <c r="BC87" i="4" s="1"/>
  <c r="BE87" i="4" s="1"/>
  <c r="AX86" i="4"/>
  <c r="R86" i="4"/>
  <c r="Q86" i="4"/>
  <c r="AX85" i="4"/>
  <c r="R85" i="4"/>
  <c r="S85" i="4" s="1"/>
  <c r="Q85" i="4"/>
  <c r="AN85" i="4"/>
  <c r="AX83" i="4"/>
  <c r="R83" i="4"/>
  <c r="W83" i="4" s="1"/>
  <c r="Q83" i="4"/>
  <c r="AX78" i="4"/>
  <c r="R78" i="4"/>
  <c r="Q78" i="4"/>
  <c r="AN78" i="4"/>
  <c r="AX74" i="4"/>
  <c r="R74" i="4"/>
  <c r="S74" i="4" s="1"/>
  <c r="Q74" i="4"/>
  <c r="AX73" i="4"/>
  <c r="R73" i="4"/>
  <c r="Q73" i="4"/>
  <c r="BB73" i="4" s="1"/>
  <c r="BC73" i="4" s="1"/>
  <c r="BE73" i="4" s="1"/>
  <c r="AX72" i="4"/>
  <c r="R72" i="4"/>
  <c r="Q72" i="4"/>
  <c r="BP432" i="4"/>
  <c r="BP431" i="4"/>
  <c r="BP430" i="4"/>
  <c r="BP429" i="4"/>
  <c r="BP428" i="4"/>
  <c r="BP427" i="4"/>
  <c r="BP426" i="4"/>
  <c r="BP425" i="4"/>
  <c r="BP424" i="4"/>
  <c r="BP423" i="4"/>
  <c r="BP422" i="4"/>
  <c r="BP421" i="4"/>
  <c r="BP420" i="4"/>
  <c r="BP419" i="4"/>
  <c r="BP418" i="4"/>
  <c r="BP417" i="4"/>
  <c r="BP416" i="4"/>
  <c r="BP415" i="4"/>
  <c r="BP414" i="4"/>
  <c r="BP413" i="4"/>
  <c r="BP412" i="4"/>
  <c r="BP411" i="4"/>
  <c r="BP410" i="4"/>
  <c r="BP409" i="4"/>
  <c r="BP408" i="4"/>
  <c r="BP407" i="4"/>
  <c r="BP406" i="4"/>
  <c r="BP405" i="4"/>
  <c r="BP404" i="4"/>
  <c r="BP403" i="4"/>
  <c r="BK432" i="4"/>
  <c r="BK431" i="4"/>
  <c r="BK430" i="4"/>
  <c r="BK429" i="4"/>
  <c r="BK428" i="4"/>
  <c r="BK427" i="4"/>
  <c r="BK426" i="4"/>
  <c r="BK425" i="4"/>
  <c r="BK424" i="4"/>
  <c r="BK423" i="4"/>
  <c r="BK422" i="4"/>
  <c r="BK421" i="4"/>
  <c r="BK420" i="4"/>
  <c r="BK419" i="4"/>
  <c r="BK418" i="4"/>
  <c r="BK417" i="4"/>
  <c r="BK416" i="4"/>
  <c r="BK415" i="4"/>
  <c r="BK414" i="4"/>
  <c r="BK413" i="4"/>
  <c r="BK412" i="4"/>
  <c r="BK411" i="4"/>
  <c r="BK410" i="4"/>
  <c r="BK409" i="4"/>
  <c r="BK408" i="4"/>
  <c r="BK407" i="4"/>
  <c r="BK406" i="4"/>
  <c r="BK405" i="4"/>
  <c r="BK404" i="4"/>
  <c r="BK403" i="4"/>
  <c r="BK394" i="4"/>
  <c r="BX337" i="4"/>
  <c r="AE91" i="4"/>
  <c r="AX92" i="4"/>
  <c r="R92" i="4"/>
  <c r="U92" i="4" s="1"/>
  <c r="Q92" i="4"/>
  <c r="AX91" i="4"/>
  <c r="AX80" i="4"/>
  <c r="R80" i="4"/>
  <c r="AE80" i="4" s="1"/>
  <c r="Q80" i="4"/>
  <c r="AX79" i="4"/>
  <c r="R79" i="4"/>
  <c r="Q79" i="4"/>
  <c r="BB79" i="4" s="1"/>
  <c r="BC79" i="4" s="1"/>
  <c r="BE79" i="4" s="1"/>
  <c r="AX77" i="4"/>
  <c r="R77" i="4"/>
  <c r="W77" i="4" s="1"/>
  <c r="AO77" i="4" s="1"/>
  <c r="AE77" i="4"/>
  <c r="Q77" i="4"/>
  <c r="AX76" i="4"/>
  <c r="R76" i="4"/>
  <c r="S76" i="4" s="1"/>
  <c r="AE76" i="4"/>
  <c r="Q76" i="4"/>
  <c r="AX75" i="4"/>
  <c r="R75" i="4"/>
  <c r="W75" i="4" s="1"/>
  <c r="AO75" i="4" s="1"/>
  <c r="AE75" i="4"/>
  <c r="Q75" i="4"/>
  <c r="AX71" i="4"/>
  <c r="R71" i="4"/>
  <c r="T71" i="4" s="1"/>
  <c r="Q71" i="4"/>
  <c r="BB71" i="4" s="1"/>
  <c r="BC71" i="4" s="1"/>
  <c r="BE71" i="4" s="1"/>
  <c r="AX69" i="4"/>
  <c r="R62" i="4"/>
  <c r="Q62" i="4"/>
  <c r="AV62" i="4" s="1"/>
  <c r="BA62" i="4"/>
  <c r="R61" i="4"/>
  <c r="Q61" i="4"/>
  <c r="AA61" i="4" s="1"/>
  <c r="AC61" i="4" s="1"/>
  <c r="R60" i="4"/>
  <c r="T60" i="4" s="1"/>
  <c r="Q60" i="4"/>
  <c r="R59" i="4"/>
  <c r="Q59" i="4"/>
  <c r="AA59" i="4" s="1"/>
  <c r="AB59" i="4" s="1"/>
  <c r="R58" i="4"/>
  <c r="S58" i="4" s="1"/>
  <c r="Q58" i="4"/>
  <c r="R56" i="4"/>
  <c r="Q56" i="4"/>
  <c r="AH56" i="4" s="1"/>
  <c r="R55" i="4"/>
  <c r="U55" i="4" s="1"/>
  <c r="Q55" i="4"/>
  <c r="AH55" i="4" s="1"/>
  <c r="R54" i="4"/>
  <c r="Q54" i="4"/>
  <c r="AU54" i="4"/>
  <c r="R51" i="4"/>
  <c r="U51" i="4" s="1"/>
  <c r="Q51" i="4"/>
  <c r="R32" i="4"/>
  <c r="U32" i="4" s="1"/>
  <c r="Q32" i="4"/>
  <c r="Z32" i="4" s="1"/>
  <c r="R31" i="4"/>
  <c r="Q31" i="4"/>
  <c r="R29" i="4"/>
  <c r="Q29" i="4"/>
  <c r="AO29" i="4" s="1"/>
  <c r="AQ29" i="4" s="1"/>
  <c r="R30" i="4"/>
  <c r="S30" i="4" s="1"/>
  <c r="Q30" i="4"/>
  <c r="R28" i="4"/>
  <c r="Q28" i="4"/>
  <c r="R27" i="4"/>
  <c r="Q27" i="4"/>
  <c r="AU27" i="4" s="1"/>
  <c r="R26" i="4"/>
  <c r="T26" i="4" s="1"/>
  <c r="Q26" i="4"/>
  <c r="AU26" i="4" s="1"/>
  <c r="R46" i="4"/>
  <c r="W46" i="4" s="1"/>
  <c r="Q46" i="4"/>
  <c r="R45" i="4"/>
  <c r="T45" i="4" s="1"/>
  <c r="Q45" i="4"/>
  <c r="AG45" i="4" s="1"/>
  <c r="R43" i="4"/>
  <c r="Q43" i="4"/>
  <c r="R42" i="4"/>
  <c r="U42" i="4" s="1"/>
  <c r="Q42" i="4"/>
  <c r="AG42" i="4" s="1"/>
  <c r="R41" i="4"/>
  <c r="W41" i="4" s="1"/>
  <c r="Q41" i="4"/>
  <c r="R40" i="4"/>
  <c r="S40" i="4" s="1"/>
  <c r="Q40" i="4"/>
  <c r="AG40" i="4" s="1"/>
  <c r="R39" i="4"/>
  <c r="Q39" i="4"/>
  <c r="R23" i="4"/>
  <c r="U23" i="4" s="1"/>
  <c r="Q23" i="4"/>
  <c r="Z23" i="4" s="1"/>
  <c r="R22" i="4"/>
  <c r="Q22" i="4"/>
  <c r="R21" i="4"/>
  <c r="Q21" i="4"/>
  <c r="AN21" i="4" s="1"/>
  <c r="R20" i="4"/>
  <c r="T20" i="4" s="1"/>
  <c r="Q20" i="4"/>
  <c r="Q25" i="4"/>
  <c r="AH25" i="4" s="1"/>
  <c r="R25" i="4"/>
  <c r="S25" i="4" s="1"/>
  <c r="BH179" i="4"/>
  <c r="BH152" i="4"/>
  <c r="BH101" i="4"/>
  <c r="BH100" i="4"/>
  <c r="BH97" i="4"/>
  <c r="BH96" i="4"/>
  <c r="DJ458" i="4"/>
  <c r="DJ457" i="4"/>
  <c r="CZ457" i="4" s="1"/>
  <c r="DJ448" i="4"/>
  <c r="DJ446" i="4"/>
  <c r="DI437" i="4"/>
  <c r="DI435" i="4"/>
  <c r="DD432" i="4"/>
  <c r="DF432" i="4" s="1"/>
  <c r="DA432" i="4"/>
  <c r="CZ432" i="4"/>
  <c r="DD431" i="4"/>
  <c r="DF431" i="4" s="1"/>
  <c r="DA431" i="4"/>
  <c r="CZ431" i="4"/>
  <c r="DD430" i="4"/>
  <c r="DF430" i="4" s="1"/>
  <c r="DH430" i="4" s="1"/>
  <c r="DA430" i="4"/>
  <c r="CZ430" i="4"/>
  <c r="DD429" i="4"/>
  <c r="DF429" i="4" s="1"/>
  <c r="DH429" i="4" s="1"/>
  <c r="DA429" i="4"/>
  <c r="CZ429" i="4"/>
  <c r="DD428" i="4"/>
  <c r="DF428" i="4" s="1"/>
  <c r="DA428" i="4"/>
  <c r="CZ428" i="4"/>
  <c r="DD427" i="4"/>
  <c r="DF427" i="4" s="1"/>
  <c r="DA427" i="4"/>
  <c r="CZ427" i="4"/>
  <c r="DD426" i="4"/>
  <c r="DF426" i="4" s="1"/>
  <c r="DH426" i="4" s="1"/>
  <c r="DA426" i="4"/>
  <c r="CZ426" i="4"/>
  <c r="DD425" i="4"/>
  <c r="DF425" i="4" s="1"/>
  <c r="DA425" i="4"/>
  <c r="CZ425" i="4"/>
  <c r="DD424" i="4"/>
  <c r="DF424" i="4" s="1"/>
  <c r="DH424" i="4" s="1"/>
  <c r="DA424" i="4"/>
  <c r="CZ424" i="4"/>
  <c r="DD423" i="4"/>
  <c r="DF423" i="4" s="1"/>
  <c r="DA423" i="4"/>
  <c r="CZ423" i="4"/>
  <c r="DC398" i="4" s="1"/>
  <c r="DD422" i="4"/>
  <c r="DF422" i="4" s="1"/>
  <c r="DG422" i="4" s="1"/>
  <c r="DA422" i="4"/>
  <c r="CZ422" i="4"/>
  <c r="DD421" i="4"/>
  <c r="DF421" i="4" s="1"/>
  <c r="DA421" i="4"/>
  <c r="CZ421" i="4"/>
  <c r="DD420" i="4"/>
  <c r="DF420" i="4" s="1"/>
  <c r="DA420" i="4"/>
  <c r="CZ420" i="4"/>
  <c r="DD419" i="4"/>
  <c r="DF419" i="4" s="1"/>
  <c r="DA419" i="4"/>
  <c r="CZ419" i="4"/>
  <c r="DD418" i="4"/>
  <c r="DF418" i="4"/>
  <c r="DH418" i="4" s="1"/>
  <c r="DA418" i="4"/>
  <c r="DJ418" i="4" s="1"/>
  <c r="CZ418" i="4"/>
  <c r="DD417" i="4"/>
  <c r="DF417" i="4" s="1"/>
  <c r="DG417" i="4" s="1"/>
  <c r="DH417" i="4"/>
  <c r="DA417" i="4"/>
  <c r="DJ417" i="4" s="1"/>
  <c r="CZ417" i="4"/>
  <c r="DD416" i="4"/>
  <c r="DF416" i="4"/>
  <c r="DH416" i="4" s="1"/>
  <c r="DA416" i="4"/>
  <c r="DJ416" i="4" s="1"/>
  <c r="CZ416" i="4"/>
  <c r="DD415" i="4"/>
  <c r="DF415" i="4" s="1"/>
  <c r="DH415" i="4"/>
  <c r="DA415" i="4"/>
  <c r="DJ415" i="4" s="1"/>
  <c r="CZ415" i="4"/>
  <c r="DD414" i="4"/>
  <c r="DF414" i="4"/>
  <c r="DG414" i="4" s="1"/>
  <c r="DI414" i="4" s="1"/>
  <c r="DH414" i="4"/>
  <c r="DJ414" i="4" s="1"/>
  <c r="DA414" i="4"/>
  <c r="CZ414" i="4"/>
  <c r="DD413" i="4"/>
  <c r="DF413" i="4"/>
  <c r="DA413" i="4"/>
  <c r="CZ413" i="4"/>
  <c r="DD412" i="4"/>
  <c r="DF412" i="4" s="1"/>
  <c r="DH412" i="4" s="1"/>
  <c r="DA412" i="4"/>
  <c r="CZ412" i="4"/>
  <c r="DD411" i="4"/>
  <c r="DF411" i="4" s="1"/>
  <c r="DA411" i="4"/>
  <c r="CZ411" i="4"/>
  <c r="DD410" i="4"/>
  <c r="DF410" i="4" s="1"/>
  <c r="DH410" i="4" s="1"/>
  <c r="DA410" i="4"/>
  <c r="CZ410" i="4"/>
  <c r="DI410" i="4" s="1"/>
  <c r="DD409" i="4"/>
  <c r="DF409" i="4" s="1"/>
  <c r="DA409" i="4"/>
  <c r="CZ409" i="4"/>
  <c r="DD408" i="4"/>
  <c r="DF408" i="4"/>
  <c r="DH408" i="4" s="1"/>
  <c r="DJ408" i="4" s="1"/>
  <c r="DA408" i="4"/>
  <c r="CZ408" i="4"/>
  <c r="DD407" i="4"/>
  <c r="DF407" i="4" s="1"/>
  <c r="DG407" i="4" s="1"/>
  <c r="DH407" i="4"/>
  <c r="DA407" i="4"/>
  <c r="CZ407" i="4"/>
  <c r="DD406" i="4"/>
  <c r="DF406" i="4"/>
  <c r="DH406" i="4" s="1"/>
  <c r="DJ406" i="4" s="1"/>
  <c r="DA406" i="4"/>
  <c r="CZ406" i="4"/>
  <c r="DD405" i="4"/>
  <c r="DF405" i="4" s="1"/>
  <c r="DA405" i="4"/>
  <c r="CZ405" i="4"/>
  <c r="DD404" i="4"/>
  <c r="DF404" i="4" s="1"/>
  <c r="DA404" i="4"/>
  <c r="CZ404" i="4"/>
  <c r="DD403" i="4"/>
  <c r="DF403" i="4" s="1"/>
  <c r="DA403" i="4"/>
  <c r="CZ403" i="4"/>
  <c r="DC397" i="4"/>
  <c r="DA397" i="4"/>
  <c r="DC394" i="4"/>
  <c r="DA394" i="4"/>
  <c r="DC393" i="4"/>
  <c r="DA393" i="4"/>
  <c r="DC392" i="4"/>
  <c r="DA392" i="4"/>
  <c r="DC391" i="4"/>
  <c r="DA391" i="4"/>
  <c r="DC390" i="4"/>
  <c r="DA390" i="4"/>
  <c r="DC389" i="4"/>
  <c r="DA389" i="4"/>
  <c r="DC381" i="4"/>
  <c r="DA381" i="4"/>
  <c r="BB25" i="4"/>
  <c r="BC25" i="4" s="1"/>
  <c r="BE25" i="4" s="1"/>
  <c r="Z31" i="4"/>
  <c r="AO32" i="4"/>
  <c r="BB74" i="4"/>
  <c r="BC74" i="4" s="1"/>
  <c r="BE74" i="4" s="1"/>
  <c r="Z74" i="4"/>
  <c r="BB83" i="4"/>
  <c r="BC83" i="4" s="1"/>
  <c r="BE83" i="4" s="1"/>
  <c r="AG83" i="4"/>
  <c r="AN83" i="4"/>
  <c r="BB171" i="4"/>
  <c r="BC171" i="4" s="1"/>
  <c r="BE171" i="4" s="1"/>
  <c r="Z171" i="4"/>
  <c r="BB172" i="4"/>
  <c r="BC172" i="4" s="1"/>
  <c r="BE172" i="4" s="1"/>
  <c r="BC173" i="4"/>
  <c r="BE173" i="4" s="1"/>
  <c r="Z173" i="4"/>
  <c r="Z162" i="4"/>
  <c r="BB163" i="4"/>
  <c r="BC163" i="4" s="1"/>
  <c r="Z165" i="4"/>
  <c r="BB169" i="4"/>
  <c r="BC169" i="4" s="1"/>
  <c r="BE169" i="4" s="1"/>
  <c r="BB170" i="4"/>
  <c r="BC170" i="4" s="1"/>
  <c r="BE170" i="4" s="1"/>
  <c r="BB72" i="4"/>
  <c r="BC72" i="4" s="1"/>
  <c r="BE72" i="4" s="1"/>
  <c r="BB80" i="4"/>
  <c r="BC80" i="4" s="1"/>
  <c r="BE80" i="4" s="1"/>
  <c r="BB78" i="4"/>
  <c r="BC78" i="4" s="1"/>
  <c r="BE78" i="4" s="1"/>
  <c r="AG78" i="4"/>
  <c r="AJ162" i="4"/>
  <c r="AK162" i="4" s="1"/>
  <c r="AJ165" i="4"/>
  <c r="AJ167" i="4"/>
  <c r="AI169" i="4"/>
  <c r="AJ171" i="4"/>
  <c r="AK171" i="4" s="1"/>
  <c r="AJ166" i="4"/>
  <c r="AK166" i="4" s="1"/>
  <c r="AJ170" i="4"/>
  <c r="AJ172" i="4"/>
  <c r="AI172" i="4"/>
  <c r="BB20" i="4"/>
  <c r="BC20" i="4" s="1"/>
  <c r="Z20" i="4"/>
  <c r="AG20" i="4"/>
  <c r="AN20" i="4"/>
  <c r="BB21" i="4"/>
  <c r="AG21" i="4"/>
  <c r="BB22" i="4"/>
  <c r="BC22" i="4" s="1"/>
  <c r="Z22" i="4"/>
  <c r="AG22" i="4"/>
  <c r="AN22" i="4"/>
  <c r="AN23" i="4"/>
  <c r="AN39" i="4"/>
  <c r="AA39" i="4"/>
  <c r="AB39" i="4" s="1"/>
  <c r="BB39" i="4"/>
  <c r="BC39" i="4"/>
  <c r="AV39" i="4"/>
  <c r="AW39" i="4" s="1"/>
  <c r="AG39" i="4"/>
  <c r="Z39" i="4"/>
  <c r="BB40" i="4"/>
  <c r="Z40" i="4"/>
  <c r="BB41" i="4"/>
  <c r="AV41" i="4"/>
  <c r="AW41" i="4" s="1"/>
  <c r="AX41" i="4" s="1"/>
  <c r="AG41" i="4"/>
  <c r="AN41" i="4"/>
  <c r="Z41" i="4"/>
  <c r="AA41" i="4"/>
  <c r="AC41" i="4" s="1"/>
  <c r="AN42" i="4"/>
  <c r="Z42" i="4"/>
  <c r="BB43" i="4"/>
  <c r="BC43" i="4"/>
  <c r="AV43" i="4"/>
  <c r="AW43" i="4" s="1"/>
  <c r="AX43" i="4" s="1"/>
  <c r="AG43" i="4"/>
  <c r="AN43" i="4"/>
  <c r="Z43" i="4"/>
  <c r="AA43" i="4"/>
  <c r="AC43" i="4" s="1"/>
  <c r="BB45" i="4"/>
  <c r="BC45" i="4" s="1"/>
  <c r="AN45" i="4"/>
  <c r="Z45" i="4"/>
  <c r="BB46" i="4"/>
  <c r="AV46" i="4"/>
  <c r="AG46" i="4"/>
  <c r="AN46" i="4"/>
  <c r="Z46" i="4"/>
  <c r="AA46" i="4"/>
  <c r="AB46" i="4" s="1"/>
  <c r="AA26" i="4"/>
  <c r="AB26" i="4" s="1"/>
  <c r="AH51" i="4"/>
  <c r="AJ51" i="4" s="1"/>
  <c r="AA51" i="4"/>
  <c r="AB51" i="4" s="1"/>
  <c r="BB54" i="4"/>
  <c r="AH54" i="4"/>
  <c r="AI54" i="4" s="1"/>
  <c r="AA54" i="4"/>
  <c r="AB54" i="4" s="1"/>
  <c r="AA56" i="4"/>
  <c r="Z59" i="4"/>
  <c r="BB59" i="4"/>
  <c r="BC59" i="4" s="1"/>
  <c r="AV59" i="4"/>
  <c r="AH59" i="4"/>
  <c r="AI59" i="4" s="1"/>
  <c r="Z61" i="4"/>
  <c r="BB61" i="4"/>
  <c r="BC61" i="4" s="1"/>
  <c r="AO61" i="4"/>
  <c r="AP61" i="4" s="1"/>
  <c r="AH61" i="4"/>
  <c r="AO62" i="4"/>
  <c r="AA62" i="4"/>
  <c r="AB62" i="4" s="1"/>
  <c r="AH62" i="4"/>
  <c r="AI62" i="4" s="1"/>
  <c r="U71" i="4"/>
  <c r="U74" i="4"/>
  <c r="S42" i="4"/>
  <c r="U26" i="4"/>
  <c r="U75" i="4"/>
  <c r="U77" i="4"/>
  <c r="U86" i="4"/>
  <c r="S29" i="8"/>
  <c r="S25" i="8"/>
  <c r="S32" i="8"/>
  <c r="S38" i="8"/>
  <c r="U25" i="8"/>
  <c r="S26" i="8"/>
  <c r="S28" i="8"/>
  <c r="U29" i="8"/>
  <c r="S30" i="8"/>
  <c r="U32" i="8"/>
  <c r="U38" i="8"/>
  <c r="U26" i="8"/>
  <c r="U28" i="8"/>
  <c r="U30" i="8"/>
  <c r="T18" i="8"/>
  <c r="T19" i="8"/>
  <c r="Z25" i="8"/>
  <c r="Z26" i="8"/>
  <c r="Z27" i="8"/>
  <c r="Z28" i="8"/>
  <c r="Z30" i="8"/>
  <c r="Z32" i="8"/>
  <c r="S18" i="8"/>
  <c r="S19" i="8"/>
  <c r="Z19" i="8"/>
  <c r="T25" i="8"/>
  <c r="T26" i="8"/>
  <c r="T28" i="8"/>
  <c r="T29" i="8"/>
  <c r="T30" i="8"/>
  <c r="T32" i="8"/>
  <c r="T38" i="8"/>
  <c r="T163" i="4"/>
  <c r="U167" i="4"/>
  <c r="S168" i="4"/>
  <c r="T173" i="4"/>
  <c r="T162" i="4"/>
  <c r="S162" i="4"/>
  <c r="U40" i="4"/>
  <c r="S26" i="4"/>
  <c r="U85" i="4"/>
  <c r="AH85" i="4"/>
  <c r="AI85" i="4"/>
  <c r="BB85" i="4"/>
  <c r="BC85" i="4" s="1"/>
  <c r="T85" i="4"/>
  <c r="AA85" i="4"/>
  <c r="AB85" i="4" s="1"/>
  <c r="T83" i="4"/>
  <c r="AA83" i="4"/>
  <c r="AB83" i="4" s="1"/>
  <c r="AO83" i="4"/>
  <c r="S79" i="4"/>
  <c r="U80" i="4"/>
  <c r="S77" i="4"/>
  <c r="AA78" i="4"/>
  <c r="AA74" i="4"/>
  <c r="AB74" i="4" s="1"/>
  <c r="AH74" i="4"/>
  <c r="T92" i="4"/>
  <c r="AA80" i="4"/>
  <c r="AB80" i="4" s="1"/>
  <c r="T77" i="4"/>
  <c r="T76" i="4"/>
  <c r="S71" i="4"/>
  <c r="S62" i="4"/>
  <c r="U62" i="4"/>
  <c r="T62" i="4"/>
  <c r="S61" i="4"/>
  <c r="S54" i="4"/>
  <c r="U54" i="4"/>
  <c r="T54" i="4"/>
  <c r="S60" i="4"/>
  <c r="U60" i="4"/>
  <c r="AH31" i="4"/>
  <c r="AI31" i="4" s="1"/>
  <c r="S32" i="4"/>
  <c r="AH32" i="4"/>
  <c r="S29" i="4"/>
  <c r="U29" i="4"/>
  <c r="BB29" i="4"/>
  <c r="BC29" i="4" s="1"/>
  <c r="T29" i="4"/>
  <c r="AV27" i="4"/>
  <c r="AW27" i="4" s="1"/>
  <c r="BB27" i="4"/>
  <c r="BC27" i="4" s="1"/>
  <c r="BE27" i="4" s="1"/>
  <c r="AA27" i="4"/>
  <c r="AB27" i="4" s="1"/>
  <c r="AH27" i="4"/>
  <c r="AJ27" i="4" s="1"/>
  <c r="T40" i="4"/>
  <c r="T42" i="4"/>
  <c r="U45" i="4"/>
  <c r="U21" i="4"/>
  <c r="S21" i="4"/>
  <c r="T21" i="4"/>
  <c r="AV20" i="4"/>
  <c r="AV21" i="4"/>
  <c r="AW21" i="4" s="1"/>
  <c r="AX21" i="4" s="1"/>
  <c r="AV22" i="4"/>
  <c r="AW22" i="4" s="1"/>
  <c r="AX22" i="4" s="1"/>
  <c r="S23" i="4"/>
  <c r="BB23" i="4"/>
  <c r="BC23" i="4" s="1"/>
  <c r="DJ407" i="4"/>
  <c r="DG410" i="4"/>
  <c r="DG415" i="4"/>
  <c r="DI415" i="4"/>
  <c r="DI417" i="4"/>
  <c r="DG426" i="4"/>
  <c r="W23" i="4"/>
  <c r="W60" i="4"/>
  <c r="W29" i="4"/>
  <c r="W32" i="4"/>
  <c r="W165" i="4"/>
  <c r="AO165" i="4" s="1"/>
  <c r="AP165" i="4" s="1"/>
  <c r="W163" i="4"/>
  <c r="AO163" i="4" s="1"/>
  <c r="AQ163" i="4" s="1"/>
  <c r="W169" i="4"/>
  <c r="AO169" i="4" s="1"/>
  <c r="W167" i="4"/>
  <c r="AO167" i="4" s="1"/>
  <c r="BC54" i="4"/>
  <c r="BE54" i="4" s="1"/>
  <c r="BD20" i="4"/>
  <c r="W168" i="4"/>
  <c r="AO168" i="4" s="1"/>
  <c r="W40" i="4"/>
  <c r="W45" i="4"/>
  <c r="W28" i="4"/>
  <c r="AO28" i="4" s="1"/>
  <c r="AP28" i="4" s="1"/>
  <c r="W62" i="4"/>
  <c r="W25" i="4"/>
  <c r="AO25" i="4" s="1"/>
  <c r="W80" i="4"/>
  <c r="W85" i="4"/>
  <c r="W76" i="4"/>
  <c r="AO76" i="4" s="1"/>
  <c r="BD61" i="4"/>
  <c r="AC54" i="4"/>
  <c r="BD45" i="4"/>
  <c r="BD43" i="4"/>
  <c r="AJ62" i="4"/>
  <c r="AK62" i="4" s="1"/>
  <c r="AC62" i="4"/>
  <c r="AJ59" i="4"/>
  <c r="AC51" i="4"/>
  <c r="AD51" i="4" s="1"/>
  <c r="AW46" i="4"/>
  <c r="AX46" i="4" s="1"/>
  <c r="BD39" i="4"/>
  <c r="W32" i="8"/>
  <c r="AW20" i="4"/>
  <c r="AX20" i="4" s="1"/>
  <c r="AC85" i="4"/>
  <c r="AJ85" i="4"/>
  <c r="AK85" i="4" s="1"/>
  <c r="AC83" i="4"/>
  <c r="AC80" i="4"/>
  <c r="AJ31" i="4"/>
  <c r="AC27" i="4"/>
  <c r="AG34" i="8"/>
  <c r="CI260" i="4"/>
  <c r="CI257" i="4"/>
  <c r="CI256" i="4"/>
  <c r="CI255" i="4"/>
  <c r="CI254" i="4"/>
  <c r="CI253" i="4"/>
  <c r="CI245" i="4"/>
  <c r="CI252" i="4"/>
  <c r="CI251" i="4"/>
  <c r="CI250" i="4"/>
  <c r="CI249" i="4"/>
  <c r="CI248" i="4"/>
  <c r="CI247" i="4"/>
  <c r="CI246" i="4"/>
  <c r="CI244" i="4"/>
  <c r="CI243" i="4"/>
  <c r="CC260" i="4"/>
  <c r="CC257" i="4"/>
  <c r="CC256" i="4"/>
  <c r="CC255" i="4"/>
  <c r="CC254" i="4"/>
  <c r="CC253" i="4"/>
  <c r="CC245" i="4"/>
  <c r="CC252" i="4"/>
  <c r="CC251" i="4"/>
  <c r="CC250" i="4"/>
  <c r="CC249" i="4"/>
  <c r="CC248" i="4"/>
  <c r="CC247" i="4"/>
  <c r="CC246" i="4"/>
  <c r="CC244" i="4"/>
  <c r="CC243" i="4"/>
  <c r="BW260" i="4"/>
  <c r="BW257" i="4"/>
  <c r="BW256" i="4"/>
  <c r="BW255" i="4"/>
  <c r="BW254" i="4"/>
  <c r="BW253" i="4"/>
  <c r="BW245" i="4"/>
  <c r="AL48" i="4" s="1"/>
  <c r="BW252" i="4"/>
  <c r="BW251" i="4"/>
  <c r="BW250" i="4"/>
  <c r="BW249" i="4"/>
  <c r="BW248" i="4"/>
  <c r="BW247" i="4"/>
  <c r="BW246" i="4"/>
  <c r="BW244" i="4"/>
  <c r="BW243" i="4"/>
  <c r="BQ260" i="4"/>
  <c r="BQ257" i="4"/>
  <c r="BQ256" i="4"/>
  <c r="BQ255" i="4"/>
  <c r="BQ254" i="4"/>
  <c r="BQ253" i="4"/>
  <c r="BQ245" i="4"/>
  <c r="AE48" i="4" s="1"/>
  <c r="BQ252" i="4"/>
  <c r="BQ251" i="4"/>
  <c r="BQ250" i="4"/>
  <c r="BQ249" i="4"/>
  <c r="BQ248" i="4"/>
  <c r="BQ247" i="4"/>
  <c r="BQ246" i="4"/>
  <c r="BQ244" i="4"/>
  <c r="BQ243" i="4"/>
  <c r="CI238" i="4"/>
  <c r="CI226" i="4"/>
  <c r="AL16" i="4" s="1"/>
  <c r="CI236" i="4"/>
  <c r="CI227" i="4"/>
  <c r="AL17" i="4" s="1"/>
  <c r="CI235" i="4"/>
  <c r="CI234" i="4"/>
  <c r="CI233" i="4"/>
  <c r="AL18" i="4" s="1"/>
  <c r="CI237" i="4"/>
  <c r="CI232" i="4"/>
  <c r="CI231" i="4"/>
  <c r="CI230" i="4"/>
  <c r="CI229" i="4"/>
  <c r="CI228" i="4"/>
  <c r="CC238" i="4"/>
  <c r="CC226" i="4"/>
  <c r="AE16" i="4" s="1"/>
  <c r="CC236" i="4"/>
  <c r="CC227" i="4"/>
  <c r="CC235" i="4"/>
  <c r="CC234" i="4"/>
  <c r="AE19" i="4" s="1"/>
  <c r="CC233" i="4"/>
  <c r="CC237" i="4"/>
  <c r="CC232" i="4"/>
  <c r="CC231" i="4"/>
  <c r="CC230" i="4"/>
  <c r="CC229" i="4"/>
  <c r="CC228" i="4"/>
  <c r="BW238" i="4"/>
  <c r="BW226" i="4"/>
  <c r="BW236" i="4"/>
  <c r="BW227" i="4"/>
  <c r="AL44" i="4"/>
  <c r="AO44" i="4" s="1"/>
  <c r="AP44" i="4" s="1"/>
  <c r="BW235" i="4"/>
  <c r="BW234" i="4"/>
  <c r="BW233" i="4"/>
  <c r="BW237" i="4"/>
  <c r="BW232" i="4"/>
  <c r="BW231" i="4"/>
  <c r="BW230" i="4"/>
  <c r="BW229" i="4"/>
  <c r="BW228" i="4"/>
  <c r="BQ238" i="4"/>
  <c r="BQ226" i="4"/>
  <c r="BQ236" i="4"/>
  <c r="BQ227" i="4"/>
  <c r="AE44" i="4"/>
  <c r="AH44" i="4" s="1"/>
  <c r="AJ44" i="4" s="1"/>
  <c r="BQ235" i="4"/>
  <c r="BQ234" i="4"/>
  <c r="BQ233" i="4"/>
  <c r="BQ237" i="4"/>
  <c r="BQ232" i="4"/>
  <c r="BQ230" i="4"/>
  <c r="BQ229" i="4"/>
  <c r="BQ228" i="4"/>
  <c r="CI221" i="4"/>
  <c r="CI220" i="4"/>
  <c r="CI219" i="4"/>
  <c r="CI218" i="4"/>
  <c r="CI217" i="4"/>
  <c r="CI216" i="4"/>
  <c r="CI215" i="4"/>
  <c r="CI214" i="4"/>
  <c r="CI213" i="4"/>
  <c r="CI212" i="4"/>
  <c r="CI211" i="4"/>
  <c r="CI210" i="4"/>
  <c r="CI209" i="4"/>
  <c r="CI208" i="4"/>
  <c r="CI207" i="4"/>
  <c r="CI206" i="4"/>
  <c r="CI205" i="4"/>
  <c r="CI204" i="4"/>
  <c r="CI203" i="4"/>
  <c r="CI202" i="4"/>
  <c r="CI201" i="4"/>
  <c r="CI200" i="4"/>
  <c r="CI199" i="4"/>
  <c r="CI198" i="4"/>
  <c r="CI197" i="4"/>
  <c r="CC221" i="4"/>
  <c r="CC220" i="4"/>
  <c r="CC219" i="4"/>
  <c r="CC218" i="4"/>
  <c r="CC217" i="4"/>
  <c r="CC216" i="4"/>
  <c r="CC215" i="4"/>
  <c r="CC214" i="4"/>
  <c r="CC213" i="4"/>
  <c r="CC212" i="4"/>
  <c r="CC211" i="4"/>
  <c r="CC210" i="4"/>
  <c r="CC209" i="4"/>
  <c r="CC208" i="4"/>
  <c r="CC207" i="4"/>
  <c r="CC206" i="4"/>
  <c r="CC205" i="4"/>
  <c r="CC204" i="4"/>
  <c r="CC203" i="4"/>
  <c r="CC202" i="4"/>
  <c r="CC201" i="4"/>
  <c r="CC200" i="4"/>
  <c r="CC199" i="4"/>
  <c r="CC198" i="4"/>
  <c r="CC197" i="4"/>
  <c r="BW221" i="4"/>
  <c r="BW220" i="4"/>
  <c r="BW219" i="4"/>
  <c r="BW218" i="4"/>
  <c r="BW217" i="4"/>
  <c r="BW216" i="4"/>
  <c r="BW215" i="4"/>
  <c r="BW214" i="4"/>
  <c r="BW213" i="4"/>
  <c r="BW212" i="4"/>
  <c r="BW211" i="4"/>
  <c r="BW210" i="4"/>
  <c r="BW209" i="4"/>
  <c r="BW208" i="4"/>
  <c r="BW207" i="4"/>
  <c r="BW206" i="4"/>
  <c r="BW205" i="4"/>
  <c r="BW204" i="4"/>
  <c r="BW203" i="4"/>
  <c r="BW202" i="4"/>
  <c r="BW201" i="4"/>
  <c r="BW200" i="4"/>
  <c r="BW199" i="4"/>
  <c r="BW198" i="4"/>
  <c r="BW197" i="4"/>
  <c r="BQ221" i="4"/>
  <c r="BQ220" i="4"/>
  <c r="BQ219" i="4"/>
  <c r="BQ218" i="4"/>
  <c r="BQ217" i="4"/>
  <c r="BQ216" i="4"/>
  <c r="BQ215" i="4"/>
  <c r="BQ214" i="4"/>
  <c r="BQ213" i="4"/>
  <c r="BQ212" i="4"/>
  <c r="BQ211" i="4"/>
  <c r="BQ210" i="4"/>
  <c r="BQ209" i="4"/>
  <c r="BQ208" i="4"/>
  <c r="BQ207" i="4"/>
  <c r="BQ206" i="4"/>
  <c r="BQ205" i="4"/>
  <c r="BQ204" i="4"/>
  <c r="BQ203" i="4"/>
  <c r="BQ202" i="4"/>
  <c r="BQ201" i="4"/>
  <c r="BQ200" i="4"/>
  <c r="BQ199" i="4"/>
  <c r="BQ198" i="4"/>
  <c r="BQ197" i="4"/>
  <c r="AE128" i="4"/>
  <c r="AH128" i="4" s="1"/>
  <c r="AE39" i="4"/>
  <c r="AH39" i="4" s="1"/>
  <c r="AI39" i="4" s="1"/>
  <c r="AE130" i="4"/>
  <c r="AH130" i="4" s="1"/>
  <c r="AE41" i="4"/>
  <c r="AH41" i="4" s="1"/>
  <c r="AL131" i="4"/>
  <c r="AO131" i="4" s="1"/>
  <c r="AL42" i="4"/>
  <c r="AO42" i="4" s="1"/>
  <c r="AP42" i="4" s="1"/>
  <c r="AL129" i="4"/>
  <c r="AL40" i="4"/>
  <c r="AO40" i="4" s="1"/>
  <c r="AP40" i="4" s="1"/>
  <c r="AE132" i="4"/>
  <c r="AH132" i="4" s="1"/>
  <c r="AI132" i="4" s="1"/>
  <c r="AE43" i="4"/>
  <c r="AH43" i="4" s="1"/>
  <c r="AI43" i="4" s="1"/>
  <c r="AE134" i="4"/>
  <c r="AH134" i="4" s="1"/>
  <c r="AE46" i="4"/>
  <c r="AH46" i="4" s="1"/>
  <c r="AL133" i="4"/>
  <c r="AO133" i="4" s="1"/>
  <c r="AL45" i="4"/>
  <c r="AO45" i="4" s="1"/>
  <c r="AE108" i="4"/>
  <c r="AH108" i="4" s="1"/>
  <c r="AI108" i="4" s="1"/>
  <c r="AL105" i="4"/>
  <c r="AO105" i="4" s="1"/>
  <c r="AP105" i="4" s="1"/>
  <c r="AL106" i="4"/>
  <c r="AO106" i="4" s="1"/>
  <c r="AL107" i="4"/>
  <c r="AO107" i="4" s="1"/>
  <c r="AE136" i="4"/>
  <c r="AH136" i="4" s="1"/>
  <c r="AE137" i="4"/>
  <c r="AH137" i="4" s="1"/>
  <c r="AI137" i="4" s="1"/>
  <c r="AE49" i="4"/>
  <c r="AL136" i="4"/>
  <c r="AO136" i="4" s="1"/>
  <c r="AL137" i="4"/>
  <c r="AO137" i="4" s="1"/>
  <c r="AL49" i="4"/>
  <c r="AE110" i="4"/>
  <c r="AH110" i="4" s="1"/>
  <c r="AE21" i="4"/>
  <c r="AH21" i="4" s="1"/>
  <c r="AE109" i="4"/>
  <c r="AH109" i="4" s="1"/>
  <c r="AE20" i="4"/>
  <c r="AH20" i="4" s="1"/>
  <c r="AE112" i="4"/>
  <c r="AH112" i="4" s="1"/>
  <c r="AE23" i="4"/>
  <c r="AH23" i="4" s="1"/>
  <c r="AL110" i="4"/>
  <c r="AL21" i="4"/>
  <c r="AO21" i="4" s="1"/>
  <c r="AL109" i="4"/>
  <c r="AO109" i="4" s="1"/>
  <c r="AL20" i="4"/>
  <c r="AO20" i="4" s="1"/>
  <c r="AL112" i="4"/>
  <c r="AO112" i="4" s="1"/>
  <c r="AP112" i="4" s="1"/>
  <c r="AL23" i="4"/>
  <c r="AO23" i="4" s="1"/>
  <c r="AQ23" i="4" s="1"/>
  <c r="AE131" i="4"/>
  <c r="AH131" i="4" s="1"/>
  <c r="AE42" i="4"/>
  <c r="AH42" i="4" s="1"/>
  <c r="AE129" i="4"/>
  <c r="AH129" i="4" s="1"/>
  <c r="AI129" i="4" s="1"/>
  <c r="AE40" i="4"/>
  <c r="AH40" i="4" s="1"/>
  <c r="AI40" i="4" s="1"/>
  <c r="AL128" i="4"/>
  <c r="AO128" i="4" s="1"/>
  <c r="AL39" i="4"/>
  <c r="AO39" i="4" s="1"/>
  <c r="AL130" i="4"/>
  <c r="AO130" i="4" s="1"/>
  <c r="AL41" i="4"/>
  <c r="AO41" i="4" s="1"/>
  <c r="AE133" i="4"/>
  <c r="AH133" i="4" s="1"/>
  <c r="AE45" i="4"/>
  <c r="AH45" i="4" s="1"/>
  <c r="AL132" i="4"/>
  <c r="AO132" i="4" s="1"/>
  <c r="AQ132" i="4" s="1"/>
  <c r="AL43" i="4"/>
  <c r="AO43" i="4" s="1"/>
  <c r="AP43" i="4" s="1"/>
  <c r="AL134" i="4"/>
  <c r="AO134" i="4" s="1"/>
  <c r="AL46" i="4"/>
  <c r="AO46" i="4" s="1"/>
  <c r="AE105" i="4"/>
  <c r="AH105" i="4" s="1"/>
  <c r="AE106" i="4"/>
  <c r="AH106" i="4" s="1"/>
  <c r="AJ106" i="4" s="1"/>
  <c r="AE17" i="4"/>
  <c r="AE107" i="4"/>
  <c r="AE18" i="4"/>
  <c r="AL108" i="4"/>
  <c r="AO108" i="4" s="1"/>
  <c r="AL19" i="4"/>
  <c r="AE135" i="4"/>
  <c r="AH135" i="4" s="1"/>
  <c r="AI135" i="4" s="1"/>
  <c r="AE47" i="4"/>
  <c r="AL135" i="4"/>
  <c r="AO135" i="4" s="1"/>
  <c r="AQ135" i="4" s="1"/>
  <c r="AL47" i="4"/>
  <c r="AE111" i="4"/>
  <c r="AH111" i="4" s="1"/>
  <c r="AJ111" i="4" s="1"/>
  <c r="AE22" i="4"/>
  <c r="AH22" i="4" s="1"/>
  <c r="AL111" i="4"/>
  <c r="AO111" i="4" s="1"/>
  <c r="AL22" i="4"/>
  <c r="AO22" i="4" s="1"/>
  <c r="G7" i="6"/>
  <c r="I7" i="6" s="1"/>
  <c r="J7" i="6"/>
  <c r="C7" i="6"/>
  <c r="L7" i="6"/>
  <c r="G8" i="6"/>
  <c r="I8" i="6"/>
  <c r="K8" i="6"/>
  <c r="G9" i="6"/>
  <c r="I9" i="6" s="1"/>
  <c r="J9" i="6" s="1"/>
  <c r="L9" i="6" s="1"/>
  <c r="G10" i="6"/>
  <c r="I10" i="6"/>
  <c r="K10" i="6" s="1"/>
  <c r="G11" i="6"/>
  <c r="I11" i="6" s="1"/>
  <c r="G12" i="6"/>
  <c r="I12" i="6" s="1"/>
  <c r="G13" i="6"/>
  <c r="I13" i="6"/>
  <c r="J13" i="6" s="1"/>
  <c r="L13" i="6" s="1"/>
  <c r="G14" i="6"/>
  <c r="I14" i="6" s="1"/>
  <c r="G15" i="6"/>
  <c r="I15" i="6"/>
  <c r="J15" i="6"/>
  <c r="L15" i="6" s="1"/>
  <c r="C15" i="6"/>
  <c r="G16" i="6"/>
  <c r="I16" i="6"/>
  <c r="K16" i="6" s="1"/>
  <c r="M16" i="6" s="1"/>
  <c r="G17" i="6"/>
  <c r="I17" i="6"/>
  <c r="K17" i="6"/>
  <c r="M17" i="6" s="1"/>
  <c r="G18" i="6"/>
  <c r="I18" i="6"/>
  <c r="K18" i="6"/>
  <c r="G19" i="6"/>
  <c r="I19" i="6" s="1"/>
  <c r="J19" i="6" s="1"/>
  <c r="G20" i="6"/>
  <c r="I20" i="6" s="1"/>
  <c r="G21" i="6"/>
  <c r="I21" i="6" s="1"/>
  <c r="G22" i="6"/>
  <c r="I22" i="6"/>
  <c r="J22" i="6" s="1"/>
  <c r="G23" i="6"/>
  <c r="I23" i="6" s="1"/>
  <c r="J23" i="6"/>
  <c r="C23" i="6"/>
  <c r="L23" i="6"/>
  <c r="G24" i="6"/>
  <c r="I24" i="6"/>
  <c r="K24" i="6"/>
  <c r="G25" i="6"/>
  <c r="I25" i="6" s="1"/>
  <c r="J25" i="6" s="1"/>
  <c r="L25" i="6" s="1"/>
  <c r="G26" i="6"/>
  <c r="I26" i="6"/>
  <c r="J26" i="6" s="1"/>
  <c r="G27" i="6"/>
  <c r="I27" i="6" s="1"/>
  <c r="G28" i="6"/>
  <c r="I28" i="6" s="1"/>
  <c r="G29" i="6"/>
  <c r="I29" i="6"/>
  <c r="K29" i="6" s="1"/>
  <c r="G30" i="6"/>
  <c r="I30" i="6" s="1"/>
  <c r="G31" i="6"/>
  <c r="I31" i="6"/>
  <c r="J31" i="6"/>
  <c r="L31" i="6" s="1"/>
  <c r="C31" i="6"/>
  <c r="G32" i="6"/>
  <c r="I32" i="6"/>
  <c r="J32" i="6" s="1"/>
  <c r="G33" i="6"/>
  <c r="I33" i="6"/>
  <c r="K33" i="6"/>
  <c r="M33" i="6" s="1"/>
  <c r="G34" i="6"/>
  <c r="I34" i="6"/>
  <c r="J34" i="6"/>
  <c r="G35" i="6"/>
  <c r="I35" i="6" s="1"/>
  <c r="K35" i="6" s="1"/>
  <c r="M35" i="6" s="1"/>
  <c r="G6" i="6"/>
  <c r="I6" i="6" s="1"/>
  <c r="D7" i="6"/>
  <c r="C8" i="6"/>
  <c r="D8" i="6"/>
  <c r="C9" i="6"/>
  <c r="D9" i="6"/>
  <c r="C10" i="6"/>
  <c r="D10" i="6"/>
  <c r="M10" i="6" s="1"/>
  <c r="C11" i="6"/>
  <c r="D11" i="6"/>
  <c r="C12" i="6"/>
  <c r="D12" i="6"/>
  <c r="M12" i="6" s="1"/>
  <c r="C13" i="6"/>
  <c r="D13" i="6"/>
  <c r="C14" i="6"/>
  <c r="D14" i="6"/>
  <c r="M14" i="6" s="1"/>
  <c r="D15" i="6"/>
  <c r="C16" i="6"/>
  <c r="D16" i="6"/>
  <c r="C17" i="6"/>
  <c r="L17" i="6" s="1"/>
  <c r="D17" i="6"/>
  <c r="C18" i="6"/>
  <c r="D18" i="6"/>
  <c r="C19" i="6"/>
  <c r="D19" i="6"/>
  <c r="C20" i="6"/>
  <c r="D20" i="6"/>
  <c r="C21" i="6"/>
  <c r="D21" i="6"/>
  <c r="C22" i="6"/>
  <c r="L22" i="6" s="1"/>
  <c r="D22" i="6"/>
  <c r="D23" i="6"/>
  <c r="M23" i="6" s="1"/>
  <c r="C24" i="6"/>
  <c r="D24" i="6"/>
  <c r="C25" i="6"/>
  <c r="D25" i="6"/>
  <c r="C26" i="6"/>
  <c r="D26" i="6"/>
  <c r="C27" i="6"/>
  <c r="D27" i="6"/>
  <c r="C28" i="6"/>
  <c r="D28" i="6"/>
  <c r="C29" i="6"/>
  <c r="D29" i="6"/>
  <c r="C30" i="6"/>
  <c r="D30" i="6"/>
  <c r="M30" i="6" s="1"/>
  <c r="D31" i="6"/>
  <c r="C32" i="6"/>
  <c r="L32" i="6" s="1"/>
  <c r="D32" i="6"/>
  <c r="C33" i="6"/>
  <c r="D33" i="6"/>
  <c r="C34" i="6"/>
  <c r="L34" i="6" s="1"/>
  <c r="D34" i="6"/>
  <c r="C35" i="6"/>
  <c r="D35" i="6"/>
  <c r="D6" i="6"/>
  <c r="C6" i="6"/>
  <c r="M8" i="6"/>
  <c r="K30" i="6"/>
  <c r="J30" i="6"/>
  <c r="K22" i="6"/>
  <c r="M22" i="6" s="1"/>
  <c r="K14" i="6"/>
  <c r="J14" i="6"/>
  <c r="L14" i="6" s="1"/>
  <c r="M18" i="6"/>
  <c r="L26" i="6"/>
  <c r="K12" i="6"/>
  <c r="J12" i="6"/>
  <c r="L12" i="6"/>
  <c r="J35" i="6"/>
  <c r="K19" i="6"/>
  <c r="M19" i="6"/>
  <c r="J21" i="6"/>
  <c r="K21" i="6"/>
  <c r="M21" i="6"/>
  <c r="K28" i="6"/>
  <c r="M28" i="6"/>
  <c r="J28" i="6"/>
  <c r="L28" i="6"/>
  <c r="K26" i="6"/>
  <c r="M26" i="6"/>
  <c r="J18" i="6"/>
  <c r="L18" i="6"/>
  <c r="J17" i="6"/>
  <c r="J24" i="6"/>
  <c r="L24" i="6"/>
  <c r="J8" i="6"/>
  <c r="L8" i="6"/>
  <c r="K34" i="6"/>
  <c r="M34" i="6"/>
  <c r="J33" i="6"/>
  <c r="L33" i="6"/>
  <c r="K31" i="6"/>
  <c r="M31" i="6"/>
  <c r="K23" i="6"/>
  <c r="K15" i="6"/>
  <c r="M15" i="6"/>
  <c r="K7" i="6"/>
  <c r="M7" i="6"/>
  <c r="F16" i="8"/>
  <c r="G16" i="8"/>
  <c r="H16" i="8"/>
  <c r="I16" i="8"/>
  <c r="J16" i="8"/>
  <c r="K16" i="8"/>
  <c r="L16" i="8"/>
  <c r="M16" i="8"/>
  <c r="N16" i="8"/>
  <c r="O16" i="8"/>
  <c r="P16" i="8"/>
  <c r="F17" i="8"/>
  <c r="G17" i="8"/>
  <c r="H17" i="8"/>
  <c r="I17" i="8"/>
  <c r="J17" i="8"/>
  <c r="K17" i="8"/>
  <c r="L17" i="8"/>
  <c r="M17" i="8"/>
  <c r="N17" i="8"/>
  <c r="O17" i="8"/>
  <c r="P17" i="8"/>
  <c r="E16" i="8"/>
  <c r="Q18" i="4"/>
  <c r="AV18" i="4" s="1"/>
  <c r="R18" i="4"/>
  <c r="T18" i="4" s="1"/>
  <c r="E17" i="8"/>
  <c r="R19" i="4"/>
  <c r="S19" i="4" s="1"/>
  <c r="Q19" i="4"/>
  <c r="AN19" i="4" s="1"/>
  <c r="R17" i="4"/>
  <c r="S17" i="4" s="1"/>
  <c r="Q17" i="4"/>
  <c r="R16" i="4"/>
  <c r="U16" i="4" s="1"/>
  <c r="Q16" i="4"/>
  <c r="AG19" i="4"/>
  <c r="S16" i="4"/>
  <c r="J27" i="6" l="1"/>
  <c r="L27" i="6" s="1"/>
  <c r="K27" i="6"/>
  <c r="K11" i="6"/>
  <c r="M11" i="6" s="1"/>
  <c r="J11" i="6"/>
  <c r="L11" i="6" s="1"/>
  <c r="K6" i="6"/>
  <c r="J6" i="6"/>
  <c r="J20" i="6"/>
  <c r="L20" i="6" s="1"/>
  <c r="K20" i="6"/>
  <c r="M20" i="6" s="1"/>
  <c r="M6" i="6"/>
  <c r="M27" i="6"/>
  <c r="M29" i="6"/>
  <c r="L19" i="6"/>
  <c r="K32" i="6"/>
  <c r="M32" i="6" s="1"/>
  <c r="J29" i="6"/>
  <c r="L29" i="6" s="1"/>
  <c r="K13" i="6"/>
  <c r="M13" i="6" s="1"/>
  <c r="L35" i="6"/>
  <c r="M24" i="6"/>
  <c r="K9" i="6"/>
  <c r="M9" i="6" s="1"/>
  <c r="J16" i="6"/>
  <c r="L16" i="6" s="1"/>
  <c r="K25" i="6"/>
  <c r="M25" i="6" s="1"/>
  <c r="J10" i="6"/>
  <c r="L10" i="6" s="1"/>
  <c r="L6" i="6"/>
  <c r="L30" i="6"/>
  <c r="L21" i="6"/>
  <c r="BD59" i="4"/>
  <c r="W71" i="4"/>
  <c r="AO71" i="4" s="1"/>
  <c r="AP71" i="4" s="1"/>
  <c r="W92" i="4"/>
  <c r="AO92" i="4" s="1"/>
  <c r="AQ92" i="4" s="1"/>
  <c r="BB26" i="4"/>
  <c r="BC26" i="4" s="1"/>
  <c r="AH29" i="4"/>
  <c r="AV32" i="4"/>
  <c r="AW32" i="4" s="1"/>
  <c r="AX32" i="4" s="1"/>
  <c r="T75" i="4"/>
  <c r="T80" i="4"/>
  <c r="T74" i="4"/>
  <c r="S75" i="4"/>
  <c r="AH73" i="4"/>
  <c r="AI73" i="4" s="1"/>
  <c r="S173" i="4"/>
  <c r="S80" i="4"/>
  <c r="U76" i="4"/>
  <c r="AI51" i="4"/>
  <c r="BB42" i="4"/>
  <c r="AN40" i="4"/>
  <c r="Z21" i="4"/>
  <c r="AJ164" i="4"/>
  <c r="BB167" i="4"/>
  <c r="BC167" i="4" s="1"/>
  <c r="BE167" i="4" s="1"/>
  <c r="AP29" i="4"/>
  <c r="DJ429" i="4"/>
  <c r="U173" i="4"/>
  <c r="AC119" i="4"/>
  <c r="AD119" i="4" s="1"/>
  <c r="AJ115" i="4"/>
  <c r="AI116" i="4"/>
  <c r="AK116" i="4" s="1"/>
  <c r="AA23" i="4"/>
  <c r="AB23" i="4" s="1"/>
  <c r="BB84" i="4"/>
  <c r="BC84" i="4" s="1"/>
  <c r="BE84" i="4" s="1"/>
  <c r="S84" i="4"/>
  <c r="BB62" i="4"/>
  <c r="BC62" i="4" s="1"/>
  <c r="W54" i="4"/>
  <c r="AO54" i="4" s="1"/>
  <c r="AQ54" i="4" s="1"/>
  <c r="T168" i="4"/>
  <c r="AD141" i="4"/>
  <c r="AB148" i="4"/>
  <c r="AA29" i="4"/>
  <c r="AC29" i="4" s="1"/>
  <c r="AO84" i="4"/>
  <c r="AP84" i="4" s="1"/>
  <c r="AA171" i="4"/>
  <c r="AB171" i="4" s="1"/>
  <c r="X26" i="8"/>
  <c r="AA26" i="8" s="1"/>
  <c r="AB26" i="8" s="1"/>
  <c r="AZ381" i="4"/>
  <c r="W118" i="4"/>
  <c r="BB156" i="4"/>
  <c r="BC156" i="4" s="1"/>
  <c r="BE156" i="4" s="1"/>
  <c r="AG84" i="4"/>
  <c r="AH71" i="4"/>
  <c r="AI71" i="4" s="1"/>
  <c r="AO73" i="4"/>
  <c r="AH83" i="4"/>
  <c r="AI83" i="4" s="1"/>
  <c r="AA164" i="4"/>
  <c r="AB164" i="4" s="1"/>
  <c r="AA168" i="4"/>
  <c r="AB168" i="4" s="1"/>
  <c r="AA172" i="4"/>
  <c r="AA88" i="4"/>
  <c r="AB88" i="4" s="1"/>
  <c r="BD29" i="4"/>
  <c r="AJ54" i="4"/>
  <c r="AC26" i="4"/>
  <c r="AD26" i="4" s="1"/>
  <c r="AV23" i="4"/>
  <c r="AW23" i="4" s="1"/>
  <c r="S46" i="4"/>
  <c r="AH26" i="4"/>
  <c r="AV29" i="4"/>
  <c r="BB32" i="4"/>
  <c r="T27" i="8"/>
  <c r="U27" i="8"/>
  <c r="U58" i="4"/>
  <c r="S92" i="4"/>
  <c r="AG23" i="4"/>
  <c r="Z29" i="4"/>
  <c r="AA22" i="4"/>
  <c r="AB22" i="4" s="1"/>
  <c r="AV26" i="4"/>
  <c r="AW26" i="4" s="1"/>
  <c r="AX26" i="4" s="1"/>
  <c r="AV54" i="4"/>
  <c r="AW54" i="4" s="1"/>
  <c r="AX54" i="4" s="1"/>
  <c r="AA108" i="4"/>
  <c r="AC108" i="4" s="1"/>
  <c r="AA112" i="4"/>
  <c r="AB112" i="4" s="1"/>
  <c r="AA132" i="4"/>
  <c r="AB132" i="4" s="1"/>
  <c r="AA133" i="4"/>
  <c r="AB133" i="4" s="1"/>
  <c r="AA137" i="4"/>
  <c r="AB137" i="4" s="1"/>
  <c r="AA146" i="4"/>
  <c r="AB146" i="4" s="1"/>
  <c r="AH84" i="4"/>
  <c r="AJ84" i="4" s="1"/>
  <c r="AH157" i="4"/>
  <c r="AI157" i="4" s="1"/>
  <c r="AA156" i="4"/>
  <c r="AB156" i="4" s="1"/>
  <c r="AA165" i="4"/>
  <c r="AD83" i="4"/>
  <c r="W38" i="8"/>
  <c r="DI426" i="4"/>
  <c r="X29" i="8"/>
  <c r="AA29" i="8" s="1"/>
  <c r="AC29" i="8" s="1"/>
  <c r="AF29" i="8" s="1"/>
  <c r="D25" i="8"/>
  <c r="AX27" i="4"/>
  <c r="W25" i="8"/>
  <c r="DG424" i="4"/>
  <c r="DI424" i="4" s="1"/>
  <c r="W74" i="4"/>
  <c r="AO74" i="4" s="1"/>
  <c r="W86" i="4"/>
  <c r="W162" i="4"/>
  <c r="AO162" i="4" s="1"/>
  <c r="AQ162" i="4" s="1"/>
  <c r="DI422" i="4"/>
  <c r="Y16" i="8"/>
  <c r="W110" i="4"/>
  <c r="W135" i="4"/>
  <c r="W115" i="4"/>
  <c r="AO115" i="4" s="1"/>
  <c r="AP115" i="4" s="1"/>
  <c r="W121" i="4"/>
  <c r="W131" i="4"/>
  <c r="W157" i="4"/>
  <c r="AO157" i="4" s="1"/>
  <c r="AP157" i="4" s="1"/>
  <c r="W27" i="8"/>
  <c r="BE59" i="4"/>
  <c r="W170" i="4"/>
  <c r="AO170" i="4" s="1"/>
  <c r="DJ424" i="4"/>
  <c r="W21" i="4"/>
  <c r="W106" i="4"/>
  <c r="W114" i="4"/>
  <c r="AO114" i="4" s="1"/>
  <c r="AQ114" i="4" s="1"/>
  <c r="W144" i="4"/>
  <c r="AO144" i="4" s="1"/>
  <c r="AP144" i="4" s="1"/>
  <c r="W128" i="4"/>
  <c r="W145" i="4"/>
  <c r="W130" i="4"/>
  <c r="W148" i="4"/>
  <c r="W139" i="4"/>
  <c r="AO139" i="4" s="1"/>
  <c r="AP139" i="4" s="1"/>
  <c r="W141" i="4"/>
  <c r="AO141" i="4" s="1"/>
  <c r="AQ141" i="4" s="1"/>
  <c r="W53" i="4"/>
  <c r="AO53" i="4" s="1"/>
  <c r="AP53" i="4" s="1"/>
  <c r="BB375" i="4"/>
  <c r="BA378" i="4"/>
  <c r="AV52" i="4"/>
  <c r="AH52" i="4"/>
  <c r="Q91" i="4"/>
  <c r="AN91" i="4" s="1"/>
  <c r="AA52" i="4"/>
  <c r="AC52" i="4" s="1"/>
  <c r="T55" i="4"/>
  <c r="BB53" i="4"/>
  <c r="BC53" i="4" s="1"/>
  <c r="BE53" i="4" s="1"/>
  <c r="AH53" i="4"/>
  <c r="AU53" i="4"/>
  <c r="AV53" i="4"/>
  <c r="AA53" i="4"/>
  <c r="AC53" i="4" s="1"/>
  <c r="AO19" i="4"/>
  <c r="AP19" i="4" s="1"/>
  <c r="W55" i="4"/>
  <c r="AO55" i="4" s="1"/>
  <c r="AQ55" i="4" s="1"/>
  <c r="BE44" i="4"/>
  <c r="AP117" i="4"/>
  <c r="AR117" i="4" s="1"/>
  <c r="AB131" i="4"/>
  <c r="AD131" i="4" s="1"/>
  <c r="AB109" i="4"/>
  <c r="AD109" i="4" s="1"/>
  <c r="AJ40" i="4"/>
  <c r="AK40" i="4" s="1"/>
  <c r="AC46" i="4"/>
  <c r="AD46" i="4" s="1"/>
  <c r="AB61" i="4"/>
  <c r="AD61" i="4" s="1"/>
  <c r="AC88" i="4"/>
  <c r="AR29" i="4"/>
  <c r="AQ40" i="4"/>
  <c r="AR40" i="4" s="1"/>
  <c r="AJ137" i="4"/>
  <c r="AK137" i="4" s="1"/>
  <c r="AQ112" i="4"/>
  <c r="AQ140" i="4"/>
  <c r="AR140" i="4" s="1"/>
  <c r="AC26" i="8"/>
  <c r="AF26" i="8" s="1"/>
  <c r="W26" i="8"/>
  <c r="D17" i="8"/>
  <c r="D30" i="8"/>
  <c r="X32" i="8"/>
  <c r="AA32" i="8" s="1"/>
  <c r="AC32" i="8" s="1"/>
  <c r="AF32" i="8" s="1"/>
  <c r="BE146" i="4"/>
  <c r="AA17" i="4"/>
  <c r="AB17" i="4" s="1"/>
  <c r="AJ39" i="4"/>
  <c r="AK39" i="4" s="1"/>
  <c r="W28" i="8"/>
  <c r="BE20" i="4"/>
  <c r="DG430" i="4"/>
  <c r="DI430" i="4" s="1"/>
  <c r="DG408" i="4"/>
  <c r="DI408" i="4" s="1"/>
  <c r="AB43" i="4"/>
  <c r="BF43" i="4" s="1"/>
  <c r="BG43" i="4" s="1"/>
  <c r="BH43" i="4" s="1"/>
  <c r="AB41" i="4"/>
  <c r="AD41" i="4" s="1"/>
  <c r="AK167" i="4"/>
  <c r="DJ410" i="4"/>
  <c r="D18" i="8"/>
  <c r="X18" i="8"/>
  <c r="AA18" i="8" s="1"/>
  <c r="X27" i="8"/>
  <c r="AA27" i="8" s="1"/>
  <c r="X31" i="8"/>
  <c r="AA31" i="8" s="1"/>
  <c r="AC128" i="4"/>
  <c r="AD128" i="4" s="1"/>
  <c r="Y31" i="8"/>
  <c r="W30" i="8"/>
  <c r="Y28" i="8"/>
  <c r="AK120" i="4"/>
  <c r="W29" i="8"/>
  <c r="W19" i="8"/>
  <c r="AK59" i="4"/>
  <c r="DG429" i="4"/>
  <c r="DI429" i="4" s="1"/>
  <c r="DG416" i="4"/>
  <c r="DI416" i="4" s="1"/>
  <c r="DG412" i="4"/>
  <c r="DI412" i="4" s="1"/>
  <c r="W18" i="8"/>
  <c r="BE61" i="4"/>
  <c r="AX39" i="4"/>
  <c r="AK165" i="4"/>
  <c r="X16" i="8"/>
  <c r="Y18" i="8"/>
  <c r="Y19" i="8"/>
  <c r="X25" i="8"/>
  <c r="AA25" i="8" s="1"/>
  <c r="AC105" i="4"/>
  <c r="AJ21" i="4"/>
  <c r="AI21" i="4"/>
  <c r="AI61" i="4"/>
  <c r="AJ61" i="4"/>
  <c r="BC46" i="4"/>
  <c r="BD46" i="4"/>
  <c r="BC41" i="4"/>
  <c r="BD41" i="4"/>
  <c r="BC40" i="4"/>
  <c r="BD40" i="4"/>
  <c r="BC21" i="4"/>
  <c r="BD21" i="4"/>
  <c r="AI25" i="4"/>
  <c r="AJ25" i="4"/>
  <c r="AI56" i="4"/>
  <c r="AJ56" i="4"/>
  <c r="AN80" i="4"/>
  <c r="AG80" i="4"/>
  <c r="AO80" i="4"/>
  <c r="AI105" i="4"/>
  <c r="BF105" i="4" s="1"/>
  <c r="BG105" i="4" s="1"/>
  <c r="AJ105" i="4"/>
  <c r="AJ73" i="4"/>
  <c r="U88" i="4"/>
  <c r="AB56" i="4"/>
  <c r="AC56" i="4"/>
  <c r="AU30" i="4"/>
  <c r="BB30" i="4"/>
  <c r="BC30" i="4" s="1"/>
  <c r="BE30" i="4" s="1"/>
  <c r="AA30" i="4"/>
  <c r="AH30" i="4"/>
  <c r="AV31" i="4"/>
  <c r="AW31" i="4" s="1"/>
  <c r="AX31" i="4" s="1"/>
  <c r="BB31" i="4"/>
  <c r="AO31" i="4"/>
  <c r="T56" i="4"/>
  <c r="W56" i="4"/>
  <c r="AO56" i="4" s="1"/>
  <c r="AP56" i="4" s="1"/>
  <c r="U56" i="4"/>
  <c r="S56" i="4"/>
  <c r="S59" i="4"/>
  <c r="T59" i="4"/>
  <c r="U59" i="4"/>
  <c r="W59" i="4"/>
  <c r="U61" i="4"/>
  <c r="T61" i="4"/>
  <c r="W61" i="4"/>
  <c r="AG75" i="4"/>
  <c r="BB75" i="4"/>
  <c r="BC75" i="4" s="1"/>
  <c r="BE75" i="4" s="1"/>
  <c r="BB76" i="4"/>
  <c r="BC76" i="4" s="1"/>
  <c r="BE76" i="4" s="1"/>
  <c r="AA76" i="4"/>
  <c r="AG76" i="4"/>
  <c r="BB77" i="4"/>
  <c r="BC77" i="4" s="1"/>
  <c r="BE77" i="4" s="1"/>
  <c r="AG77" i="4"/>
  <c r="AA77" i="4"/>
  <c r="AI32" i="4"/>
  <c r="AJ32" i="4"/>
  <c r="DH404" i="4"/>
  <c r="DJ404" i="4" s="1"/>
  <c r="DG404" i="4"/>
  <c r="DI404" i="4" s="1"/>
  <c r="DI407" i="4"/>
  <c r="DH432" i="4"/>
  <c r="DJ432" i="4" s="1"/>
  <c r="DG432" i="4"/>
  <c r="DI432" i="4" s="1"/>
  <c r="U20" i="4"/>
  <c r="W20" i="4"/>
  <c r="S20" i="4"/>
  <c r="T22" i="4"/>
  <c r="W22" i="4"/>
  <c r="S22" i="4"/>
  <c r="T39" i="4"/>
  <c r="W39" i="4"/>
  <c r="S41" i="4"/>
  <c r="U41" i="4"/>
  <c r="T41" i="4"/>
  <c r="T43" i="4"/>
  <c r="W43" i="4"/>
  <c r="S27" i="4"/>
  <c r="U27" i="4"/>
  <c r="W27" i="4"/>
  <c r="AO27" i="4" s="1"/>
  <c r="AE78" i="4"/>
  <c r="AH78" i="4" s="1"/>
  <c r="S78" i="4"/>
  <c r="U78" i="4"/>
  <c r="W78" i="4"/>
  <c r="T78" i="4"/>
  <c r="U22" i="4"/>
  <c r="T27" i="4"/>
  <c r="AA75" i="4"/>
  <c r="AD85" i="4"/>
  <c r="Z72" i="4"/>
  <c r="AG72" i="4"/>
  <c r="S73" i="4"/>
  <c r="T73" i="4"/>
  <c r="U73" i="4"/>
  <c r="W73" i="4"/>
  <c r="AD144" i="4"/>
  <c r="BB129" i="4"/>
  <c r="BD129" i="4" s="1"/>
  <c r="AG129" i="4"/>
  <c r="T146" i="4"/>
  <c r="S146" i="4"/>
  <c r="BB147" i="4"/>
  <c r="AH147" i="4"/>
  <c r="AJ147" i="4" s="1"/>
  <c r="AA72" i="4"/>
  <c r="AB72" i="4" s="1"/>
  <c r="AZ382" i="4"/>
  <c r="AH107" i="4"/>
  <c r="AJ107" i="4" s="1"/>
  <c r="AO110" i="4"/>
  <c r="AP110" i="4" s="1"/>
  <c r="AO129" i="4"/>
  <c r="AP129" i="4" s="1"/>
  <c r="BD23" i="4"/>
  <c r="BE23" i="4" s="1"/>
  <c r="AK54" i="4"/>
  <c r="AQ61" i="4"/>
  <c r="AR61" i="4" s="1"/>
  <c r="BE43" i="4"/>
  <c r="W26" i="4"/>
  <c r="AO26" i="4" s="1"/>
  <c r="AQ26" i="4" s="1"/>
  <c r="W42" i="4"/>
  <c r="AP163" i="4"/>
  <c r="AR163" i="4" s="1"/>
  <c r="AI84" i="4"/>
  <c r="AK84" i="4" s="1"/>
  <c r="DG418" i="4"/>
  <c r="DI418" i="4" s="1"/>
  <c r="DG406" i="4"/>
  <c r="DI406" i="4" s="1"/>
  <c r="T23" i="4"/>
  <c r="S45" i="4"/>
  <c r="T32" i="4"/>
  <c r="AA73" i="4"/>
  <c r="W171" i="4"/>
  <c r="AO171" i="4" s="1"/>
  <c r="AP171" i="4" s="1"/>
  <c r="S165" i="4"/>
  <c r="T165" i="4"/>
  <c r="S166" i="4"/>
  <c r="AV61" i="4"/>
  <c r="AW61" i="4" s="1"/>
  <c r="AX61" i="4" s="1"/>
  <c r="AO59" i="4"/>
  <c r="AK169" i="4"/>
  <c r="AN73" i="4"/>
  <c r="DH422" i="4"/>
  <c r="DJ422" i="4" s="1"/>
  <c r="AH75" i="4"/>
  <c r="AJ75" i="4" s="1"/>
  <c r="AH76" i="4"/>
  <c r="AH77" i="4"/>
  <c r="AJ77" i="4" s="1"/>
  <c r="AH80" i="4"/>
  <c r="AI80" i="4" s="1"/>
  <c r="Y17" i="8"/>
  <c r="D26" i="8"/>
  <c r="Y26" i="8"/>
  <c r="D28" i="8"/>
  <c r="D29" i="8"/>
  <c r="Y29" i="8"/>
  <c r="X30" i="8"/>
  <c r="AA30" i="8" s="1"/>
  <c r="AD115" i="4"/>
  <c r="AK142" i="4"/>
  <c r="W146" i="4"/>
  <c r="Z145" i="4"/>
  <c r="T139" i="4"/>
  <c r="AB140" i="4"/>
  <c r="AC140" i="4"/>
  <c r="AN132" i="4"/>
  <c r="AN129" i="4"/>
  <c r="AB116" i="4"/>
  <c r="AD116" i="4" s="1"/>
  <c r="S120" i="4"/>
  <c r="AV118" i="4"/>
  <c r="AW118" i="4" s="1"/>
  <c r="AX118" i="4" s="1"/>
  <c r="AG132" i="4"/>
  <c r="AV121" i="4"/>
  <c r="AW121" i="4" s="1"/>
  <c r="AX121" i="4" s="1"/>
  <c r="AA145" i="4"/>
  <c r="AB145" i="4" s="1"/>
  <c r="AV129" i="4"/>
  <c r="AW129" i="4" s="1"/>
  <c r="AX129" i="4" s="1"/>
  <c r="AV145" i="4"/>
  <c r="BC108" i="4"/>
  <c r="BE108" i="4" s="1"/>
  <c r="AJ156" i="4"/>
  <c r="AK156" i="4" s="1"/>
  <c r="AG157" i="4"/>
  <c r="AA157" i="4"/>
  <c r="BB157" i="4"/>
  <c r="BC157" i="4" s="1"/>
  <c r="BE157" i="4" s="1"/>
  <c r="AX381" i="4"/>
  <c r="AD27" i="4"/>
  <c r="BE45" i="4"/>
  <c r="S169" i="4"/>
  <c r="AK170" i="4"/>
  <c r="AC117" i="4"/>
  <c r="AD117" i="4" s="1"/>
  <c r="AC120" i="4"/>
  <c r="AK145" i="4"/>
  <c r="Z147" i="4"/>
  <c r="AO147" i="4"/>
  <c r="U146" i="4"/>
  <c r="BC137" i="4"/>
  <c r="BE137" i="4" s="1"/>
  <c r="BB136" i="4"/>
  <c r="Z129" i="4"/>
  <c r="AO118" i="4"/>
  <c r="AH117" i="4"/>
  <c r="U115" i="4"/>
  <c r="AB114" i="4"/>
  <c r="BC112" i="4"/>
  <c r="AG136" i="4"/>
  <c r="AH121" i="4"/>
  <c r="AA129" i="4"/>
  <c r="Z121" i="4"/>
  <c r="BB118" i="4"/>
  <c r="T141" i="4"/>
  <c r="U141" i="4"/>
  <c r="U142" i="4"/>
  <c r="S142" i="4"/>
  <c r="T142" i="4"/>
  <c r="U143" i="4"/>
  <c r="W143" i="4"/>
  <c r="AU144" i="4"/>
  <c r="AH144" i="4"/>
  <c r="AJ144" i="4" s="1"/>
  <c r="AA173" i="4"/>
  <c r="AC173" i="4" s="1"/>
  <c r="Y38" i="8"/>
  <c r="Y32" i="8"/>
  <c r="D32" i="8"/>
  <c r="D31" i="8"/>
  <c r="X28" i="8"/>
  <c r="AA28" i="8" s="1"/>
  <c r="Y27" i="8"/>
  <c r="D27" i="8"/>
  <c r="X19" i="8"/>
  <c r="AA19" i="8" s="1"/>
  <c r="D19" i="8"/>
  <c r="X17" i="8"/>
  <c r="AD62" i="4"/>
  <c r="U169" i="4"/>
  <c r="AI168" i="4"/>
  <c r="AK168" i="4" s="1"/>
  <c r="Z164" i="4"/>
  <c r="BB164" i="4"/>
  <c r="BC164" i="4" s="1"/>
  <c r="BE164" i="4" s="1"/>
  <c r="AC139" i="4"/>
  <c r="AD139" i="4" s="1"/>
  <c r="W120" i="4"/>
  <c r="BD120" i="4"/>
  <c r="BE120" i="4" s="1"/>
  <c r="AA147" i="4"/>
  <c r="AC147" i="4" s="1"/>
  <c r="AI140" i="4"/>
  <c r="AK140" i="4" s="1"/>
  <c r="AP141" i="4"/>
  <c r="AR141" i="4" s="1"/>
  <c r="AN136" i="4"/>
  <c r="T115" i="4"/>
  <c r="AH118" i="4"/>
  <c r="BD105" i="4"/>
  <c r="BE105" i="4" s="1"/>
  <c r="AO121" i="4"/>
  <c r="AU117" i="4"/>
  <c r="DJ426" i="4"/>
  <c r="DK435" i="4"/>
  <c r="CZ435" i="4" s="1"/>
  <c r="AA20" i="4"/>
  <c r="AC20" i="4" s="1"/>
  <c r="AV30" i="4"/>
  <c r="AW30" i="4" s="1"/>
  <c r="AX30" i="4" s="1"/>
  <c r="AV56" i="4"/>
  <c r="AW56" i="4" s="1"/>
  <c r="AX56" i="4" s="1"/>
  <c r="AA111" i="4"/>
  <c r="AB111" i="4" s="1"/>
  <c r="AV142" i="4"/>
  <c r="AW142" i="4" s="1"/>
  <c r="AX142" i="4" s="1"/>
  <c r="AA143" i="4"/>
  <c r="AC143" i="4" s="1"/>
  <c r="T70" i="4"/>
  <c r="AH72" i="4"/>
  <c r="AI72" i="4" s="1"/>
  <c r="AH158" i="4"/>
  <c r="AJ158" i="4" s="1"/>
  <c r="AA162" i="4"/>
  <c r="AC162" i="4" s="1"/>
  <c r="AA170" i="4"/>
  <c r="AC170" i="4" s="1"/>
  <c r="AN44" i="4"/>
  <c r="AA44" i="4"/>
  <c r="AB44" i="4" s="1"/>
  <c r="BB378" i="4"/>
  <c r="BC378" i="4" s="1"/>
  <c r="AW382" i="4"/>
  <c r="BB376" i="4"/>
  <c r="AA21" i="4"/>
  <c r="AB21" i="4" s="1"/>
  <c r="AA31" i="4"/>
  <c r="AB31" i="4" s="1"/>
  <c r="AV117" i="4"/>
  <c r="AW117" i="4" s="1"/>
  <c r="AX117" i="4" s="1"/>
  <c r="AA118" i="4"/>
  <c r="AB118" i="4" s="1"/>
  <c r="AA121" i="4"/>
  <c r="AB121" i="4" s="1"/>
  <c r="AA136" i="4"/>
  <c r="AB136" i="4" s="1"/>
  <c r="AV139" i="4"/>
  <c r="AW139" i="4" s="1"/>
  <c r="AV144" i="4"/>
  <c r="AW144" i="4" s="1"/>
  <c r="AX144" i="4" s="1"/>
  <c r="AA163" i="4"/>
  <c r="AB163" i="4" s="1"/>
  <c r="AA167" i="4"/>
  <c r="AB167" i="4" s="1"/>
  <c r="BB148" i="4"/>
  <c r="BC148" i="4" s="1"/>
  <c r="BF148" i="4" s="1"/>
  <c r="AA32" i="4"/>
  <c r="W70" i="4"/>
  <c r="AO70" i="4" s="1"/>
  <c r="AQ70" i="4" s="1"/>
  <c r="S70" i="4"/>
  <c r="BC371" i="4"/>
  <c r="AP77" i="4"/>
  <c r="AQ77" i="4"/>
  <c r="AP116" i="4"/>
  <c r="BF116" i="4" s="1"/>
  <c r="AQ116" i="4"/>
  <c r="AP23" i="4"/>
  <c r="AR23" i="4" s="1"/>
  <c r="AQ165" i="4"/>
  <c r="AR165" i="4" s="1"/>
  <c r="AC106" i="4"/>
  <c r="AD106" i="4" s="1"/>
  <c r="AC132" i="4"/>
  <c r="AD132" i="4" s="1"/>
  <c r="BE111" i="4"/>
  <c r="AJ135" i="4"/>
  <c r="AK135" i="4" s="1"/>
  <c r="AI44" i="4"/>
  <c r="AK44" i="4" s="1"/>
  <c r="AQ157" i="4"/>
  <c r="AR157" i="4" s="1"/>
  <c r="BE112" i="4"/>
  <c r="AD43" i="4"/>
  <c r="AJ83" i="4"/>
  <c r="AK83" i="4" s="1"/>
  <c r="AR148" i="4"/>
  <c r="AP25" i="4"/>
  <c r="AQ25" i="4"/>
  <c r="AB165" i="4"/>
  <c r="AC165" i="4"/>
  <c r="AQ130" i="4"/>
  <c r="AP130" i="4"/>
  <c r="AP162" i="4"/>
  <c r="BD62" i="4"/>
  <c r="AP75" i="4"/>
  <c r="AQ75" i="4"/>
  <c r="AJ23" i="4"/>
  <c r="AI23" i="4"/>
  <c r="AP54" i="4"/>
  <c r="BF54" i="4" s="1"/>
  <c r="AJ43" i="4"/>
  <c r="AK43" i="4" s="1"/>
  <c r="AI46" i="4"/>
  <c r="AJ46" i="4"/>
  <c r="AC74" i="4"/>
  <c r="AD74" i="4" s="1"/>
  <c r="AC22" i="4"/>
  <c r="AD22" i="4" s="1"/>
  <c r="AP169" i="4"/>
  <c r="AQ169" i="4"/>
  <c r="AQ84" i="4"/>
  <c r="AR84" i="4" s="1"/>
  <c r="AP73" i="4"/>
  <c r="AQ73" i="4"/>
  <c r="AB172" i="4"/>
  <c r="AC172" i="4"/>
  <c r="AJ108" i="4"/>
  <c r="AK108" i="4" s="1"/>
  <c r="AJ129" i="4"/>
  <c r="AK129" i="4" s="1"/>
  <c r="AC23" i="4"/>
  <c r="AD23" i="4" s="1"/>
  <c r="AC146" i="4"/>
  <c r="AD146" i="4" s="1"/>
  <c r="AI130" i="4"/>
  <c r="AJ130" i="4"/>
  <c r="AP83" i="4"/>
  <c r="BF83" i="4" s="1"/>
  <c r="AQ83" i="4"/>
  <c r="AC39" i="4"/>
  <c r="AD39" i="4" s="1"/>
  <c r="AP170" i="4"/>
  <c r="AQ170" i="4"/>
  <c r="AC59" i="4"/>
  <c r="AD59" i="4" s="1"/>
  <c r="AX114" i="4"/>
  <c r="AC112" i="4"/>
  <c r="AD112" i="4" s="1"/>
  <c r="AA16" i="4"/>
  <c r="AB16" i="4" s="1"/>
  <c r="AQ105" i="4"/>
  <c r="AR105" i="4" s="1"/>
  <c r="AQ42" i="4"/>
  <c r="AR42" i="4" s="1"/>
  <c r="AQ43" i="4"/>
  <c r="AR43" i="4" s="1"/>
  <c r="AQ108" i="4"/>
  <c r="AP108" i="4"/>
  <c r="AP132" i="4"/>
  <c r="AR132" i="4" s="1"/>
  <c r="AI109" i="4"/>
  <c r="AJ109" i="4"/>
  <c r="AI41" i="4"/>
  <c r="AJ41" i="4"/>
  <c r="AQ28" i="4"/>
  <c r="AR28" i="4" s="1"/>
  <c r="AQ71" i="4"/>
  <c r="AR71" i="4" s="1"/>
  <c r="AD88" i="4"/>
  <c r="AJ72" i="4"/>
  <c r="AK72" i="4" s="1"/>
  <c r="AQ173" i="4"/>
  <c r="AR173" i="4" s="1"/>
  <c r="AC171" i="4"/>
  <c r="AD171" i="4" s="1"/>
  <c r="AV25" i="4"/>
  <c r="AX140" i="4"/>
  <c r="AV115" i="4"/>
  <c r="AW115" i="4" s="1"/>
  <c r="AX115" i="4" s="1"/>
  <c r="AD80" i="4"/>
  <c r="AK51" i="4"/>
  <c r="AO85" i="4"/>
  <c r="BE134" i="4"/>
  <c r="AP46" i="4"/>
  <c r="AQ46" i="4"/>
  <c r="AP136" i="4"/>
  <c r="AQ136" i="4"/>
  <c r="AI128" i="4"/>
  <c r="AJ128" i="4"/>
  <c r="AJ132" i="4"/>
  <c r="AK132" i="4" s="1"/>
  <c r="AQ111" i="4"/>
  <c r="AP111" i="4"/>
  <c r="AI133" i="4"/>
  <c r="AJ133" i="4"/>
  <c r="AI42" i="4"/>
  <c r="AJ42" i="4"/>
  <c r="AQ109" i="4"/>
  <c r="AP109" i="4"/>
  <c r="AP106" i="4"/>
  <c r="AQ106" i="4"/>
  <c r="AI134" i="4"/>
  <c r="AJ134" i="4"/>
  <c r="AQ166" i="4"/>
  <c r="AP166" i="4"/>
  <c r="AP168" i="4"/>
  <c r="AQ168" i="4"/>
  <c r="AP20" i="4"/>
  <c r="AQ20" i="4"/>
  <c r="AJ20" i="4"/>
  <c r="AI20" i="4"/>
  <c r="AP107" i="4"/>
  <c r="AQ107" i="4"/>
  <c r="BE85" i="4"/>
  <c r="AJ22" i="4"/>
  <c r="AI22" i="4"/>
  <c r="AP135" i="4"/>
  <c r="AR135" i="4" s="1"/>
  <c r="AI106" i="4"/>
  <c r="AQ134" i="4"/>
  <c r="AP134" i="4"/>
  <c r="AQ41" i="4"/>
  <c r="AP41" i="4"/>
  <c r="AP39" i="4"/>
  <c r="AQ39" i="4"/>
  <c r="AR112" i="4"/>
  <c r="AQ21" i="4"/>
  <c r="AP21" i="4"/>
  <c r="AI112" i="4"/>
  <c r="AJ112" i="4"/>
  <c r="AP137" i="4"/>
  <c r="AQ137" i="4"/>
  <c r="AQ45" i="4"/>
  <c r="AP45" i="4"/>
  <c r="AP131" i="4"/>
  <c r="AQ131" i="4"/>
  <c r="AP76" i="4"/>
  <c r="AQ76" i="4"/>
  <c r="AQ128" i="4"/>
  <c r="AP128" i="4"/>
  <c r="AJ110" i="4"/>
  <c r="AI110" i="4"/>
  <c r="AQ22" i="4"/>
  <c r="AP22" i="4"/>
  <c r="AI111" i="4"/>
  <c r="AK111" i="4" s="1"/>
  <c r="AI45" i="4"/>
  <c r="AJ45" i="4"/>
  <c r="AI131" i="4"/>
  <c r="AJ131" i="4"/>
  <c r="AJ136" i="4"/>
  <c r="AI136" i="4"/>
  <c r="AP133" i="4"/>
  <c r="AQ133" i="4"/>
  <c r="BE26" i="4"/>
  <c r="AK31" i="4"/>
  <c r="AB78" i="4"/>
  <c r="AC78" i="4"/>
  <c r="AU28" i="4"/>
  <c r="AV28" i="4"/>
  <c r="AH28" i="4"/>
  <c r="S31" i="4"/>
  <c r="T31" i="4"/>
  <c r="AE79" i="4"/>
  <c r="AH79" i="4" s="1"/>
  <c r="U79" i="4"/>
  <c r="BB92" i="4"/>
  <c r="BC92" i="4" s="1"/>
  <c r="BE92" i="4" s="1"/>
  <c r="AA92" i="4"/>
  <c r="AG92" i="4"/>
  <c r="U72" i="4"/>
  <c r="T72" i="4"/>
  <c r="W72" i="4"/>
  <c r="AO72" i="4" s="1"/>
  <c r="S72" i="4"/>
  <c r="AN86" i="4"/>
  <c r="AO86" i="4"/>
  <c r="T87" i="4"/>
  <c r="U87" i="4"/>
  <c r="S87" i="4"/>
  <c r="AD148" i="4"/>
  <c r="AW147" i="4"/>
  <c r="AX147" i="4" s="1"/>
  <c r="AQ44" i="4"/>
  <c r="AR44" i="4" s="1"/>
  <c r="AX23" i="4"/>
  <c r="BE29" i="4"/>
  <c r="U31" i="4"/>
  <c r="S51" i="4"/>
  <c r="T79" i="4"/>
  <c r="AH92" i="4"/>
  <c r="AH86" i="4"/>
  <c r="AA28" i="4"/>
  <c r="BE39" i="4"/>
  <c r="BB28" i="4"/>
  <c r="BC28" i="4" s="1"/>
  <c r="BE28" i="4" s="1"/>
  <c r="BB86" i="4"/>
  <c r="BC86" i="4" s="1"/>
  <c r="BE86" i="4" s="1"/>
  <c r="DH427" i="4"/>
  <c r="DJ427" i="4" s="1"/>
  <c r="DG427" i="4"/>
  <c r="DI427" i="4" s="1"/>
  <c r="AG71" i="4"/>
  <c r="AA71" i="4"/>
  <c r="W51" i="4"/>
  <c r="AO51" i="4" s="1"/>
  <c r="W31" i="4"/>
  <c r="AP167" i="4"/>
  <c r="AQ167" i="4"/>
  <c r="W30" i="4"/>
  <c r="AO30" i="4" s="1"/>
  <c r="AW29" i="4"/>
  <c r="AX29" i="4" s="1"/>
  <c r="T51" i="4"/>
  <c r="AA86" i="4"/>
  <c r="AB29" i="4"/>
  <c r="AC164" i="4"/>
  <c r="U30" i="4"/>
  <c r="AP62" i="4"/>
  <c r="AQ62" i="4"/>
  <c r="AK172" i="4"/>
  <c r="BE163" i="4"/>
  <c r="DG409" i="4"/>
  <c r="DI409" i="4" s="1"/>
  <c r="DH409" i="4"/>
  <c r="DJ409" i="4" s="1"/>
  <c r="DG421" i="4"/>
  <c r="DI421" i="4" s="1"/>
  <c r="DH421" i="4"/>
  <c r="DJ421" i="4" s="1"/>
  <c r="BB60" i="4"/>
  <c r="AA60" i="4"/>
  <c r="AV60" i="4"/>
  <c r="Z60" i="4"/>
  <c r="AH60" i="4"/>
  <c r="AD54" i="4"/>
  <c r="AQ74" i="4"/>
  <c r="AP74" i="4"/>
  <c r="W79" i="4"/>
  <c r="AI27" i="4"/>
  <c r="T30" i="4"/>
  <c r="AI74" i="4"/>
  <c r="AJ74" i="4"/>
  <c r="AW62" i="4"/>
  <c r="AX62" i="4" s="1"/>
  <c r="AO60" i="4"/>
  <c r="AP32" i="4"/>
  <c r="AQ32" i="4"/>
  <c r="DG403" i="4"/>
  <c r="DI403" i="4" s="1"/>
  <c r="DH403" i="4"/>
  <c r="DJ403" i="4" s="1"/>
  <c r="DG413" i="4"/>
  <c r="DI413" i="4" s="1"/>
  <c r="DH413" i="4"/>
  <c r="DJ413" i="4" s="1"/>
  <c r="DH420" i="4"/>
  <c r="DJ420" i="4" s="1"/>
  <c r="DG420" i="4"/>
  <c r="DI420" i="4" s="1"/>
  <c r="DH423" i="4"/>
  <c r="DJ423" i="4" s="1"/>
  <c r="DG423" i="4"/>
  <c r="DI423" i="4" s="1"/>
  <c r="DH428" i="4"/>
  <c r="DJ428" i="4" s="1"/>
  <c r="DG428" i="4"/>
  <c r="DI428" i="4" s="1"/>
  <c r="DJ430" i="4"/>
  <c r="DH431" i="4"/>
  <c r="DJ431" i="4" s="1"/>
  <c r="DG431" i="4"/>
  <c r="DI431" i="4" s="1"/>
  <c r="T25" i="4"/>
  <c r="U25" i="4"/>
  <c r="AN79" i="4"/>
  <c r="AG79" i="4"/>
  <c r="AO79" i="4"/>
  <c r="AA79" i="4"/>
  <c r="AN87" i="4"/>
  <c r="AO87" i="4"/>
  <c r="AA87" i="4"/>
  <c r="AH87" i="4"/>
  <c r="T88" i="4"/>
  <c r="S88" i="4"/>
  <c r="DG405" i="4"/>
  <c r="DI405" i="4" s="1"/>
  <c r="DH405" i="4"/>
  <c r="DJ405" i="4" s="1"/>
  <c r="DG419" i="4"/>
  <c r="DI419" i="4" s="1"/>
  <c r="DH419" i="4"/>
  <c r="DJ419" i="4" s="1"/>
  <c r="U28" i="4"/>
  <c r="T28" i="4"/>
  <c r="S28" i="4"/>
  <c r="AK146" i="4"/>
  <c r="BF146" i="4"/>
  <c r="AB84" i="4"/>
  <c r="AC84" i="4"/>
  <c r="U158" i="4"/>
  <c r="T158" i="4"/>
  <c r="W158" i="4"/>
  <c r="AO158" i="4" s="1"/>
  <c r="S158" i="4"/>
  <c r="AW59" i="4"/>
  <c r="AX59" i="4" s="1"/>
  <c r="AK164" i="4"/>
  <c r="BB168" i="4"/>
  <c r="BC168" i="4" s="1"/>
  <c r="BE168" i="4" s="1"/>
  <c r="DG411" i="4"/>
  <c r="DI411" i="4" s="1"/>
  <c r="DH411" i="4"/>
  <c r="DJ411" i="4" s="1"/>
  <c r="DG425" i="4"/>
  <c r="DI425" i="4" s="1"/>
  <c r="DH425" i="4"/>
  <c r="DJ425" i="4" s="1"/>
  <c r="S39" i="4"/>
  <c r="U39" i="4"/>
  <c r="S43" i="4"/>
  <c r="U43" i="4"/>
  <c r="T46" i="4"/>
  <c r="U46" i="4"/>
  <c r="AI163" i="4"/>
  <c r="AJ163" i="4"/>
  <c r="T167" i="4"/>
  <c r="S167" i="4"/>
  <c r="Z169" i="4"/>
  <c r="AA169" i="4"/>
  <c r="U164" i="4"/>
  <c r="T164" i="4"/>
  <c r="S164" i="4"/>
  <c r="W164" i="4"/>
  <c r="AO164" i="4" s="1"/>
  <c r="BB166" i="4"/>
  <c r="BC166" i="4" s="1"/>
  <c r="BE166" i="4" s="1"/>
  <c r="AA166" i="4"/>
  <c r="T170" i="4"/>
  <c r="S170" i="4"/>
  <c r="U172" i="4"/>
  <c r="S172" i="4"/>
  <c r="W172" i="4"/>
  <c r="AO172" i="4" s="1"/>
  <c r="AI173" i="4"/>
  <c r="AJ173" i="4"/>
  <c r="AI147" i="4"/>
  <c r="AU51" i="4"/>
  <c r="BB51" i="4"/>
  <c r="BC51" i="4" s="1"/>
  <c r="BE51" i="4" s="1"/>
  <c r="U83" i="4"/>
  <c r="S83" i="4"/>
  <c r="Z88" i="4"/>
  <c r="AO88" i="4"/>
  <c r="AH88" i="4"/>
  <c r="U171" i="4"/>
  <c r="S171" i="4"/>
  <c r="AK148" i="4"/>
  <c r="AQ139" i="4"/>
  <c r="AQ120" i="4"/>
  <c r="AP120" i="4"/>
  <c r="BK361" i="4"/>
  <c r="BB372" i="4"/>
  <c r="BA372" i="4"/>
  <c r="AV382" i="4"/>
  <c r="AV381" i="4"/>
  <c r="AI144" i="4"/>
  <c r="BE140" i="4"/>
  <c r="AQ119" i="4"/>
  <c r="AP119" i="4"/>
  <c r="AK115" i="4"/>
  <c r="BE114" i="4"/>
  <c r="AD105" i="4"/>
  <c r="BB107" i="4"/>
  <c r="AG107" i="4"/>
  <c r="AA107" i="4"/>
  <c r="AN107" i="4"/>
  <c r="AV107" i="4"/>
  <c r="AB108" i="4"/>
  <c r="BB110" i="4"/>
  <c r="AG110" i="4"/>
  <c r="AA110" i="4"/>
  <c r="AN110" i="4"/>
  <c r="S111" i="4"/>
  <c r="T111" i="4"/>
  <c r="W111" i="4"/>
  <c r="U111" i="4"/>
  <c r="BC129" i="4"/>
  <c r="BB130" i="4"/>
  <c r="AG130" i="4"/>
  <c r="AA130" i="4"/>
  <c r="AN130" i="4"/>
  <c r="AV130" i="4"/>
  <c r="BC131" i="4"/>
  <c r="BD131" i="4"/>
  <c r="BC132" i="4"/>
  <c r="BD132" i="4"/>
  <c r="BC133" i="4"/>
  <c r="BD133" i="4"/>
  <c r="AB134" i="4"/>
  <c r="AC134" i="4"/>
  <c r="W137" i="4"/>
  <c r="T137" i="4"/>
  <c r="S137" i="4"/>
  <c r="U137" i="4"/>
  <c r="BD145" i="4"/>
  <c r="BC145" i="4"/>
  <c r="BC147" i="4"/>
  <c r="BD147" i="4"/>
  <c r="AJ157" i="4"/>
  <c r="AK157" i="4" s="1"/>
  <c r="BD22" i="4"/>
  <c r="BE22" i="4" s="1"/>
  <c r="AA25" i="4"/>
  <c r="S163" i="4"/>
  <c r="AV51" i="4"/>
  <c r="DJ412" i="4"/>
  <c r="DK437" i="4"/>
  <c r="AU25" i="4"/>
  <c r="AV40" i="4"/>
  <c r="AA40" i="4"/>
  <c r="AV42" i="4"/>
  <c r="AA42" i="4"/>
  <c r="AV45" i="4"/>
  <c r="AA45" i="4"/>
  <c r="AU56" i="4"/>
  <c r="BB56" i="4"/>
  <c r="BC56" i="4" s="1"/>
  <c r="BE56" i="4" s="1"/>
  <c r="AO78" i="4"/>
  <c r="T86" i="4"/>
  <c r="S86" i="4"/>
  <c r="U166" i="4"/>
  <c r="T166" i="4"/>
  <c r="AW128" i="4"/>
  <c r="AX128" i="4" s="1"/>
  <c r="AJ143" i="4"/>
  <c r="AK143" i="4" s="1"/>
  <c r="AC142" i="4"/>
  <c r="AB142" i="4"/>
  <c r="AI141" i="4"/>
  <c r="AJ141" i="4"/>
  <c r="AX136" i="4"/>
  <c r="AW134" i="4"/>
  <c r="AX134" i="4" s="1"/>
  <c r="AV110" i="4"/>
  <c r="AW148" i="4"/>
  <c r="AX148" i="4" s="1"/>
  <c r="AP142" i="4"/>
  <c r="AQ142" i="4"/>
  <c r="AI139" i="4"/>
  <c r="AJ139" i="4"/>
  <c r="AI119" i="4"/>
  <c r="AJ119" i="4"/>
  <c r="AD120" i="4"/>
  <c r="BC121" i="4"/>
  <c r="BD121" i="4"/>
  <c r="BC106" i="4"/>
  <c r="BD106" i="4"/>
  <c r="BE109" i="4"/>
  <c r="U136" i="4"/>
  <c r="W136" i="4"/>
  <c r="T136" i="4"/>
  <c r="S156" i="4"/>
  <c r="U156" i="4"/>
  <c r="W156" i="4"/>
  <c r="AO156" i="4" s="1"/>
  <c r="S136" i="4"/>
  <c r="AW116" i="4"/>
  <c r="AX116" i="4" s="1"/>
  <c r="AI114" i="4"/>
  <c r="AJ114" i="4"/>
  <c r="BD128" i="4"/>
  <c r="BE128" i="4" s="1"/>
  <c r="AX119" i="4"/>
  <c r="AX146" i="4"/>
  <c r="AB135" i="4"/>
  <c r="AX106" i="4"/>
  <c r="AP70" i="4"/>
  <c r="BK362" i="4"/>
  <c r="BK363" i="4"/>
  <c r="BB373" i="4"/>
  <c r="BA373" i="4"/>
  <c r="BK366" i="4"/>
  <c r="BA377" i="4"/>
  <c r="BB377" i="4"/>
  <c r="AP118" i="4"/>
  <c r="AQ118" i="4"/>
  <c r="AX143" i="4"/>
  <c r="AW145" i="4"/>
  <c r="AX145" i="4" s="1"/>
  <c r="BB141" i="4"/>
  <c r="BC141" i="4" s="1"/>
  <c r="BE141" i="4" s="1"/>
  <c r="AV141" i="4"/>
  <c r="D16" i="8"/>
  <c r="D38" i="8"/>
  <c r="X38" i="8"/>
  <c r="AA38" i="8" s="1"/>
  <c r="BB143" i="4"/>
  <c r="AO143" i="4"/>
  <c r="AG70" i="4"/>
  <c r="AH70" i="4"/>
  <c r="AA70" i="4"/>
  <c r="AB52" i="4"/>
  <c r="AD52" i="4" s="1"/>
  <c r="BA375" i="4"/>
  <c r="BK368" i="4"/>
  <c r="BB379" i="4"/>
  <c r="BA379" i="4"/>
  <c r="AX382" i="4"/>
  <c r="AW44" i="4"/>
  <c r="AX44" i="4" s="1"/>
  <c r="U44" i="4"/>
  <c r="T44" i="4"/>
  <c r="W44" i="4"/>
  <c r="S44" i="4"/>
  <c r="BA374" i="4"/>
  <c r="BB374" i="4"/>
  <c r="AW381" i="4"/>
  <c r="BA380" i="4"/>
  <c r="BB380" i="4"/>
  <c r="BA376" i="4"/>
  <c r="BC376" i="4" s="1"/>
  <c r="AY382" i="4"/>
  <c r="AY381" i="4"/>
  <c r="AX109" i="4"/>
  <c r="U157" i="4"/>
  <c r="BB158" i="4"/>
  <c r="BC158" i="4" s="1"/>
  <c r="BE158" i="4" s="1"/>
  <c r="AG44" i="4"/>
  <c r="W84" i="4"/>
  <c r="AA158" i="4"/>
  <c r="AH91" i="4"/>
  <c r="T16" i="4"/>
  <c r="W16" i="4" s="1"/>
  <c r="R91" i="4"/>
  <c r="Q48" i="4"/>
  <c r="AV48" i="4" s="1"/>
  <c r="Q98" i="4"/>
  <c r="BB98" i="4" s="1"/>
  <c r="BC98" i="4" s="1"/>
  <c r="T19" i="4"/>
  <c r="BB18" i="4"/>
  <c r="BD18" i="4" s="1"/>
  <c r="AA19" i="4"/>
  <c r="Q17" i="8"/>
  <c r="Z17" i="8" s="1"/>
  <c r="U19" i="4"/>
  <c r="AH19" i="4"/>
  <c r="AI19" i="4" s="1"/>
  <c r="Z19" i="4"/>
  <c r="S55" i="4"/>
  <c r="T57" i="4"/>
  <c r="U57" i="4"/>
  <c r="S57" i="4"/>
  <c r="W57" i="4"/>
  <c r="W58" i="4"/>
  <c r="AO58" i="4" s="1"/>
  <c r="AQ58" i="4" s="1"/>
  <c r="T58" i="4"/>
  <c r="Q57" i="4"/>
  <c r="AO16" i="4"/>
  <c r="AP16" i="4" s="1"/>
  <c r="AN16" i="4"/>
  <c r="Z16" i="4"/>
  <c r="AI55" i="4"/>
  <c r="AJ55" i="4"/>
  <c r="AG69" i="4"/>
  <c r="AA69" i="4"/>
  <c r="BB69" i="4"/>
  <c r="BC69" i="4" s="1"/>
  <c r="Z31" i="8"/>
  <c r="U52" i="4"/>
  <c r="W52" i="4"/>
  <c r="S52" i="4"/>
  <c r="T52" i="4"/>
  <c r="U53" i="4"/>
  <c r="T53" i="4"/>
  <c r="S53" i="4"/>
  <c r="R47" i="4"/>
  <c r="Q47" i="4"/>
  <c r="R49" i="4"/>
  <c r="Q49" i="4"/>
  <c r="S69" i="4"/>
  <c r="U69" i="4"/>
  <c r="T69" i="4"/>
  <c r="Q155" i="4"/>
  <c r="R155" i="4"/>
  <c r="R31" i="8"/>
  <c r="BB19" i="4"/>
  <c r="BC19" i="4" s="1"/>
  <c r="AV16" i="4"/>
  <c r="AW16" i="4" s="1"/>
  <c r="AH16" i="4"/>
  <c r="AI16" i="4" s="1"/>
  <c r="R16" i="8"/>
  <c r="T16" i="8" s="1"/>
  <c r="R48" i="4"/>
  <c r="AU58" i="4"/>
  <c r="AH58" i="4"/>
  <c r="BB58" i="4"/>
  <c r="BC58" i="4" s="1"/>
  <c r="BE58" i="4" s="1"/>
  <c r="AA58" i="4"/>
  <c r="AV58" i="4"/>
  <c r="AJ52" i="4"/>
  <c r="AI52" i="4"/>
  <c r="AU55" i="4"/>
  <c r="AV55" i="4"/>
  <c r="BB55" i="4"/>
  <c r="BC55" i="4" s="1"/>
  <c r="AA55" i="4"/>
  <c r="R98" i="4"/>
  <c r="AH69" i="4"/>
  <c r="AJ155" i="4"/>
  <c r="AK155" i="4" s="1"/>
  <c r="AQ53" i="4"/>
  <c r="AR53" i="4" s="1"/>
  <c r="BG175" i="4"/>
  <c r="AC175" i="4" s="1"/>
  <c r="AB175" i="4"/>
  <c r="R17" i="8"/>
  <c r="T17" i="8" s="1"/>
  <c r="AV19" i="4"/>
  <c r="AW19" i="4" s="1"/>
  <c r="AA18" i="4"/>
  <c r="Q16" i="8"/>
  <c r="AN18" i="4"/>
  <c r="U18" i="4"/>
  <c r="AH18" i="4"/>
  <c r="AI18" i="4" s="1"/>
  <c r="AG18" i="4"/>
  <c r="S18" i="4"/>
  <c r="AW18" i="4"/>
  <c r="AX18" i="4" s="1"/>
  <c r="AO18" i="4"/>
  <c r="Z18" i="4"/>
  <c r="BC18" i="4"/>
  <c r="T17" i="4"/>
  <c r="U17" i="4"/>
  <c r="AO17" i="4"/>
  <c r="AG17" i="4"/>
  <c r="AH17" i="4"/>
  <c r="AV17" i="4"/>
  <c r="AN17" i="4"/>
  <c r="BB17" i="4"/>
  <c r="Z17" i="4"/>
  <c r="AG16" i="4"/>
  <c r="BB16" i="4"/>
  <c r="AD26" i="8" l="1"/>
  <c r="AE26" i="8"/>
  <c r="AI26" i="4"/>
  <c r="AK26" i="4" s="1"/>
  <c r="AJ26" i="4"/>
  <c r="AW384" i="4"/>
  <c r="AJ71" i="4"/>
  <c r="AA91" i="4"/>
  <c r="BB91" i="4"/>
  <c r="BC91" i="4" s="1"/>
  <c r="BE91" i="4" s="1"/>
  <c r="AB53" i="4"/>
  <c r="AG91" i="4"/>
  <c r="AQ144" i="4"/>
  <c r="AR144" i="4" s="1"/>
  <c r="AP26" i="4"/>
  <c r="AR26" i="4" s="1"/>
  <c r="AP114" i="4"/>
  <c r="AP92" i="4"/>
  <c r="AC156" i="4"/>
  <c r="AD156" i="4" s="1"/>
  <c r="AC168" i="4"/>
  <c r="AD168" i="4" s="1"/>
  <c r="AZ384" i="4"/>
  <c r="AB32" i="8"/>
  <c r="AC133" i="4"/>
  <c r="AD133" i="4" s="1"/>
  <c r="BC32" i="4"/>
  <c r="BD32" i="4"/>
  <c r="AI29" i="4"/>
  <c r="AJ29" i="4"/>
  <c r="AK29" i="4" s="1"/>
  <c r="BC375" i="4"/>
  <c r="AX384" i="4"/>
  <c r="AC137" i="4"/>
  <c r="AD137" i="4" s="1"/>
  <c r="BC42" i="4"/>
  <c r="BE42" i="4" s="1"/>
  <c r="BD42" i="4"/>
  <c r="AQ115" i="4"/>
  <c r="AR115" i="4" s="1"/>
  <c r="AK25" i="4"/>
  <c r="BF140" i="4"/>
  <c r="BG140" i="4" s="1"/>
  <c r="BH140" i="4" s="1"/>
  <c r="AB29" i="8"/>
  <c r="AE29" i="8" s="1"/>
  <c r="AG29" i="8" s="1"/>
  <c r="BE21" i="4"/>
  <c r="AP55" i="4"/>
  <c r="AR55" i="4" s="1"/>
  <c r="AH98" i="4"/>
  <c r="AJ98" i="4" s="1"/>
  <c r="AJ99" i="4" s="1"/>
  <c r="AW53" i="4"/>
  <c r="AX53" i="4" s="1"/>
  <c r="Z48" i="4"/>
  <c r="AI53" i="4"/>
  <c r="BF53" i="4" s="1"/>
  <c r="AJ53" i="4"/>
  <c r="BB48" i="4"/>
  <c r="BC48" i="4" s="1"/>
  <c r="AG48" i="4"/>
  <c r="BF61" i="4"/>
  <c r="BG61" i="4" s="1"/>
  <c r="BH61" i="4" s="1"/>
  <c r="AI107" i="4"/>
  <c r="AK107" i="4" s="1"/>
  <c r="AI75" i="4"/>
  <c r="AC44" i="4"/>
  <c r="AD44" i="4" s="1"/>
  <c r="AC167" i="4"/>
  <c r="AD167" i="4" s="1"/>
  <c r="AB170" i="4"/>
  <c r="BF170" i="4" s="1"/>
  <c r="AI77" i="4"/>
  <c r="AK77" i="4" s="1"/>
  <c r="BD148" i="4"/>
  <c r="BE148" i="4" s="1"/>
  <c r="AC111" i="4"/>
  <c r="AD111" i="4" s="1"/>
  <c r="AK41" i="4"/>
  <c r="AQ129" i="4"/>
  <c r="AR129" i="4" s="1"/>
  <c r="AC72" i="4"/>
  <c r="AD72" i="4" s="1"/>
  <c r="AC145" i="4"/>
  <c r="AD145" i="4" s="1"/>
  <c r="AB143" i="4"/>
  <c r="AD143" i="4" s="1"/>
  <c r="BF44" i="4"/>
  <c r="BG44" i="4" s="1"/>
  <c r="BE62" i="4"/>
  <c r="AC118" i="4"/>
  <c r="AD118" i="4" s="1"/>
  <c r="AB122" i="4"/>
  <c r="AC122" i="4" s="1"/>
  <c r="AD122" i="4" s="1"/>
  <c r="BE40" i="4"/>
  <c r="BF46" i="4"/>
  <c r="BG46" i="4" s="1"/>
  <c r="BH46" i="4" s="1"/>
  <c r="AI158" i="4"/>
  <c r="AI159" i="4" s="1"/>
  <c r="AJ159" i="4" s="1"/>
  <c r="AK159" i="4" s="1"/>
  <c r="AB18" i="8"/>
  <c r="AC18" i="8"/>
  <c r="AF18" i="8" s="1"/>
  <c r="AP58" i="4"/>
  <c r="BC377" i="4"/>
  <c r="AD114" i="4"/>
  <c r="AJ80" i="4"/>
  <c r="AK80" i="4" s="1"/>
  <c r="AQ171" i="4"/>
  <c r="AK42" i="4"/>
  <c r="AK105" i="4"/>
  <c r="AQ110" i="4"/>
  <c r="AR110" i="4" s="1"/>
  <c r="AR116" i="4"/>
  <c r="AC163" i="4"/>
  <c r="AD163" i="4" s="1"/>
  <c r="AG26" i="8"/>
  <c r="AC25" i="8"/>
  <c r="AF25" i="8" s="1"/>
  <c r="AB25" i="8"/>
  <c r="W19" i="4"/>
  <c r="AQ19" i="4" s="1"/>
  <c r="AR19" i="4" s="1"/>
  <c r="BC380" i="4"/>
  <c r="AR25" i="4"/>
  <c r="BE18" i="4"/>
  <c r="AC31" i="4"/>
  <c r="BF109" i="4"/>
  <c r="BG109" i="4" s="1"/>
  <c r="BH109" i="4" s="1"/>
  <c r="AC136" i="4"/>
  <c r="AD136" i="4" s="1"/>
  <c r="AK109" i="4"/>
  <c r="AQ56" i="4"/>
  <c r="AR56" i="4" s="1"/>
  <c r="BE46" i="4"/>
  <c r="AK21" i="4"/>
  <c r="AC27" i="8"/>
  <c r="AF27" i="8" s="1"/>
  <c r="AB27" i="8"/>
  <c r="BC373" i="4"/>
  <c r="BF139" i="4"/>
  <c r="BG139" i="4" s="1"/>
  <c r="BH139" i="4" s="1"/>
  <c r="AB173" i="4"/>
  <c r="AD173" i="4" s="1"/>
  <c r="AB162" i="4"/>
  <c r="AD162" i="4" s="1"/>
  <c r="AB20" i="4"/>
  <c r="AD20" i="4" s="1"/>
  <c r="AC121" i="4"/>
  <c r="AD121" i="4" s="1"/>
  <c r="AJ118" i="4"/>
  <c r="AI118" i="4"/>
  <c r="AC30" i="8"/>
  <c r="AF30" i="8" s="1"/>
  <c r="AB30" i="8"/>
  <c r="AK32" i="4"/>
  <c r="AI30" i="4"/>
  <c r="AJ30" i="4"/>
  <c r="AD56" i="4"/>
  <c r="AE32" i="8"/>
  <c r="AG32" i="8" s="1"/>
  <c r="AD32" i="8"/>
  <c r="AD29" i="8"/>
  <c r="AK56" i="4"/>
  <c r="BE41" i="4"/>
  <c r="AK61" i="4"/>
  <c r="BC372" i="4"/>
  <c r="AR21" i="4"/>
  <c r="BF41" i="4"/>
  <c r="BG41" i="4" s="1"/>
  <c r="BH41" i="4" s="1"/>
  <c r="AB147" i="4"/>
  <c r="AD147" i="4" s="1"/>
  <c r="AB28" i="8"/>
  <c r="AC28" i="8"/>
  <c r="AF28" i="8" s="1"/>
  <c r="AB129" i="4"/>
  <c r="AC129" i="4"/>
  <c r="AD140" i="4"/>
  <c r="AI76" i="4"/>
  <c r="AJ76" i="4"/>
  <c r="AC73" i="4"/>
  <c r="AB73" i="4"/>
  <c r="AP31" i="4"/>
  <c r="AQ31" i="4"/>
  <c r="AC30" i="4"/>
  <c r="AB30" i="4"/>
  <c r="AK73" i="4"/>
  <c r="AP80" i="4"/>
  <c r="BF80" i="4" s="1"/>
  <c r="BG80" i="4" s="1"/>
  <c r="BH80" i="4" s="1"/>
  <c r="AQ80" i="4"/>
  <c r="AQ121" i="4"/>
  <c r="AP121" i="4"/>
  <c r="AC19" i="8"/>
  <c r="AF19" i="8" s="1"/>
  <c r="AB19" i="8"/>
  <c r="AJ121" i="4"/>
  <c r="AI121" i="4"/>
  <c r="AQ147" i="4"/>
  <c r="AP147" i="4"/>
  <c r="AC157" i="4"/>
  <c r="AB157" i="4"/>
  <c r="AB75" i="4"/>
  <c r="AC75" i="4"/>
  <c r="AQ27" i="4"/>
  <c r="AP27" i="4"/>
  <c r="BF27" i="4" s="1"/>
  <c r="AB77" i="4"/>
  <c r="AC77" i="4"/>
  <c r="AB76" i="4"/>
  <c r="AC76" i="4"/>
  <c r="BC31" i="4"/>
  <c r="BC33" i="4" s="1"/>
  <c r="BD31" i="4"/>
  <c r="BC174" i="4"/>
  <c r="BD174" i="4" s="1"/>
  <c r="BE174" i="4" s="1"/>
  <c r="AR107" i="4"/>
  <c r="AR20" i="4"/>
  <c r="AX139" i="4"/>
  <c r="AR130" i="4"/>
  <c r="AC21" i="4"/>
  <c r="AD21" i="4" s="1"/>
  <c r="AR77" i="4"/>
  <c r="AC32" i="4"/>
  <c r="AB32" i="4"/>
  <c r="BF32" i="4" s="1"/>
  <c r="BD118" i="4"/>
  <c r="BC118" i="4"/>
  <c r="AI117" i="4"/>
  <c r="BF117" i="4" s="1"/>
  <c r="AJ117" i="4"/>
  <c r="BC136" i="4"/>
  <c r="BD136" i="4"/>
  <c r="AQ59" i="4"/>
  <c r="AP59" i="4"/>
  <c r="BG54" i="4"/>
  <c r="BH54" i="4" s="1"/>
  <c r="AQ16" i="4"/>
  <c r="AR16" i="4" s="1"/>
  <c r="BF114" i="4"/>
  <c r="AR142" i="4"/>
  <c r="BF115" i="4"/>
  <c r="BH105" i="4"/>
  <c r="AR170" i="4"/>
  <c r="AR169" i="4"/>
  <c r="AK46" i="4"/>
  <c r="AR54" i="4"/>
  <c r="AD165" i="4"/>
  <c r="AR133" i="4"/>
  <c r="AK45" i="4"/>
  <c r="AR22" i="4"/>
  <c r="AK110" i="4"/>
  <c r="AK134" i="4"/>
  <c r="AK130" i="4"/>
  <c r="AD172" i="4"/>
  <c r="AK141" i="4"/>
  <c r="BE133" i="4"/>
  <c r="BE131" i="4"/>
  <c r="AR76" i="4"/>
  <c r="AR45" i="4"/>
  <c r="AQ85" i="4"/>
  <c r="AP85" i="4"/>
  <c r="BF85" i="4" s="1"/>
  <c r="BG85" i="4" s="1"/>
  <c r="BH85" i="4" s="1"/>
  <c r="AW25" i="4"/>
  <c r="AX25" i="4" s="1"/>
  <c r="AV122" i="4"/>
  <c r="AR83" i="4"/>
  <c r="AR75" i="4"/>
  <c r="BG83" i="4"/>
  <c r="BH83" i="4" s="1"/>
  <c r="AC16" i="4"/>
  <c r="AD16" i="4" s="1"/>
  <c r="BF165" i="4"/>
  <c r="BG165" i="4" s="1"/>
  <c r="BH165" i="4" s="1"/>
  <c r="BG170" i="4"/>
  <c r="BH170" i="4" s="1"/>
  <c r="AR73" i="4"/>
  <c r="BF23" i="4"/>
  <c r="AK23" i="4"/>
  <c r="AR120" i="4"/>
  <c r="AR134" i="4"/>
  <c r="AR166" i="4"/>
  <c r="AR109" i="4"/>
  <c r="AR108" i="4"/>
  <c r="AR162" i="4"/>
  <c r="AC38" i="8"/>
  <c r="AF38" i="8" s="1"/>
  <c r="AB38" i="8"/>
  <c r="AW141" i="4"/>
  <c r="AX141" i="4" s="1"/>
  <c r="AV149" i="4"/>
  <c r="AR139" i="4"/>
  <c r="AB87" i="4"/>
  <c r="AC87" i="4"/>
  <c r="AP51" i="4"/>
  <c r="AQ51" i="4"/>
  <c r="AP72" i="4"/>
  <c r="AQ72" i="4"/>
  <c r="AC92" i="4"/>
  <c r="AB92" i="4"/>
  <c r="AJ28" i="4"/>
  <c r="AI28" i="4"/>
  <c r="AD78" i="4"/>
  <c r="BF22" i="4"/>
  <c r="AK22" i="4"/>
  <c r="AR168" i="4"/>
  <c r="BF168" i="4"/>
  <c r="AA98" i="4"/>
  <c r="AN48" i="4"/>
  <c r="BC374" i="4"/>
  <c r="AR118" i="4"/>
  <c r="AD135" i="4"/>
  <c r="BF135" i="4"/>
  <c r="BF141" i="4"/>
  <c r="BF111" i="4"/>
  <c r="BF142" i="4"/>
  <c r="AD142" i="4"/>
  <c r="AB149" i="4"/>
  <c r="AB42" i="4"/>
  <c r="AC42" i="4"/>
  <c r="AW130" i="4"/>
  <c r="AX130" i="4" s="1"/>
  <c r="BD130" i="4"/>
  <c r="BC130" i="4"/>
  <c r="AC110" i="4"/>
  <c r="AB110" i="4"/>
  <c r="AD108" i="4"/>
  <c r="BF108" i="4"/>
  <c r="AV138" i="4"/>
  <c r="AP88" i="4"/>
  <c r="AQ88" i="4"/>
  <c r="AB169" i="4"/>
  <c r="AC169" i="4"/>
  <c r="AQ87" i="4"/>
  <c r="AP87" i="4"/>
  <c r="AR32" i="4"/>
  <c r="BF56" i="4"/>
  <c r="BF167" i="4"/>
  <c r="AP86" i="4"/>
  <c r="AQ86" i="4"/>
  <c r="AV33" i="4"/>
  <c r="AW28" i="4"/>
  <c r="AX28" i="4" s="1"/>
  <c r="AK131" i="4"/>
  <c r="BF131" i="4"/>
  <c r="AR131" i="4"/>
  <c r="AR137" i="4"/>
  <c r="AR39" i="4"/>
  <c r="BF39" i="4"/>
  <c r="AK20" i="4"/>
  <c r="AR136" i="4"/>
  <c r="AR46" i="4"/>
  <c r="AJ70" i="4"/>
  <c r="AI70" i="4"/>
  <c r="BE106" i="4"/>
  <c r="AI149" i="4"/>
  <c r="AK139" i="4"/>
  <c r="AQ78" i="4"/>
  <c r="AP78" i="4"/>
  <c r="AW45" i="4"/>
  <c r="AX45" i="4" s="1"/>
  <c r="AW40" i="4"/>
  <c r="AX40" i="4" s="1"/>
  <c r="AW51" i="4"/>
  <c r="AX51" i="4" s="1"/>
  <c r="AC107" i="4"/>
  <c r="AB107" i="4"/>
  <c r="AK144" i="4"/>
  <c r="BF144" i="4"/>
  <c r="AI88" i="4"/>
  <c r="AJ88" i="4"/>
  <c r="AB166" i="4"/>
  <c r="AC166" i="4"/>
  <c r="BG146" i="4"/>
  <c r="BH146" i="4" s="1"/>
  <c r="AP79" i="4"/>
  <c r="AQ79" i="4"/>
  <c r="AI60" i="4"/>
  <c r="AJ60" i="4"/>
  <c r="BC60" i="4"/>
  <c r="BD60" i="4"/>
  <c r="AC86" i="4"/>
  <c r="AB86" i="4"/>
  <c r="AP30" i="4"/>
  <c r="AQ30" i="4"/>
  <c r="AI92" i="4"/>
  <c r="AJ92" i="4"/>
  <c r="AP122" i="4"/>
  <c r="AR114" i="4"/>
  <c r="AX16" i="4"/>
  <c r="AH48" i="4"/>
  <c r="AI48" i="4" s="1"/>
  <c r="Z98" i="4"/>
  <c r="W69" i="4"/>
  <c r="AO69" i="4" s="1"/>
  <c r="AP69" i="4" s="1"/>
  <c r="AA48" i="4"/>
  <c r="AB48" i="4" s="1"/>
  <c r="AY384" i="4"/>
  <c r="BC379" i="4"/>
  <c r="AP143" i="4"/>
  <c r="AQ143" i="4"/>
  <c r="AR70" i="4"/>
  <c r="BG116" i="4"/>
  <c r="BH116" i="4" s="1"/>
  <c r="AQ156" i="4"/>
  <c r="AP156" i="4"/>
  <c r="BE121" i="4"/>
  <c r="BF119" i="4"/>
  <c r="AK119" i="4"/>
  <c r="AW110" i="4"/>
  <c r="AX110" i="4" s="1"/>
  <c r="AW42" i="4"/>
  <c r="AX42" i="4" s="1"/>
  <c r="AB25" i="4"/>
  <c r="AC25" i="4"/>
  <c r="BE147" i="4"/>
  <c r="AD134" i="4"/>
  <c r="BF134" i="4"/>
  <c r="BE132" i="4"/>
  <c r="BE129" i="4"/>
  <c r="AW107" i="4"/>
  <c r="AX107" i="4" s="1"/>
  <c r="AV113" i="4"/>
  <c r="BC107" i="4"/>
  <c r="BD107" i="4"/>
  <c r="AR119" i="4"/>
  <c r="AV384" i="4"/>
  <c r="AK173" i="4"/>
  <c r="AP164" i="4"/>
  <c r="BF164" i="4" s="1"/>
  <c r="AQ164" i="4"/>
  <c r="AK163" i="4"/>
  <c r="AI174" i="4"/>
  <c r="BF163" i="4"/>
  <c r="AQ60" i="4"/>
  <c r="AP60" i="4"/>
  <c r="AW60" i="4"/>
  <c r="AX60" i="4" s="1"/>
  <c r="AR167" i="4"/>
  <c r="AK71" i="4"/>
  <c r="AC28" i="4"/>
  <c r="AB28" i="4"/>
  <c r="BG148" i="4"/>
  <c r="BH148" i="4" s="1"/>
  <c r="BF136" i="4"/>
  <c r="AK136" i="4"/>
  <c r="BF137" i="4"/>
  <c r="AR41" i="4"/>
  <c r="AK106" i="4"/>
  <c r="BF106" i="4"/>
  <c r="BF21" i="4"/>
  <c r="AR92" i="4"/>
  <c r="AR106" i="4"/>
  <c r="BF132" i="4"/>
  <c r="AO48" i="4"/>
  <c r="AP48" i="4" s="1"/>
  <c r="AC158" i="4"/>
  <c r="AB158" i="4"/>
  <c r="AB70" i="4"/>
  <c r="AC70" i="4"/>
  <c r="BC143" i="4"/>
  <c r="BC149" i="4" s="1"/>
  <c r="BD143" i="4"/>
  <c r="AK114" i="4"/>
  <c r="BF120" i="4"/>
  <c r="AI78" i="4"/>
  <c r="AJ78" i="4"/>
  <c r="AC45" i="4"/>
  <c r="AB45" i="4"/>
  <c r="AB40" i="4"/>
  <c r="AC40" i="4"/>
  <c r="BE145" i="4"/>
  <c r="BF145" i="4"/>
  <c r="AB130" i="4"/>
  <c r="AC130" i="4"/>
  <c r="BC110" i="4"/>
  <c r="BD110" i="4"/>
  <c r="BG115" i="4"/>
  <c r="BH115" i="4" s="1"/>
  <c r="AK147" i="4"/>
  <c r="AQ172" i="4"/>
  <c r="AP172" i="4"/>
  <c r="AQ158" i="4"/>
  <c r="AP158" i="4"/>
  <c r="AD84" i="4"/>
  <c r="BF84" i="4"/>
  <c r="AI87" i="4"/>
  <c r="AJ87" i="4"/>
  <c r="AB79" i="4"/>
  <c r="AC79" i="4"/>
  <c r="AJ79" i="4"/>
  <c r="AI79" i="4"/>
  <c r="BF74" i="4"/>
  <c r="AK74" i="4"/>
  <c r="AK27" i="4"/>
  <c r="AR74" i="4"/>
  <c r="AB60" i="4"/>
  <c r="AC60" i="4"/>
  <c r="AR62" i="4"/>
  <c r="BF62" i="4"/>
  <c r="AD164" i="4"/>
  <c r="BF29" i="4"/>
  <c r="AD29" i="4"/>
  <c r="AD31" i="4"/>
  <c r="AB71" i="4"/>
  <c r="AC71" i="4"/>
  <c r="AI86" i="4"/>
  <c r="AJ86" i="4"/>
  <c r="AR171" i="4"/>
  <c r="BF171" i="4"/>
  <c r="AP138" i="4"/>
  <c r="AR128" i="4"/>
  <c r="BF112" i="4"/>
  <c r="AK112" i="4"/>
  <c r="BF129" i="4"/>
  <c r="AK133" i="4"/>
  <c r="BF133" i="4"/>
  <c r="AR111" i="4"/>
  <c r="BF128" i="4"/>
  <c r="AK128" i="4"/>
  <c r="AI138" i="4"/>
  <c r="AP113" i="4"/>
  <c r="AA17" i="8"/>
  <c r="AB17" i="8" s="1"/>
  <c r="AK55" i="4"/>
  <c r="AB19" i="4"/>
  <c r="AC19" i="4"/>
  <c r="S91" i="4"/>
  <c r="T91" i="4"/>
  <c r="U91" i="4"/>
  <c r="AI91" i="4"/>
  <c r="AJ16" i="4"/>
  <c r="AK16" i="4" s="1"/>
  <c r="AV57" i="4"/>
  <c r="AV63" i="4" s="1"/>
  <c r="BB57" i="4"/>
  <c r="Z57" i="4"/>
  <c r="AO57" i="4"/>
  <c r="AH57" i="4"/>
  <c r="AA57" i="4"/>
  <c r="AR58" i="4"/>
  <c r="BD19" i="4"/>
  <c r="BE19" i="4" s="1"/>
  <c r="U16" i="8"/>
  <c r="W17" i="4"/>
  <c r="AC17" i="4" s="1"/>
  <c r="AD17" i="4" s="1"/>
  <c r="AX19" i="4"/>
  <c r="W18" i="4"/>
  <c r="AJ18" i="4" s="1"/>
  <c r="AK18" i="4" s="1"/>
  <c r="S16" i="8"/>
  <c r="W16" i="8" s="1"/>
  <c r="BF19" i="4"/>
  <c r="AW55" i="4"/>
  <c r="AX55" i="4" s="1"/>
  <c r="AD53" i="4"/>
  <c r="AI58" i="4"/>
  <c r="AJ58" i="4"/>
  <c r="T155" i="4"/>
  <c r="S155" i="4"/>
  <c r="U155" i="4"/>
  <c r="Z47" i="4"/>
  <c r="AV47" i="4"/>
  <c r="AA47" i="4"/>
  <c r="AG47" i="4"/>
  <c r="AO47" i="4"/>
  <c r="BB47" i="4"/>
  <c r="AN47" i="4"/>
  <c r="AH47" i="4"/>
  <c r="BC93" i="4"/>
  <c r="BE69" i="4"/>
  <c r="U17" i="8"/>
  <c r="S98" i="4"/>
  <c r="T98" i="4"/>
  <c r="U98" i="4"/>
  <c r="AW58" i="4"/>
  <c r="AX58" i="4" s="1"/>
  <c r="Z155" i="4"/>
  <c r="BB155" i="4"/>
  <c r="BC155" i="4" s="1"/>
  <c r="AA155" i="4"/>
  <c r="T47" i="4"/>
  <c r="U47" i="4"/>
  <c r="S47" i="4"/>
  <c r="AB69" i="4"/>
  <c r="AC69" i="4"/>
  <c r="S17" i="8"/>
  <c r="AI69" i="4"/>
  <c r="AB55" i="4"/>
  <c r="AC55" i="4"/>
  <c r="AK52" i="4"/>
  <c r="AB58" i="4"/>
  <c r="AC58" i="4"/>
  <c r="S48" i="4"/>
  <c r="T48" i="4"/>
  <c r="U48" i="4"/>
  <c r="AB98" i="4"/>
  <c r="AN49" i="4"/>
  <c r="AG49" i="4"/>
  <c r="BB49" i="4"/>
  <c r="Z49" i="4"/>
  <c r="AA49" i="4"/>
  <c r="AV49" i="4"/>
  <c r="AH49" i="4"/>
  <c r="AO49" i="4"/>
  <c r="AW48" i="4"/>
  <c r="AX48" i="4" s="1"/>
  <c r="AB31" i="8"/>
  <c r="BE55" i="4"/>
  <c r="AI176" i="4"/>
  <c r="S31" i="8"/>
  <c r="U31" i="8"/>
  <c r="T31" i="8"/>
  <c r="G8" i="7"/>
  <c r="BC99" i="4"/>
  <c r="G9" i="7" s="1"/>
  <c r="BE98" i="4"/>
  <c r="BE99" i="4" s="1"/>
  <c r="S49" i="4"/>
  <c r="U49" i="4"/>
  <c r="T49" i="4"/>
  <c r="AO52" i="4"/>
  <c r="AW52" i="4"/>
  <c r="AX52" i="4" s="1"/>
  <c r="BH175" i="4"/>
  <c r="AD175" i="4"/>
  <c r="AB18" i="4"/>
  <c r="AC18" i="4"/>
  <c r="Z16" i="8"/>
  <c r="AA16" i="8"/>
  <c r="AB16" i="8" s="1"/>
  <c r="AP18" i="4"/>
  <c r="AP17" i="4"/>
  <c r="AW17" i="4"/>
  <c r="AX17" i="4" s="1"/>
  <c r="AV24" i="4"/>
  <c r="BC17" i="4"/>
  <c r="BD17" i="4"/>
  <c r="AI17" i="4"/>
  <c r="BC16" i="4"/>
  <c r="BF16" i="4" s="1"/>
  <c r="BD16" i="4"/>
  <c r="BE136" i="4" l="1"/>
  <c r="AB91" i="4"/>
  <c r="AC91" i="4"/>
  <c r="AI98" i="4"/>
  <c r="D8" i="7" s="1"/>
  <c r="BF26" i="4"/>
  <c r="AI113" i="4"/>
  <c r="AJ113" i="4" s="1"/>
  <c r="AK113" i="4" s="1"/>
  <c r="AD170" i="4"/>
  <c r="AI33" i="4"/>
  <c r="AJ33" i="4" s="1"/>
  <c r="AK33" i="4" s="1"/>
  <c r="BF31" i="4"/>
  <c r="BF75" i="4"/>
  <c r="BE32" i="4"/>
  <c r="AI122" i="4"/>
  <c r="AI123" i="4" s="1"/>
  <c r="AD30" i="4"/>
  <c r="AK75" i="4"/>
  <c r="AK117" i="4"/>
  <c r="AB24" i="4"/>
  <c r="W31" i="8"/>
  <c r="AC31" i="8" s="1"/>
  <c r="AF31" i="8" s="1"/>
  <c r="BD48" i="4"/>
  <c r="AK53" i="4"/>
  <c r="BG53" i="4" s="1"/>
  <c r="BH53" i="4" s="1"/>
  <c r="AQ69" i="4"/>
  <c r="AR69" i="4" s="1"/>
  <c r="AJ69" i="4"/>
  <c r="AK69" i="4" s="1"/>
  <c r="BH44" i="4"/>
  <c r="BF20" i="4"/>
  <c r="BF77" i="4"/>
  <c r="BG77" i="4" s="1"/>
  <c r="BH77" i="4" s="1"/>
  <c r="AQ17" i="4"/>
  <c r="BF173" i="4"/>
  <c r="AK158" i="4"/>
  <c r="BF76" i="4"/>
  <c r="BG76" i="4" s="1"/>
  <c r="BH76" i="4" s="1"/>
  <c r="AJ19" i="4"/>
  <c r="AK19" i="4" s="1"/>
  <c r="AR80" i="4"/>
  <c r="BE118" i="4"/>
  <c r="BC122" i="4"/>
  <c r="BD122" i="4" s="1"/>
  <c r="BE122" i="4" s="1"/>
  <c r="BF147" i="4"/>
  <c r="BG147" i="4" s="1"/>
  <c r="BH147" i="4" s="1"/>
  <c r="BF162" i="4"/>
  <c r="BG162" i="4" s="1"/>
  <c r="BH162" i="4" s="1"/>
  <c r="AD32" i="4"/>
  <c r="AD76" i="4"/>
  <c r="AR27" i="4"/>
  <c r="AK121" i="4"/>
  <c r="AR121" i="4"/>
  <c r="AR31" i="4"/>
  <c r="AD27" i="8"/>
  <c r="AE27" i="8"/>
  <c r="AG27" i="8" s="1"/>
  <c r="AD18" i="8"/>
  <c r="AE18" i="8"/>
  <c r="AG18" i="8" s="1"/>
  <c r="AE25" i="8"/>
  <c r="AG25" i="8" s="1"/>
  <c r="AD25" i="8"/>
  <c r="AR59" i="4"/>
  <c r="BF59" i="4"/>
  <c r="BG59" i="4" s="1"/>
  <c r="BH59" i="4" s="1"/>
  <c r="BE31" i="4"/>
  <c r="AD77" i="4"/>
  <c r="AD75" i="4"/>
  <c r="AR147" i="4"/>
  <c r="AE19" i="8"/>
  <c r="AG19" i="8" s="1"/>
  <c r="AD19" i="8"/>
  <c r="BF73" i="4"/>
  <c r="BG73" i="4" s="1"/>
  <c r="BH73" i="4" s="1"/>
  <c r="AD73" i="4"/>
  <c r="AE28" i="8"/>
  <c r="AG28" i="8" s="1"/>
  <c r="AD28" i="8"/>
  <c r="AE30" i="8"/>
  <c r="AG30" i="8" s="1"/>
  <c r="AD30" i="8"/>
  <c r="BG117" i="4"/>
  <c r="BH117" i="4" s="1"/>
  <c r="AD157" i="4"/>
  <c r="BF157" i="4"/>
  <c r="BG157" i="4" s="1"/>
  <c r="BH157" i="4" s="1"/>
  <c r="AD129" i="4"/>
  <c r="AK30" i="4"/>
  <c r="AK118" i="4"/>
  <c r="BF118" i="4"/>
  <c r="BG118" i="4" s="1"/>
  <c r="BH118" i="4" s="1"/>
  <c r="W91" i="4"/>
  <c r="AJ91" i="4" s="1"/>
  <c r="AK91" i="4" s="1"/>
  <c r="AK76" i="4"/>
  <c r="BF121" i="4"/>
  <c r="BG121" i="4" s="1"/>
  <c r="BH121" i="4" s="1"/>
  <c r="AK79" i="4"/>
  <c r="AR158" i="4"/>
  <c r="AK28" i="4"/>
  <c r="BG114" i="4"/>
  <c r="BH114" i="4" s="1"/>
  <c r="BE107" i="4"/>
  <c r="AR78" i="4"/>
  <c r="BG23" i="4"/>
  <c r="BH23" i="4" s="1"/>
  <c r="AW122" i="4"/>
  <c r="AX122" i="4" s="1"/>
  <c r="AR85" i="4"/>
  <c r="BE110" i="4"/>
  <c r="BE60" i="4"/>
  <c r="AR79" i="4"/>
  <c r="AB174" i="4"/>
  <c r="AC174" i="4" s="1"/>
  <c r="AD174" i="4" s="1"/>
  <c r="AR86" i="4"/>
  <c r="AR88" i="4"/>
  <c r="BG129" i="4"/>
  <c r="BH129" i="4" s="1"/>
  <c r="AD71" i="4"/>
  <c r="BF71" i="4"/>
  <c r="BG62" i="4"/>
  <c r="BH62" i="4" s="1"/>
  <c r="AR172" i="4"/>
  <c r="BF172" i="4"/>
  <c r="BF70" i="4"/>
  <c r="AD70" i="4"/>
  <c r="BG39" i="4"/>
  <c r="BH39" i="4" s="1"/>
  <c r="BG56" i="4"/>
  <c r="BH56" i="4" s="1"/>
  <c r="AD110" i="4"/>
  <c r="BF110" i="4"/>
  <c r="AC149" i="4"/>
  <c r="AD149" i="4" s="1"/>
  <c r="BG168" i="4"/>
  <c r="BH168" i="4" s="1"/>
  <c r="AP123" i="4"/>
  <c r="AQ113" i="4"/>
  <c r="AR113" i="4" s="1"/>
  <c r="BG164" i="4"/>
  <c r="BH164" i="4" s="1"/>
  <c r="BG27" i="4"/>
  <c r="BH27" i="4" s="1"/>
  <c r="AK87" i="4"/>
  <c r="AD130" i="4"/>
  <c r="BF130" i="4"/>
  <c r="BF138" i="4" s="1"/>
  <c r="AB138" i="4"/>
  <c r="AD40" i="4"/>
  <c r="BF40" i="4"/>
  <c r="AK78" i="4"/>
  <c r="AD158" i="4"/>
  <c r="BF158" i="4"/>
  <c r="BG21" i="4"/>
  <c r="BH21" i="4" s="1"/>
  <c r="BG137" i="4"/>
  <c r="BH137" i="4" s="1"/>
  <c r="AD28" i="4"/>
  <c r="BF28" i="4"/>
  <c r="BG163" i="4"/>
  <c r="BH163" i="4" s="1"/>
  <c r="AR164" i="4"/>
  <c r="AP174" i="4"/>
  <c r="BD149" i="4"/>
  <c r="BE149" i="4" s="1"/>
  <c r="AW113" i="4"/>
  <c r="AX113" i="4" s="1"/>
  <c r="AV123" i="4"/>
  <c r="AK92" i="4"/>
  <c r="AK60" i="4"/>
  <c r="BF88" i="4"/>
  <c r="AK88" i="4"/>
  <c r="BC113" i="4"/>
  <c r="BG75" i="4"/>
  <c r="BH75" i="4" s="1"/>
  <c r="AW33" i="4"/>
  <c r="AX33" i="4" s="1"/>
  <c r="BG32" i="4"/>
  <c r="BH32" i="4" s="1"/>
  <c r="BG26" i="4"/>
  <c r="BH26" i="4" s="1"/>
  <c r="AW138" i="4"/>
  <c r="AV150" i="4"/>
  <c r="BG141" i="4"/>
  <c r="BH141" i="4" s="1"/>
  <c r="BG22" i="4"/>
  <c r="BH22" i="4" s="1"/>
  <c r="BF87" i="4"/>
  <c r="AD87" i="4"/>
  <c r="BG128" i="4"/>
  <c r="BH128" i="4" s="1"/>
  <c r="BG29" i="4"/>
  <c r="BH29" i="4" s="1"/>
  <c r="BG132" i="4"/>
  <c r="BH132" i="4" s="1"/>
  <c r="AR156" i="4"/>
  <c r="BF156" i="4"/>
  <c r="BF86" i="4"/>
  <c r="AD86" i="4"/>
  <c r="AD107" i="4"/>
  <c r="BF107" i="4"/>
  <c r="BF113" i="4" s="1"/>
  <c r="AB113" i="4"/>
  <c r="AD92" i="4"/>
  <c r="BF92" i="4"/>
  <c r="AW149" i="4"/>
  <c r="AX149" i="4" s="1"/>
  <c r="W155" i="4"/>
  <c r="AO155" i="4" s="1"/>
  <c r="AQ155" i="4" s="1"/>
  <c r="AJ138" i="4"/>
  <c r="AI150" i="4"/>
  <c r="BG133" i="4"/>
  <c r="BH133" i="4" s="1"/>
  <c r="BG112" i="4"/>
  <c r="BH112" i="4" s="1"/>
  <c r="AQ138" i="4"/>
  <c r="AK86" i="4"/>
  <c r="BG31" i="4"/>
  <c r="BH31" i="4" s="1"/>
  <c r="BG84" i="4"/>
  <c r="BH84" i="4" s="1"/>
  <c r="BG145" i="4"/>
  <c r="BH145" i="4" s="1"/>
  <c r="AD45" i="4"/>
  <c r="BF45" i="4"/>
  <c r="BG120" i="4"/>
  <c r="BH120" i="4" s="1"/>
  <c r="BE143" i="4"/>
  <c r="BG106" i="4"/>
  <c r="BH106" i="4" s="1"/>
  <c r="BD33" i="4"/>
  <c r="BE33" i="4" s="1"/>
  <c r="AJ174" i="4"/>
  <c r="AK174" i="4" s="1"/>
  <c r="BG134" i="4"/>
  <c r="BH134" i="4" s="1"/>
  <c r="BF25" i="4"/>
  <c r="AD25" i="4"/>
  <c r="AB33" i="4"/>
  <c r="BG119" i="4"/>
  <c r="BH119" i="4" s="1"/>
  <c r="AR143" i="4"/>
  <c r="BF143" i="4"/>
  <c r="BF149" i="4" s="1"/>
  <c r="BG144" i="4"/>
  <c r="BH144" i="4" s="1"/>
  <c r="AK70" i="4"/>
  <c r="BG20" i="4"/>
  <c r="BH20" i="4" s="1"/>
  <c r="BG131" i="4"/>
  <c r="BH131" i="4" s="1"/>
  <c r="AD169" i="4"/>
  <c r="BF169" i="4"/>
  <c r="BG108" i="4"/>
  <c r="BH108" i="4" s="1"/>
  <c r="BE130" i="4"/>
  <c r="BC138" i="4"/>
  <c r="BG142" i="4"/>
  <c r="BH142" i="4" s="1"/>
  <c r="BG135" i="4"/>
  <c r="BH135" i="4" s="1"/>
  <c r="BF78" i="4"/>
  <c r="AP149" i="4"/>
  <c r="AP150" i="4" s="1"/>
  <c r="AB39" i="8"/>
  <c r="AE38" i="8"/>
  <c r="AD38" i="8"/>
  <c r="W98" i="4"/>
  <c r="AO98" i="4" s="1"/>
  <c r="BG171" i="4"/>
  <c r="BH171" i="4" s="1"/>
  <c r="BF60" i="4"/>
  <c r="AD60" i="4"/>
  <c r="BG74" i="4"/>
  <c r="BH74" i="4" s="1"/>
  <c r="BF79" i="4"/>
  <c r="AD79" i="4"/>
  <c r="BG136" i="4"/>
  <c r="BH136" i="4" s="1"/>
  <c r="AR60" i="4"/>
  <c r="BG173" i="4"/>
  <c r="BH173" i="4" s="1"/>
  <c r="AQ122" i="4"/>
  <c r="AR122" i="4" s="1"/>
  <c r="AR30" i="4"/>
  <c r="BF30" i="4"/>
  <c r="AP33" i="4"/>
  <c r="BF166" i="4"/>
  <c r="AD166" i="4"/>
  <c r="AJ149" i="4"/>
  <c r="AK149" i="4" s="1"/>
  <c r="BG167" i="4"/>
  <c r="BH167" i="4" s="1"/>
  <c r="AR87" i="4"/>
  <c r="AD42" i="4"/>
  <c r="BF42" i="4"/>
  <c r="BG111" i="4"/>
  <c r="BH111" i="4" s="1"/>
  <c r="AR72" i="4"/>
  <c r="BF72" i="4"/>
  <c r="AR51" i="4"/>
  <c r="BF51" i="4"/>
  <c r="W17" i="8"/>
  <c r="AC17" i="8" s="1"/>
  <c r="AF17" i="8" s="1"/>
  <c r="AJ17" i="4"/>
  <c r="AK17" i="4" s="1"/>
  <c r="W49" i="4"/>
  <c r="AC49" i="4" s="1"/>
  <c r="AK58" i="4"/>
  <c r="AD19" i="4"/>
  <c r="W47" i="4"/>
  <c r="AQ47" i="4" s="1"/>
  <c r="AP57" i="4"/>
  <c r="AQ57" i="4"/>
  <c r="AB57" i="4"/>
  <c r="AB63" i="4" s="1"/>
  <c r="AC57" i="4"/>
  <c r="BD57" i="4"/>
  <c r="BC57" i="4"/>
  <c r="AJ57" i="4"/>
  <c r="AI57" i="4"/>
  <c r="AW57" i="4"/>
  <c r="AX57" i="4" s="1"/>
  <c r="AW63" i="4" s="1"/>
  <c r="AX63" i="4" s="1"/>
  <c r="W48" i="4"/>
  <c r="AQ48" i="4" s="1"/>
  <c r="AR48" i="4" s="1"/>
  <c r="AQ18" i="4"/>
  <c r="AR18" i="4" s="1"/>
  <c r="AB49" i="4"/>
  <c r="AD18" i="4"/>
  <c r="AE31" i="8"/>
  <c r="AD31" i="8"/>
  <c r="AB33" i="8"/>
  <c r="AP49" i="4"/>
  <c r="AQ49" i="4"/>
  <c r="AB99" i="4"/>
  <c r="C9" i="7" s="1"/>
  <c r="C8" i="7"/>
  <c r="BF55" i="4"/>
  <c r="AD55" i="4"/>
  <c r="AB155" i="4"/>
  <c r="AC155" i="4"/>
  <c r="BE48" i="4"/>
  <c r="AI47" i="4"/>
  <c r="AP52" i="4"/>
  <c r="AQ52" i="4"/>
  <c r="AI93" i="4"/>
  <c r="AI99" i="4"/>
  <c r="D9" i="7" s="1"/>
  <c r="AJ176" i="4"/>
  <c r="AK176" i="4" s="1"/>
  <c r="D12" i="7"/>
  <c r="AI49" i="4"/>
  <c r="AJ49" i="4"/>
  <c r="BD49" i="4"/>
  <c r="BC49" i="4"/>
  <c r="BF48" i="4"/>
  <c r="BE155" i="4"/>
  <c r="BC159" i="4"/>
  <c r="AC47" i="4"/>
  <c r="AB47" i="4"/>
  <c r="BC47" i="4"/>
  <c r="BD47" i="4"/>
  <c r="AW47" i="4"/>
  <c r="AX47" i="4" s="1"/>
  <c r="AV50" i="4"/>
  <c r="AW49" i="4"/>
  <c r="AX49" i="4" s="1"/>
  <c r="BF58" i="4"/>
  <c r="AD58" i="4"/>
  <c r="AD69" i="4"/>
  <c r="BF69" i="4"/>
  <c r="AB93" i="4"/>
  <c r="BD93" i="4"/>
  <c r="BE93" i="4" s="1"/>
  <c r="G6" i="7"/>
  <c r="AP47" i="4"/>
  <c r="AE17" i="8"/>
  <c r="AB20" i="8"/>
  <c r="AE16" i="8"/>
  <c r="AC16" i="8"/>
  <c r="AF16" i="8" s="1"/>
  <c r="BF18" i="4"/>
  <c r="BE17" i="4"/>
  <c r="AV34" i="4"/>
  <c r="AW24" i="4"/>
  <c r="AX24" i="4" s="1"/>
  <c r="AR17" i="4"/>
  <c r="AP24" i="4"/>
  <c r="AI24" i="4"/>
  <c r="BF17" i="4"/>
  <c r="BE16" i="4"/>
  <c r="BG16" i="4" s="1"/>
  <c r="BH16" i="4" s="1"/>
  <c r="BC24" i="4"/>
  <c r="AJ123" i="4" l="1"/>
  <c r="AK123" i="4" s="1"/>
  <c r="D10" i="7"/>
  <c r="AK98" i="4"/>
  <c r="AK99" i="4" s="1"/>
  <c r="AD91" i="4"/>
  <c r="AJ122" i="4"/>
  <c r="AK122" i="4" s="1"/>
  <c r="AD17" i="8"/>
  <c r="AG17" i="8"/>
  <c r="AB34" i="4"/>
  <c r="C4" i="7" s="1"/>
  <c r="BG19" i="4"/>
  <c r="BH19" i="4" s="1"/>
  <c r="AC48" i="4"/>
  <c r="AD48" i="4" s="1"/>
  <c r="AC98" i="4"/>
  <c r="AC99" i="4" s="1"/>
  <c r="BF122" i="4"/>
  <c r="BG122" i="4" s="1"/>
  <c r="BH122" i="4" s="1"/>
  <c r="AO91" i="4"/>
  <c r="AP91" i="4" s="1"/>
  <c r="BF174" i="4"/>
  <c r="BG174" i="4" s="1"/>
  <c r="BH174" i="4" s="1"/>
  <c r="AJ47" i="4"/>
  <c r="AK47" i="4" s="1"/>
  <c r="AP155" i="4"/>
  <c r="BF155" i="4" s="1"/>
  <c r="BG149" i="4"/>
  <c r="BH149" i="4" s="1"/>
  <c r="BG51" i="4"/>
  <c r="BH51" i="4" s="1"/>
  <c r="BG30" i="4"/>
  <c r="BH30" i="4" s="1"/>
  <c r="BG107" i="4"/>
  <c r="BH107" i="4" s="1"/>
  <c r="BG138" i="4"/>
  <c r="BH138" i="4" s="1"/>
  <c r="BF150" i="4"/>
  <c r="BG78" i="4"/>
  <c r="BH78" i="4" s="1"/>
  <c r="BF33" i="4"/>
  <c r="BG25" i="4"/>
  <c r="BH25" i="4" s="1"/>
  <c r="AJ150" i="4"/>
  <c r="AK150" i="4" s="1"/>
  <c r="D11" i="7"/>
  <c r="AI178" i="4"/>
  <c r="BG92" i="4"/>
  <c r="BH92" i="4" s="1"/>
  <c r="BD113" i="4"/>
  <c r="BE113" i="4" s="1"/>
  <c r="BC123" i="4"/>
  <c r="BG40" i="4"/>
  <c r="BH40" i="4" s="1"/>
  <c r="E10" i="7"/>
  <c r="AQ123" i="4"/>
  <c r="AR123" i="4" s="1"/>
  <c r="BG70" i="4"/>
  <c r="BH70" i="4" s="1"/>
  <c r="AC39" i="8"/>
  <c r="AD39" i="8" s="1"/>
  <c r="BG113" i="4"/>
  <c r="BH113" i="4" s="1"/>
  <c r="BG156" i="4"/>
  <c r="BH156" i="4" s="1"/>
  <c r="BG28" i="4"/>
  <c r="BH28" i="4" s="1"/>
  <c r="BG130" i="4"/>
  <c r="BH130" i="4" s="1"/>
  <c r="BG71" i="4"/>
  <c r="BH71" i="4" s="1"/>
  <c r="AB41" i="8"/>
  <c r="BG72" i="4"/>
  <c r="BH72" i="4" s="1"/>
  <c r="BG42" i="4"/>
  <c r="BH42" i="4" s="1"/>
  <c r="BG166" i="4"/>
  <c r="BH166" i="4" s="1"/>
  <c r="BG79" i="4"/>
  <c r="BH79" i="4" s="1"/>
  <c r="BG60" i="4"/>
  <c r="BH60" i="4" s="1"/>
  <c r="AQ149" i="4"/>
  <c r="AR149" i="4" s="1"/>
  <c r="BC150" i="4"/>
  <c r="BD138" i="4"/>
  <c r="BG169" i="4"/>
  <c r="BH169" i="4" s="1"/>
  <c r="BG45" i="4"/>
  <c r="BH45" i="4" s="1"/>
  <c r="BG87" i="4"/>
  <c r="BH87" i="4" s="1"/>
  <c r="F10" i="7"/>
  <c r="AV178" i="4"/>
  <c r="AW123" i="4"/>
  <c r="AX123" i="4" s="1"/>
  <c r="BG158" i="4"/>
  <c r="BH158" i="4" s="1"/>
  <c r="BG110" i="4"/>
  <c r="BH110" i="4" s="1"/>
  <c r="BG172" i="4"/>
  <c r="BH172" i="4" s="1"/>
  <c r="AQ33" i="4"/>
  <c r="AR33" i="4" s="1"/>
  <c r="AG38" i="8"/>
  <c r="AE39" i="8"/>
  <c r="BG143" i="4"/>
  <c r="BH143" i="4" s="1"/>
  <c r="AC33" i="4"/>
  <c r="AD33" i="4" s="1"/>
  <c r="E11" i="7"/>
  <c r="AQ150" i="4"/>
  <c r="AR150" i="4" s="1"/>
  <c r="AB123" i="4"/>
  <c r="AC113" i="4"/>
  <c r="AD113" i="4" s="1"/>
  <c r="BG86" i="4"/>
  <c r="BH86" i="4" s="1"/>
  <c r="AW150" i="4"/>
  <c r="AX150" i="4" s="1"/>
  <c r="F11" i="7"/>
  <c r="BG88" i="4"/>
  <c r="BH88" i="4" s="1"/>
  <c r="AQ174" i="4"/>
  <c r="AR174" i="4" s="1"/>
  <c r="AB150" i="4"/>
  <c r="AC138" i="4"/>
  <c r="AJ48" i="4"/>
  <c r="AK48" i="4" s="1"/>
  <c r="AC24" i="4"/>
  <c r="AD24" i="4" s="1"/>
  <c r="AR49" i="4"/>
  <c r="BE49" i="4"/>
  <c r="AD57" i="4"/>
  <c r="AC63" i="4" s="1"/>
  <c r="AD63" i="4" s="1"/>
  <c r="BF57" i="4"/>
  <c r="BE57" i="4"/>
  <c r="BC63" i="4"/>
  <c r="BD63" i="4" s="1"/>
  <c r="BE63" i="4" s="1"/>
  <c r="AK57" i="4"/>
  <c r="AI63" i="4"/>
  <c r="AR57" i="4"/>
  <c r="BG18" i="4"/>
  <c r="BH18" i="4" s="1"/>
  <c r="AD16" i="8"/>
  <c r="AC20" i="8" s="1"/>
  <c r="AD20" i="8" s="1"/>
  <c r="AD49" i="4"/>
  <c r="BF49" i="4"/>
  <c r="C6" i="7"/>
  <c r="AC93" i="4"/>
  <c r="AD93" i="4" s="1"/>
  <c r="AC33" i="8"/>
  <c r="AD33" i="8" s="1"/>
  <c r="BG69" i="4"/>
  <c r="BH69" i="4" s="1"/>
  <c r="AW50" i="4"/>
  <c r="AV64" i="4"/>
  <c r="AV95" i="4" s="1"/>
  <c r="BE47" i="4"/>
  <c r="BC50" i="4"/>
  <c r="BC176" i="4"/>
  <c r="BD159" i="4"/>
  <c r="BE159" i="4" s="1"/>
  <c r="AK49" i="4"/>
  <c r="AI50" i="4"/>
  <c r="AG31" i="8"/>
  <c r="AE33" i="8"/>
  <c r="BF47" i="4"/>
  <c r="AB50" i="4"/>
  <c r="AD47" i="4"/>
  <c r="AP50" i="4"/>
  <c r="AR47" i="4"/>
  <c r="BG55" i="4"/>
  <c r="BH55" i="4" s="1"/>
  <c r="BG58" i="4"/>
  <c r="BH58" i="4" s="1"/>
  <c r="AR52" i="4"/>
  <c r="AP63" i="4"/>
  <c r="BF52" i="4"/>
  <c r="AQ98" i="4"/>
  <c r="AQ99" i="4" s="1"/>
  <c r="AP98" i="4"/>
  <c r="D6" i="7"/>
  <c r="AJ93" i="4"/>
  <c r="AK93" i="4" s="1"/>
  <c r="AD155" i="4"/>
  <c r="AB159" i="4"/>
  <c r="AE20" i="8"/>
  <c r="AG16" i="8"/>
  <c r="BF24" i="4"/>
  <c r="AP34" i="4"/>
  <c r="AQ24" i="4"/>
  <c r="AR24" i="4" s="1"/>
  <c r="BG17" i="4"/>
  <c r="BH17" i="4" s="1"/>
  <c r="AI34" i="4"/>
  <c r="AJ24" i="4"/>
  <c r="AK24" i="4" s="1"/>
  <c r="AW34" i="4"/>
  <c r="AX34" i="4" s="1"/>
  <c r="F4" i="7"/>
  <c r="BC34" i="4"/>
  <c r="BD24" i="4"/>
  <c r="BE24" i="4" s="1"/>
  <c r="AQ91" i="4" l="1"/>
  <c r="AR155" i="4"/>
  <c r="AP159" i="4"/>
  <c r="AQ159" i="4" s="1"/>
  <c r="AR159" i="4" s="1"/>
  <c r="BF123" i="4"/>
  <c r="BG123" i="4" s="1"/>
  <c r="J10" i="7" s="1"/>
  <c r="BG48" i="4"/>
  <c r="BH48" i="4" s="1"/>
  <c r="AD98" i="4"/>
  <c r="AD99" i="4" s="1"/>
  <c r="AC34" i="4"/>
  <c r="AD34" i="4" s="1"/>
  <c r="BF34" i="4"/>
  <c r="H4" i="7" s="1"/>
  <c r="F13" i="7"/>
  <c r="AW178" i="4"/>
  <c r="AX178" i="4" s="1"/>
  <c r="C11" i="7"/>
  <c r="AC150" i="4"/>
  <c r="AD150" i="4" s="1"/>
  <c r="C19" i="7"/>
  <c r="AF39" i="8"/>
  <c r="E19" i="7" s="1"/>
  <c r="D13" i="7"/>
  <c r="AJ178" i="4"/>
  <c r="AK178" i="4" s="1"/>
  <c r="BG33" i="4"/>
  <c r="BH33" i="4" s="1"/>
  <c r="C10" i="7"/>
  <c r="AC123" i="4"/>
  <c r="AD123" i="4" s="1"/>
  <c r="BD123" i="4"/>
  <c r="BE123" i="4" s="1"/>
  <c r="G10" i="7"/>
  <c r="BC178" i="4"/>
  <c r="G13" i="7" s="1"/>
  <c r="AR91" i="4"/>
  <c r="G11" i="7"/>
  <c r="BD150" i="4"/>
  <c r="BE150" i="4" s="1"/>
  <c r="H11" i="7"/>
  <c r="BG150" i="4"/>
  <c r="J11" i="7" s="1"/>
  <c r="BF91" i="4"/>
  <c r="AP93" i="4"/>
  <c r="AJ63" i="4"/>
  <c r="AK63" i="4" s="1"/>
  <c r="BG57" i="4"/>
  <c r="BH57" i="4" s="1"/>
  <c r="AF20" i="8"/>
  <c r="E17" i="7" s="1"/>
  <c r="G12" i="7"/>
  <c r="BD176" i="4"/>
  <c r="BE176" i="4" s="1"/>
  <c r="AC41" i="8"/>
  <c r="AD41" i="8" s="1"/>
  <c r="BF159" i="4"/>
  <c r="BG155" i="4"/>
  <c r="BH155" i="4" s="1"/>
  <c r="BG52" i="4"/>
  <c r="BH52" i="4" s="1"/>
  <c r="BF63" i="4"/>
  <c r="AQ50" i="4"/>
  <c r="AP64" i="4"/>
  <c r="AQ63" i="4"/>
  <c r="AR63" i="4" s="1"/>
  <c r="AP178" i="4"/>
  <c r="E8" i="7"/>
  <c r="AR98" i="4"/>
  <c r="AR99" i="4" s="1"/>
  <c r="AP99" i="4"/>
  <c r="E9" i="7" s="1"/>
  <c r="BF98" i="4"/>
  <c r="AB64" i="4"/>
  <c r="AC50" i="4"/>
  <c r="AI64" i="4"/>
  <c r="AI95" i="4" s="1"/>
  <c r="AJ50" i="4"/>
  <c r="F5" i="7"/>
  <c r="AW64" i="4"/>
  <c r="AX64" i="4" s="1"/>
  <c r="AW95" i="4" s="1"/>
  <c r="AX95" i="4" s="1"/>
  <c r="AF33" i="8"/>
  <c r="E18" i="7" s="1"/>
  <c r="C18" i="7"/>
  <c r="BD50" i="4"/>
  <c r="BC64" i="4"/>
  <c r="BC95" i="4" s="1"/>
  <c r="BG49" i="4"/>
  <c r="BH49" i="4" s="1"/>
  <c r="BG47" i="4"/>
  <c r="BH47" i="4" s="1"/>
  <c r="BF50" i="4"/>
  <c r="AC159" i="4"/>
  <c r="AD159" i="4" s="1"/>
  <c r="AB178" i="4"/>
  <c r="C13" i="7" s="1"/>
  <c r="AB176" i="4"/>
  <c r="AE41" i="8"/>
  <c r="C17" i="7"/>
  <c r="BG24" i="4"/>
  <c r="BH24" i="4" s="1"/>
  <c r="AQ34" i="4"/>
  <c r="AR34" i="4" s="1"/>
  <c r="AV180" i="4"/>
  <c r="F7" i="7"/>
  <c r="D39" i="7"/>
  <c r="D4" i="7"/>
  <c r="AJ34" i="4"/>
  <c r="AK34" i="4" s="1"/>
  <c r="E4" i="7"/>
  <c r="G4" i="7"/>
  <c r="BD34" i="4"/>
  <c r="BE34" i="4" s="1"/>
  <c r="H10" i="7" l="1"/>
  <c r="BD178" i="4"/>
  <c r="BE178" i="4" s="1"/>
  <c r="AP176" i="4"/>
  <c r="AQ176" i="4" s="1"/>
  <c r="AR176" i="4" s="1"/>
  <c r="AG39" i="8"/>
  <c r="BH123" i="4"/>
  <c r="BG34" i="4"/>
  <c r="J4" i="7" s="1"/>
  <c r="S4" i="7" s="1"/>
  <c r="BH150" i="4"/>
  <c r="S11" i="7"/>
  <c r="Q11" i="7"/>
  <c r="R11" i="7"/>
  <c r="Q10" i="7"/>
  <c r="R10" i="7"/>
  <c r="S10" i="7"/>
  <c r="AQ93" i="4"/>
  <c r="AR93" i="4" s="1"/>
  <c r="E6" i="7"/>
  <c r="AP95" i="4"/>
  <c r="D38" i="7" s="1"/>
  <c r="C38" i="7" s="1"/>
  <c r="BG91" i="4"/>
  <c r="BH91" i="4" s="1"/>
  <c r="BF93" i="4"/>
  <c r="AG20" i="8"/>
  <c r="C12" i="7"/>
  <c r="AC176" i="4"/>
  <c r="AD176" i="4" s="1"/>
  <c r="AC178" i="4" s="1"/>
  <c r="AD178" i="4" s="1"/>
  <c r="BF64" i="4"/>
  <c r="BG50" i="4"/>
  <c r="BH50" i="4" s="1"/>
  <c r="BD64" i="4"/>
  <c r="BE64" i="4" s="1"/>
  <c r="G5" i="7"/>
  <c r="AQ64" i="4"/>
  <c r="AR64" i="4" s="1"/>
  <c r="E5" i="7"/>
  <c r="AG33" i="8"/>
  <c r="BG98" i="4"/>
  <c r="J8" i="7" s="1"/>
  <c r="H8" i="7"/>
  <c r="BF99" i="4"/>
  <c r="BG63" i="4"/>
  <c r="BH63" i="4" s="1"/>
  <c r="BG159" i="4"/>
  <c r="BH159" i="4" s="1"/>
  <c r="BF178" i="4"/>
  <c r="BF176" i="4"/>
  <c r="AC64" i="4"/>
  <c r="AD64" i="4" s="1"/>
  <c r="C5" i="7"/>
  <c r="AB95" i="4"/>
  <c r="D5" i="7"/>
  <c r="AJ64" i="4"/>
  <c r="AK64" i="4" s="1"/>
  <c r="AJ95" i="4" s="1"/>
  <c r="AK95" i="4" s="1"/>
  <c r="E13" i="7"/>
  <c r="AQ178" i="4"/>
  <c r="AR178" i="4" s="1"/>
  <c r="C20" i="7"/>
  <c r="D7" i="7"/>
  <c r="AI180" i="4"/>
  <c r="D37" i="7"/>
  <c r="C37" i="7" s="1"/>
  <c r="AW180" i="4"/>
  <c r="AX180" i="4" s="1"/>
  <c r="D51" i="7"/>
  <c r="F14" i="7"/>
  <c r="Q4" i="7"/>
  <c r="G7" i="7"/>
  <c r="BD95" i="4"/>
  <c r="BE95" i="4" s="1"/>
  <c r="BC180" i="4"/>
  <c r="D40" i="7"/>
  <c r="E12" i="7" l="1"/>
  <c r="R4" i="7"/>
  <c r="AP180" i="4"/>
  <c r="D50" i="7" s="1"/>
  <c r="C50" i="7" s="1"/>
  <c r="BH34" i="4"/>
  <c r="E7" i="7"/>
  <c r="AQ95" i="4"/>
  <c r="AR95" i="4" s="1"/>
  <c r="BG93" i="4"/>
  <c r="J6" i="7" s="1"/>
  <c r="H6" i="7"/>
  <c r="AF41" i="8"/>
  <c r="E20" i="7" s="1"/>
  <c r="H13" i="7"/>
  <c r="C29" i="7" s="1"/>
  <c r="AB180" i="4"/>
  <c r="C7" i="7"/>
  <c r="AC95" i="4"/>
  <c r="AD95" i="4" s="1"/>
  <c r="D36" i="7"/>
  <c r="C36" i="7" s="1"/>
  <c r="H12" i="7"/>
  <c r="BG176" i="4"/>
  <c r="J12" i="7" s="1"/>
  <c r="Q8" i="7"/>
  <c r="S8" i="7"/>
  <c r="R8" i="7"/>
  <c r="H9" i="7"/>
  <c r="C28" i="7" s="1"/>
  <c r="BH98" i="4"/>
  <c r="BG99" i="4" s="1"/>
  <c r="H5" i="7"/>
  <c r="BG64" i="4"/>
  <c r="J5" i="7" s="1"/>
  <c r="BF95" i="4"/>
  <c r="AG41" i="8"/>
  <c r="D17" i="7"/>
  <c r="D18" i="7"/>
  <c r="D20" i="7"/>
  <c r="D19" i="7"/>
  <c r="AJ180" i="4"/>
  <c r="AK180" i="4" s="1"/>
  <c r="D49" i="7"/>
  <c r="C49" i="7" s="1"/>
  <c r="D14" i="7"/>
  <c r="G14" i="7"/>
  <c r="BD180" i="4"/>
  <c r="BE180" i="4" s="1"/>
  <c r="D52" i="7"/>
  <c r="C40" i="7"/>
  <c r="E14" i="7" l="1"/>
  <c r="AQ180" i="4"/>
  <c r="AR180" i="4" s="1"/>
  <c r="BH93" i="4"/>
  <c r="R6" i="7"/>
  <c r="S6" i="7"/>
  <c r="Q6" i="7"/>
  <c r="BH176" i="4"/>
  <c r="BG178" i="4" s="1"/>
  <c r="J13" i="7" s="1"/>
  <c r="D41" i="7"/>
  <c r="E39" i="7" s="1"/>
  <c r="J9" i="7"/>
  <c r="BH99" i="4"/>
  <c r="BF180" i="4"/>
  <c r="H14" i="7" s="1"/>
  <c r="I13" i="7" s="1"/>
  <c r="H7" i="7"/>
  <c r="C27" i="7" s="1"/>
  <c r="C30" i="7" s="1"/>
  <c r="BH64" i="4"/>
  <c r="AC180" i="4"/>
  <c r="AD180" i="4" s="1"/>
  <c r="D48" i="7"/>
  <c r="C48" i="7" s="1"/>
  <c r="C14" i="7"/>
  <c r="Q5" i="7"/>
  <c r="R5" i="7"/>
  <c r="S5" i="7"/>
  <c r="C52" i="7"/>
  <c r="BG95" i="4" l="1"/>
  <c r="J7" i="7" s="1"/>
  <c r="E40" i="7"/>
  <c r="D53" i="7"/>
  <c r="E50" i="7" s="1"/>
  <c r="BH178" i="4"/>
  <c r="I10" i="7"/>
  <c r="I6" i="7"/>
  <c r="E38" i="7"/>
  <c r="E36" i="7"/>
  <c r="E37" i="7"/>
  <c r="I5" i="7"/>
  <c r="I8" i="7"/>
  <c r="I14" i="7"/>
  <c r="I7" i="7"/>
  <c r="I11" i="7"/>
  <c r="I12" i="7"/>
  <c r="H15" i="7"/>
  <c r="I4" i="7"/>
  <c r="I9" i="7"/>
  <c r="BH95" i="4" l="1"/>
  <c r="BG180" i="4" s="1"/>
  <c r="J14" i="7" s="1"/>
  <c r="E48" i="7"/>
  <c r="E49" i="7"/>
  <c r="E52" i="7"/>
  <c r="E51" i="7"/>
  <c r="E41" i="7"/>
  <c r="BH180" i="4" l="1"/>
  <c r="E5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oficina</author>
  </authors>
  <commentList>
    <comment ref="F278" authorId="0" shapeId="0" xr:uid="{00000000-0006-0000-0200-000001000000}">
      <text>
        <r>
          <rPr>
            <b/>
            <sz val="9"/>
            <color indexed="81"/>
            <rFont val="Tahoma"/>
            <family val="2"/>
          </rPr>
          <t>oficina:</t>
        </r>
        <r>
          <rPr>
            <sz val="9"/>
            <color indexed="81"/>
            <rFont val="Tahoma"/>
            <family val="2"/>
          </rPr>
          <t xml:space="preserve">
GWP confirmado en tres fuentes: 
- http://www.lindegas.hu/internet.lg.lg.hun/hu/images/Linde%2520R290%2520Refrigerant%2520Grade%2520Propane71_11493.pdf 
- http://www.engineeringtoolbox.com/refrigerants-properties-d_145.html
- http://docs.lib.purdue.edu/cgi/viewcontent.cgi?article=2086&amp;context=icec</t>
        </r>
      </text>
    </comment>
    <comment ref="F289" authorId="0" shapeId="0" xr:uid="{00000000-0006-0000-0200-000002000000}">
      <text>
        <r>
          <rPr>
            <b/>
            <sz val="9"/>
            <color indexed="81"/>
            <rFont val="Tahoma"/>
            <family val="2"/>
          </rPr>
          <t>oficina:</t>
        </r>
        <r>
          <rPr>
            <sz val="9"/>
            <color indexed="81"/>
            <rFont val="Tahoma"/>
            <family val="2"/>
          </rPr>
          <t xml:space="preserve">
GWP confirmado en tres fuentes: 
- http://www.lindegas.hu/internet.lg.lg.hun/hu/images/Linde%2520R290%2520Refrigerant%2520Grade%2520Propane71_11493.pdf 
- http://www.engineeringtoolbox.com/refrigerants-properties-d_145.html
- http://docs.lib.purdue.edu/cgi/viewcontent.cgi?article=2086&amp;context=icec</t>
        </r>
      </text>
    </comment>
    <comment ref="F290" authorId="0" shapeId="0" xr:uid="{00000000-0006-0000-0200-000003000000}">
      <text>
        <r>
          <rPr>
            <b/>
            <sz val="9"/>
            <color indexed="81"/>
            <rFont val="Tahoma"/>
            <family val="2"/>
          </rPr>
          <t>oficina:</t>
        </r>
        <r>
          <rPr>
            <sz val="9"/>
            <color indexed="81"/>
            <rFont val="Tahoma"/>
            <family val="2"/>
          </rPr>
          <t xml:space="preserve">
GWP confirmado en tres fuentes: 
- http://www.lindegas.hu/internet.lg.lg.hun/hu/images/Linde%2520R290%2520Refrigerant%2520Grade%2520Propane71_11493.pdf 
- http://www.engineeringtoolbox.com/refrigerants-properties-d_145.html
- http://docs.lib.purdue.edu/cgi/viewcontent.cgi?article=2086&amp;context=icec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80123558</author>
    <author>WERD</author>
    <author>Gloria Mercedes Robles Quintana</author>
    <author>oficina</author>
  </authors>
  <commentList>
    <comment ref="C14" authorId="0" shapeId="0" xr:uid="{00000000-0006-0000-0500-000001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14" authorId="0" shapeId="0" xr:uid="{00000000-0006-0000-0500-000002000000}">
      <text>
        <r>
          <rPr>
            <b/>
            <sz val="9"/>
            <color indexed="81"/>
            <rFont val="Tahoma"/>
            <family val="2"/>
          </rPr>
          <t>80123558:</t>
        </r>
        <r>
          <rPr>
            <sz val="9"/>
            <color indexed="81"/>
            <rFont val="Tahoma"/>
            <family val="2"/>
          </rPr>
          <t xml:space="preserve">
Devuelve el valor de las emisiones de GEI asociadas a la variable elegida.</t>
        </r>
      </text>
    </comment>
    <comment ref="BG14" authorId="0" shapeId="0" xr:uid="{00000000-0006-0000-0500-000003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15" authorId="0" shapeId="0" xr:uid="{00000000-0006-0000-0500-000004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15" authorId="0" shapeId="0" xr:uid="{00000000-0006-0000-0500-000005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15" authorId="0" shapeId="0" xr:uid="{00000000-0006-0000-0500-000006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15" authorId="0" shapeId="0" xr:uid="{00000000-0006-0000-0500-000007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15" authorId="0" shapeId="0" xr:uid="{00000000-0006-0000-0500-000008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15" authorId="0" shapeId="0" xr:uid="{00000000-0006-0000-0500-000009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15" authorId="0" shapeId="0" xr:uid="{00000000-0006-0000-0500-00000A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15" authorId="0" shapeId="0" xr:uid="{00000000-0006-0000-0500-00000B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15" authorId="0" shapeId="0" xr:uid="{00000000-0006-0000-0500-00000C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15" authorId="0" shapeId="0" xr:uid="{00000000-0006-0000-0500-00000D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15" authorId="0" shapeId="0" xr:uid="{00000000-0006-0000-0500-00000E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15" authorId="0" shapeId="0" xr:uid="{00000000-0006-0000-0500-00000F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15" authorId="0" shapeId="0" xr:uid="{00000000-0006-0000-0500-000010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15" authorId="0" shapeId="0" xr:uid="{00000000-0006-0000-0500-000011000000}">
      <text>
        <r>
          <rPr>
            <b/>
            <sz val="9"/>
            <color indexed="81"/>
            <rFont val="Tahoma"/>
            <family val="2"/>
          </rPr>
          <t>80123558:</t>
        </r>
        <r>
          <rPr>
            <sz val="9"/>
            <color indexed="81"/>
            <rFont val="Tahoma"/>
            <family val="2"/>
          </rPr>
          <t xml:space="preserve">
Devuelve el valor total del consumo asociado a cada variable.</t>
        </r>
      </text>
    </comment>
    <comment ref="R15" authorId="0" shapeId="0" xr:uid="{00000000-0006-0000-0500-000012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15" authorId="0" shapeId="0" xr:uid="{00000000-0006-0000-0500-000013000000}">
      <text>
        <r>
          <rPr>
            <b/>
            <sz val="9"/>
            <color indexed="81"/>
            <rFont val="Tahoma"/>
            <family val="2"/>
          </rPr>
          <t>80123558:</t>
        </r>
        <r>
          <rPr>
            <sz val="9"/>
            <color indexed="81"/>
            <rFont val="Tahoma"/>
            <family val="2"/>
          </rPr>
          <t xml:space="preserve">
Devuelve el promedio de los valores consignados en las casillas de "DATOS 1 al 12".</t>
        </r>
      </text>
    </comment>
    <comment ref="T15" authorId="0" shapeId="0" xr:uid="{00000000-0006-0000-0500-000014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15" authorId="0" shapeId="0" xr:uid="{00000000-0006-0000-0500-000015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15" authorId="0" shapeId="0" xr:uid="{00000000-0006-0000-0500-000016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C24" authorId="0" shapeId="0" xr:uid="{00000000-0006-0000-0500-000017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24" authorId="0" shapeId="0" xr:uid="{00000000-0006-0000-0500-000018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24" authorId="0" shapeId="0" xr:uid="{00000000-0006-0000-0500-000019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24" authorId="0" shapeId="0" xr:uid="{00000000-0006-0000-0500-00001A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24" authorId="0" shapeId="0" xr:uid="{00000000-0006-0000-0500-00001B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24" authorId="0" shapeId="0" xr:uid="{00000000-0006-0000-0500-00001C000000}">
      <text>
        <r>
          <rPr>
            <b/>
            <sz val="9"/>
            <color indexed="81"/>
            <rFont val="Tahoma"/>
            <family val="2"/>
          </rPr>
          <t>80123558:</t>
        </r>
        <r>
          <rPr>
            <sz val="9"/>
            <color indexed="81"/>
            <rFont val="Tahoma"/>
            <family val="2"/>
          </rPr>
          <t xml:space="preserve">
Devuelve el valor agregado de las incertidumbre para la categoría en referencia.</t>
        </r>
      </text>
    </comment>
    <comment ref="AC33" authorId="0" shapeId="0" xr:uid="{00000000-0006-0000-0500-00001D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33" authorId="0" shapeId="0" xr:uid="{00000000-0006-0000-0500-00001E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33" authorId="0" shapeId="0" xr:uid="{00000000-0006-0000-0500-00001F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33" authorId="0" shapeId="0" xr:uid="{00000000-0006-0000-0500-000020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33" authorId="0" shapeId="0" xr:uid="{00000000-0006-0000-0500-000021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33" authorId="0" shapeId="0" xr:uid="{00000000-0006-0000-0500-000022000000}">
      <text>
        <r>
          <rPr>
            <b/>
            <sz val="9"/>
            <color indexed="81"/>
            <rFont val="Tahoma"/>
            <family val="2"/>
          </rPr>
          <t>80123558:</t>
        </r>
        <r>
          <rPr>
            <sz val="9"/>
            <color indexed="81"/>
            <rFont val="Tahoma"/>
            <family val="2"/>
          </rPr>
          <t xml:space="preserve">
Devuelve el valor agregado de las incertidumbre para la categoría en referencia.</t>
        </r>
      </text>
    </comment>
    <comment ref="AC34" authorId="0" shapeId="0" xr:uid="{00000000-0006-0000-0500-000023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34" authorId="0" shapeId="0" xr:uid="{00000000-0006-0000-0500-000024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34" authorId="0" shapeId="0" xr:uid="{00000000-0006-0000-0500-000025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34" authorId="0" shapeId="0" xr:uid="{00000000-0006-0000-0500-000026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34" authorId="0" shapeId="0" xr:uid="{00000000-0006-0000-0500-000027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34" authorId="0" shapeId="0" xr:uid="{00000000-0006-0000-0500-000028000000}">
      <text>
        <r>
          <rPr>
            <b/>
            <sz val="9"/>
            <color indexed="81"/>
            <rFont val="Tahoma"/>
            <family val="2"/>
          </rPr>
          <t>80123558:</t>
        </r>
        <r>
          <rPr>
            <sz val="9"/>
            <color indexed="81"/>
            <rFont val="Tahoma"/>
            <family val="2"/>
          </rPr>
          <t xml:space="preserve">
Devuelve el valor agregado de las incertidumbre para la categoría en referencia.</t>
        </r>
      </text>
    </comment>
    <comment ref="C37" authorId="0" shapeId="0" xr:uid="{00000000-0006-0000-0500-000029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37" authorId="0" shapeId="0" xr:uid="{00000000-0006-0000-0500-00002A000000}">
      <text>
        <r>
          <rPr>
            <b/>
            <sz val="9"/>
            <color indexed="81"/>
            <rFont val="Tahoma"/>
            <family val="2"/>
          </rPr>
          <t>80123558:</t>
        </r>
        <r>
          <rPr>
            <sz val="9"/>
            <color indexed="81"/>
            <rFont val="Tahoma"/>
            <family val="2"/>
          </rPr>
          <t xml:space="preserve">
Devuelve el valor de las emisiones de GEI asociadas a la variable elegida.</t>
        </r>
      </text>
    </comment>
    <comment ref="BG37" authorId="0" shapeId="0" xr:uid="{00000000-0006-0000-0500-00002B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38" authorId="0" shapeId="0" xr:uid="{00000000-0006-0000-0500-00002C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38" authorId="0" shapeId="0" xr:uid="{00000000-0006-0000-0500-00002D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38" authorId="0" shapeId="0" xr:uid="{00000000-0006-0000-0500-00002E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38" authorId="0" shapeId="0" xr:uid="{00000000-0006-0000-0500-00002F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38" authorId="0" shapeId="0" xr:uid="{00000000-0006-0000-0500-000030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38" authorId="0" shapeId="0" xr:uid="{00000000-0006-0000-0500-000031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38" authorId="0" shapeId="0" xr:uid="{00000000-0006-0000-0500-000032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38" authorId="0" shapeId="0" xr:uid="{00000000-0006-0000-0500-000033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38" authorId="0" shapeId="0" xr:uid="{00000000-0006-0000-0500-000034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38" authorId="0" shapeId="0" xr:uid="{00000000-0006-0000-0500-000035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38" authorId="0" shapeId="0" xr:uid="{00000000-0006-0000-0500-000036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38" authorId="0" shapeId="0" xr:uid="{00000000-0006-0000-0500-000037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38" authorId="0" shapeId="0" xr:uid="{00000000-0006-0000-0500-000038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38" authorId="0" shapeId="0" xr:uid="{00000000-0006-0000-0500-000039000000}">
      <text>
        <r>
          <rPr>
            <b/>
            <sz val="9"/>
            <color indexed="81"/>
            <rFont val="Tahoma"/>
            <family val="2"/>
          </rPr>
          <t>80123558:</t>
        </r>
        <r>
          <rPr>
            <sz val="9"/>
            <color indexed="81"/>
            <rFont val="Tahoma"/>
            <family val="2"/>
          </rPr>
          <t xml:space="preserve">
Devuelve el valor total del consumo asociado a cada variable.</t>
        </r>
      </text>
    </comment>
    <comment ref="R38" authorId="0" shapeId="0" xr:uid="{00000000-0006-0000-0500-00003A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38" authorId="0" shapeId="0" xr:uid="{00000000-0006-0000-0500-00003B000000}">
      <text>
        <r>
          <rPr>
            <b/>
            <sz val="9"/>
            <color indexed="81"/>
            <rFont val="Tahoma"/>
            <family val="2"/>
          </rPr>
          <t>80123558:</t>
        </r>
        <r>
          <rPr>
            <sz val="9"/>
            <color indexed="81"/>
            <rFont val="Tahoma"/>
            <family val="2"/>
          </rPr>
          <t xml:space="preserve">
Devuelve el promedio de los valores consignados en las casillas de "DATOS 1 al 12".</t>
        </r>
      </text>
    </comment>
    <comment ref="T38" authorId="0" shapeId="0" xr:uid="{00000000-0006-0000-0500-00003C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38" authorId="0" shapeId="0" xr:uid="{00000000-0006-0000-0500-00003D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38" authorId="0" shapeId="0" xr:uid="{00000000-0006-0000-0500-00003E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C67" authorId="0" shapeId="0" xr:uid="{00000000-0006-0000-0500-00003F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67" authorId="0" shapeId="0" xr:uid="{00000000-0006-0000-0500-000040000000}">
      <text>
        <r>
          <rPr>
            <b/>
            <sz val="9"/>
            <color indexed="81"/>
            <rFont val="Tahoma"/>
            <family val="2"/>
          </rPr>
          <t>80123558:</t>
        </r>
        <r>
          <rPr>
            <sz val="9"/>
            <color indexed="81"/>
            <rFont val="Tahoma"/>
            <family val="2"/>
          </rPr>
          <t xml:space="preserve">
Devuelve el valor de las emisiones de GEI asociadas a la variable elegida.</t>
        </r>
      </text>
    </comment>
    <comment ref="BG67" authorId="0" shapeId="0" xr:uid="{00000000-0006-0000-0500-000041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68" authorId="0" shapeId="0" xr:uid="{00000000-0006-0000-0500-000042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68" authorId="0" shapeId="0" xr:uid="{00000000-0006-0000-0500-000043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68" authorId="0" shapeId="0" xr:uid="{00000000-0006-0000-0500-000044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68" authorId="0" shapeId="0" xr:uid="{00000000-0006-0000-0500-000045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68" authorId="0" shapeId="0" xr:uid="{00000000-0006-0000-0500-000046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68" authorId="0" shapeId="0" xr:uid="{00000000-0006-0000-0500-000047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68" authorId="0" shapeId="0" xr:uid="{00000000-0006-0000-0500-000048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68" authorId="0" shapeId="0" xr:uid="{00000000-0006-0000-0500-000049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68" authorId="0" shapeId="0" xr:uid="{00000000-0006-0000-0500-00004A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68" authorId="0" shapeId="0" xr:uid="{00000000-0006-0000-0500-00004B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68" authorId="0" shapeId="0" xr:uid="{00000000-0006-0000-0500-00004C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68" authorId="0" shapeId="0" xr:uid="{00000000-0006-0000-0500-00004D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68" authorId="0" shapeId="0" xr:uid="{00000000-0006-0000-0500-00004E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68" authorId="0" shapeId="0" xr:uid="{00000000-0006-0000-0500-00004F000000}">
      <text>
        <r>
          <rPr>
            <b/>
            <sz val="9"/>
            <color indexed="81"/>
            <rFont val="Tahoma"/>
            <family val="2"/>
          </rPr>
          <t>80123558:</t>
        </r>
        <r>
          <rPr>
            <sz val="9"/>
            <color indexed="81"/>
            <rFont val="Tahoma"/>
            <family val="2"/>
          </rPr>
          <t xml:space="preserve">
Devuelve el valor total del consumo asociado a cada variable.</t>
        </r>
      </text>
    </comment>
    <comment ref="R68" authorId="0" shapeId="0" xr:uid="{00000000-0006-0000-0500-000050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68" authorId="0" shapeId="0" xr:uid="{00000000-0006-0000-0500-000051000000}">
      <text>
        <r>
          <rPr>
            <b/>
            <sz val="9"/>
            <color indexed="81"/>
            <rFont val="Tahoma"/>
            <family val="2"/>
          </rPr>
          <t>80123558:</t>
        </r>
        <r>
          <rPr>
            <sz val="9"/>
            <color indexed="81"/>
            <rFont val="Tahoma"/>
            <family val="2"/>
          </rPr>
          <t xml:space="preserve">
Devuelve el promedio de los valores consignados en las casillas de "DATOS 1 al 12".</t>
        </r>
      </text>
    </comment>
    <comment ref="T68" authorId="0" shapeId="0" xr:uid="{00000000-0006-0000-0500-000052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68" authorId="0" shapeId="0" xr:uid="{00000000-0006-0000-0500-000053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68" authorId="0" shapeId="0" xr:uid="{00000000-0006-0000-0500-000054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E75" authorId="1" shapeId="0" xr:uid="{00000000-0006-0000-0500-000055000000}">
      <text>
        <r>
          <rPr>
            <b/>
            <sz val="9"/>
            <color indexed="81"/>
            <rFont val="Tahoma"/>
            <family val="2"/>
          </rPr>
          <t>WERD:
Este factor esta dado en kg CH4/cabeza*unidad de tiempo</t>
        </r>
        <r>
          <rPr>
            <sz val="9"/>
            <color indexed="81"/>
            <rFont val="Tahoma"/>
            <family val="2"/>
          </rPr>
          <t xml:space="preserve">
Según el numero de datos, la unidad de tiempo puede estar dada en meses (12 datos), semestres (6 datos), trimestres (4 datos), año (1 dato)</t>
        </r>
      </text>
    </comment>
    <comment ref="AE76" authorId="1" shapeId="0" xr:uid="{00000000-0006-0000-0500-000056000000}">
      <text>
        <r>
          <rPr>
            <b/>
            <sz val="9"/>
            <color indexed="81"/>
            <rFont val="Tahoma"/>
            <family val="2"/>
          </rPr>
          <t>WERD:
Este factor esta dado en kg CH4/cabeza*unidad de tiempo</t>
        </r>
        <r>
          <rPr>
            <sz val="9"/>
            <color indexed="81"/>
            <rFont val="Tahoma"/>
            <family val="2"/>
          </rPr>
          <t xml:space="preserve">
Según el numero de datos, la unidad de tiempo puede estar dada en meses (12 datos), semestres (6 datos), trimestres (4 datos), año (1 dato)</t>
        </r>
      </text>
    </comment>
    <comment ref="AE77" authorId="1" shapeId="0" xr:uid="{00000000-0006-0000-0500-000057000000}">
      <text>
        <r>
          <rPr>
            <b/>
            <sz val="9"/>
            <color indexed="81"/>
            <rFont val="Tahoma"/>
            <family val="2"/>
          </rPr>
          <t>WERD:
Este factor esta dado en kg CH4/cabeza*unidad de tiempo</t>
        </r>
        <r>
          <rPr>
            <sz val="9"/>
            <color indexed="81"/>
            <rFont val="Tahoma"/>
            <family val="2"/>
          </rPr>
          <t xml:space="preserve">
Según el numero de datos, la unidad de tiempo puede estar dada en meses (12 datos), semestres (6 datos), trimestres (4 datos), año (1 dato)</t>
        </r>
      </text>
    </comment>
    <comment ref="AE78" authorId="1" shapeId="0" xr:uid="{00000000-0006-0000-0500-000058000000}">
      <text>
        <r>
          <rPr>
            <b/>
            <sz val="9"/>
            <color indexed="81"/>
            <rFont val="Tahoma"/>
            <family val="2"/>
          </rPr>
          <t>WERD:
Este factor esta dado en kg CH4/cabeza*unidad de tiempo</t>
        </r>
        <r>
          <rPr>
            <sz val="9"/>
            <color indexed="81"/>
            <rFont val="Tahoma"/>
            <family val="2"/>
          </rPr>
          <t xml:space="preserve">
Según el numero de datos, la unidad de tiempo puede estar dada en meses (12 datos), semestres (6 datos), trimestres (4 datos), año (1 dato)</t>
        </r>
      </text>
    </comment>
    <comment ref="AE79" authorId="1" shapeId="0" xr:uid="{00000000-0006-0000-0500-000059000000}">
      <text>
        <r>
          <rPr>
            <b/>
            <sz val="9"/>
            <color indexed="81"/>
            <rFont val="Tahoma"/>
            <family val="2"/>
          </rPr>
          <t>WERD:
Este factor esta dado en kg CH4/cabeza*unidad de tiempo</t>
        </r>
        <r>
          <rPr>
            <sz val="9"/>
            <color indexed="81"/>
            <rFont val="Tahoma"/>
            <family val="2"/>
          </rPr>
          <t xml:space="preserve">
Según el numero de datos, la unidad de tiempo puede estar dada en meses (12 datos), semestres (6 datos), trimestres (4 datos), año (1 dato)</t>
        </r>
      </text>
    </comment>
    <comment ref="AE80" authorId="1" shapeId="0" xr:uid="{00000000-0006-0000-0500-00005A000000}">
      <text>
        <r>
          <rPr>
            <b/>
            <sz val="9"/>
            <color indexed="81"/>
            <rFont val="Tahoma"/>
            <family val="2"/>
          </rPr>
          <t>WERD:
Este factor esta dado en kg CH4/cabeza*unidad de tiempo</t>
        </r>
        <r>
          <rPr>
            <sz val="9"/>
            <color indexed="81"/>
            <rFont val="Tahoma"/>
            <family val="2"/>
          </rPr>
          <t xml:space="preserve">
Según el numero de datos, la unidad de tiempo puede estar dada en meses (12 datos), semestres (6 datos), trimestres (4 datos), año (1 dato)</t>
        </r>
      </text>
    </comment>
    <comment ref="C81" authorId="0" shapeId="0" xr:uid="{00000000-0006-0000-0500-00005B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81" authorId="0" shapeId="0" xr:uid="{00000000-0006-0000-0500-00005C000000}">
      <text>
        <r>
          <rPr>
            <b/>
            <sz val="9"/>
            <color indexed="81"/>
            <rFont val="Tahoma"/>
            <family val="2"/>
          </rPr>
          <t>80123558:</t>
        </r>
        <r>
          <rPr>
            <sz val="9"/>
            <color indexed="81"/>
            <rFont val="Tahoma"/>
            <family val="2"/>
          </rPr>
          <t xml:space="preserve">
Devuelve el valor de las emisiones de GEI asociadas a la variable elegida.</t>
        </r>
      </text>
    </comment>
    <comment ref="BG81" authorId="0" shapeId="0" xr:uid="{00000000-0006-0000-0500-00005D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82" authorId="0" shapeId="0" xr:uid="{00000000-0006-0000-0500-00005E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82" authorId="0" shapeId="0" xr:uid="{00000000-0006-0000-0500-00005F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82" authorId="0" shapeId="0" xr:uid="{00000000-0006-0000-0500-000060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82" authorId="0" shapeId="0" xr:uid="{00000000-0006-0000-0500-000061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82" authorId="0" shapeId="0" xr:uid="{00000000-0006-0000-0500-000062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82" authorId="0" shapeId="0" xr:uid="{00000000-0006-0000-0500-000063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82" authorId="0" shapeId="0" xr:uid="{00000000-0006-0000-0500-000064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82" authorId="0" shapeId="0" xr:uid="{00000000-0006-0000-0500-000065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82" authorId="0" shapeId="0" xr:uid="{00000000-0006-0000-0500-000066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82" authorId="0" shapeId="0" xr:uid="{00000000-0006-0000-0500-000067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82" authorId="0" shapeId="0" xr:uid="{00000000-0006-0000-0500-000068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82" authorId="0" shapeId="0" xr:uid="{00000000-0006-0000-0500-000069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82" authorId="0" shapeId="0" xr:uid="{00000000-0006-0000-0500-00006A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82" authorId="0" shapeId="0" xr:uid="{00000000-0006-0000-0500-00006B000000}">
      <text>
        <r>
          <rPr>
            <b/>
            <sz val="9"/>
            <color indexed="81"/>
            <rFont val="Tahoma"/>
            <family val="2"/>
          </rPr>
          <t>80123558:</t>
        </r>
        <r>
          <rPr>
            <sz val="9"/>
            <color indexed="81"/>
            <rFont val="Tahoma"/>
            <family val="2"/>
          </rPr>
          <t xml:space="preserve">
Devuelve el valor total del consumo asociado a cada variable.</t>
        </r>
      </text>
    </comment>
    <comment ref="R82" authorId="0" shapeId="0" xr:uid="{00000000-0006-0000-0500-00006C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82" authorId="0" shapeId="0" xr:uid="{00000000-0006-0000-0500-00006D000000}">
      <text>
        <r>
          <rPr>
            <b/>
            <sz val="9"/>
            <color indexed="81"/>
            <rFont val="Tahoma"/>
            <family val="2"/>
          </rPr>
          <t>80123558:</t>
        </r>
        <r>
          <rPr>
            <sz val="9"/>
            <color indexed="81"/>
            <rFont val="Tahoma"/>
            <family val="2"/>
          </rPr>
          <t xml:space="preserve">
Devuelve el promedio de los valores consignados en las casillas de "DATOS 1 al 12".</t>
        </r>
      </text>
    </comment>
    <comment ref="T82" authorId="0" shapeId="0" xr:uid="{00000000-0006-0000-0500-00006E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82" authorId="0" shapeId="0" xr:uid="{00000000-0006-0000-0500-00006F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82" authorId="0" shapeId="0" xr:uid="{00000000-0006-0000-0500-000070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C89" authorId="0" shapeId="0" xr:uid="{00000000-0006-0000-0500-000071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89" authorId="0" shapeId="0" xr:uid="{00000000-0006-0000-0500-000072000000}">
      <text>
        <r>
          <rPr>
            <b/>
            <sz val="9"/>
            <color indexed="81"/>
            <rFont val="Tahoma"/>
            <family val="2"/>
          </rPr>
          <t>80123558:</t>
        </r>
        <r>
          <rPr>
            <sz val="9"/>
            <color indexed="81"/>
            <rFont val="Tahoma"/>
            <family val="2"/>
          </rPr>
          <t xml:space="preserve">
Devuelve el valor de las emisiones de GEI asociadas a la variable elegida.</t>
        </r>
      </text>
    </comment>
    <comment ref="BG89" authorId="0" shapeId="0" xr:uid="{00000000-0006-0000-0500-000073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90" authorId="0" shapeId="0" xr:uid="{00000000-0006-0000-0500-000074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90" authorId="0" shapeId="0" xr:uid="{00000000-0006-0000-0500-000075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90" authorId="0" shapeId="0" xr:uid="{00000000-0006-0000-0500-000076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90" authorId="0" shapeId="0" xr:uid="{00000000-0006-0000-0500-000077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90" authorId="0" shapeId="0" xr:uid="{00000000-0006-0000-0500-000078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90" authorId="0" shapeId="0" xr:uid="{00000000-0006-0000-0500-000079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90" authorId="0" shapeId="0" xr:uid="{00000000-0006-0000-0500-00007A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90" authorId="0" shapeId="0" xr:uid="{00000000-0006-0000-0500-00007B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90" authorId="0" shapeId="0" xr:uid="{00000000-0006-0000-0500-00007C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90" authorId="0" shapeId="0" xr:uid="{00000000-0006-0000-0500-00007D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90" authorId="0" shapeId="0" xr:uid="{00000000-0006-0000-0500-00007E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90" authorId="0" shapeId="0" xr:uid="{00000000-0006-0000-0500-00007F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90" authorId="0" shapeId="0" xr:uid="{00000000-0006-0000-0500-000080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90" authorId="0" shapeId="0" xr:uid="{00000000-0006-0000-0500-000081000000}">
      <text>
        <r>
          <rPr>
            <b/>
            <sz val="9"/>
            <color indexed="81"/>
            <rFont val="Tahoma"/>
            <family val="2"/>
          </rPr>
          <t>80123558:</t>
        </r>
        <r>
          <rPr>
            <sz val="9"/>
            <color indexed="81"/>
            <rFont val="Tahoma"/>
            <family val="2"/>
          </rPr>
          <t xml:space="preserve">
Devuelve el valor total del consumo asociado a cada variable.</t>
        </r>
      </text>
    </comment>
    <comment ref="R90" authorId="0" shapeId="0" xr:uid="{00000000-0006-0000-0500-000082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90" authorId="0" shapeId="0" xr:uid="{00000000-0006-0000-0500-000083000000}">
      <text>
        <r>
          <rPr>
            <b/>
            <sz val="9"/>
            <color indexed="81"/>
            <rFont val="Tahoma"/>
            <family val="2"/>
          </rPr>
          <t>80123558:</t>
        </r>
        <r>
          <rPr>
            <sz val="9"/>
            <color indexed="81"/>
            <rFont val="Tahoma"/>
            <family val="2"/>
          </rPr>
          <t xml:space="preserve">
Devuelve el promedio de los valores consignados en las casillas de "DATOS 1 al 12".</t>
        </r>
      </text>
    </comment>
    <comment ref="T90" authorId="0" shapeId="0" xr:uid="{00000000-0006-0000-0500-000084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90" authorId="0" shapeId="0" xr:uid="{00000000-0006-0000-0500-000085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90" authorId="0" shapeId="0" xr:uid="{00000000-0006-0000-0500-000086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C95" authorId="0" shapeId="0" xr:uid="{00000000-0006-0000-0500-000087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95" authorId="0" shapeId="0" xr:uid="{00000000-0006-0000-0500-000088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95" authorId="0" shapeId="0" xr:uid="{00000000-0006-0000-0500-000089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95" authorId="0" shapeId="0" xr:uid="{00000000-0006-0000-0500-00008A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95" authorId="0" shapeId="0" xr:uid="{00000000-0006-0000-0500-00008B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95" authorId="0" shapeId="0" xr:uid="{00000000-0006-0000-0500-00008C000000}">
      <text>
        <r>
          <rPr>
            <b/>
            <sz val="9"/>
            <color indexed="81"/>
            <rFont val="Tahoma"/>
            <family val="2"/>
          </rPr>
          <t>80123558:</t>
        </r>
        <r>
          <rPr>
            <sz val="9"/>
            <color indexed="81"/>
            <rFont val="Tahoma"/>
            <family val="2"/>
          </rPr>
          <t xml:space="preserve">
Devuelve el valor agregado de las incertidumbre para la categoría en referencia.</t>
        </r>
      </text>
    </comment>
    <comment ref="C103" authorId="0" shapeId="0" xr:uid="{00000000-0006-0000-0500-00008D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103" authorId="0" shapeId="0" xr:uid="{00000000-0006-0000-0500-00008E000000}">
      <text>
        <r>
          <rPr>
            <b/>
            <sz val="9"/>
            <color indexed="81"/>
            <rFont val="Tahoma"/>
            <family val="2"/>
          </rPr>
          <t>80123558:</t>
        </r>
        <r>
          <rPr>
            <sz val="9"/>
            <color indexed="81"/>
            <rFont val="Tahoma"/>
            <family val="2"/>
          </rPr>
          <t xml:space="preserve">
Devuelve el valor de las emisiones de GEI asociadas a la variable elegida.</t>
        </r>
      </text>
    </comment>
    <comment ref="BG103" authorId="0" shapeId="0" xr:uid="{00000000-0006-0000-0500-00008F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104" authorId="0" shapeId="0" xr:uid="{00000000-0006-0000-0500-000090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104" authorId="0" shapeId="0" xr:uid="{00000000-0006-0000-0500-000091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104" authorId="0" shapeId="0" xr:uid="{00000000-0006-0000-0500-000092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104" authorId="0" shapeId="0" xr:uid="{00000000-0006-0000-0500-000093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104" authorId="0" shapeId="0" xr:uid="{00000000-0006-0000-0500-000094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104" authorId="0" shapeId="0" xr:uid="{00000000-0006-0000-0500-000095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104" authorId="0" shapeId="0" xr:uid="{00000000-0006-0000-0500-000096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104" authorId="0" shapeId="0" xr:uid="{00000000-0006-0000-0500-000097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104" authorId="0" shapeId="0" xr:uid="{00000000-0006-0000-0500-000098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104" authorId="0" shapeId="0" xr:uid="{00000000-0006-0000-0500-000099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104" authorId="0" shapeId="0" xr:uid="{00000000-0006-0000-0500-00009A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104" authorId="0" shapeId="0" xr:uid="{00000000-0006-0000-0500-00009B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104" authorId="0" shapeId="0" xr:uid="{00000000-0006-0000-0500-00009C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104" authorId="0" shapeId="0" xr:uid="{00000000-0006-0000-0500-00009D000000}">
      <text>
        <r>
          <rPr>
            <b/>
            <sz val="9"/>
            <color indexed="81"/>
            <rFont val="Tahoma"/>
            <family val="2"/>
          </rPr>
          <t>80123558:</t>
        </r>
        <r>
          <rPr>
            <sz val="9"/>
            <color indexed="81"/>
            <rFont val="Tahoma"/>
            <family val="2"/>
          </rPr>
          <t xml:space="preserve">
Devuelve el valor total del consumo asociado a cada variable.</t>
        </r>
      </text>
    </comment>
    <comment ref="R104" authorId="0" shapeId="0" xr:uid="{00000000-0006-0000-0500-00009E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104" authorId="0" shapeId="0" xr:uid="{00000000-0006-0000-0500-00009F000000}">
      <text>
        <r>
          <rPr>
            <b/>
            <sz val="9"/>
            <color indexed="81"/>
            <rFont val="Tahoma"/>
            <family val="2"/>
          </rPr>
          <t>80123558:</t>
        </r>
        <r>
          <rPr>
            <sz val="9"/>
            <color indexed="81"/>
            <rFont val="Tahoma"/>
            <family val="2"/>
          </rPr>
          <t xml:space="preserve">
Devuelve el promedio de los valores consignados en las casillas de "DATOS 1 al 12".</t>
        </r>
      </text>
    </comment>
    <comment ref="T104" authorId="0" shapeId="0" xr:uid="{00000000-0006-0000-0500-0000A0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104" authorId="0" shapeId="0" xr:uid="{00000000-0006-0000-0500-0000A1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104" authorId="0" shapeId="0" xr:uid="{00000000-0006-0000-0500-0000A2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C113" authorId="0" shapeId="0" xr:uid="{00000000-0006-0000-0500-0000A3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113" authorId="0" shapeId="0" xr:uid="{00000000-0006-0000-0500-0000A4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113" authorId="0" shapeId="0" xr:uid="{00000000-0006-0000-0500-0000A5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113" authorId="0" shapeId="0" xr:uid="{00000000-0006-0000-0500-0000A6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113" authorId="0" shapeId="0" xr:uid="{00000000-0006-0000-0500-0000A7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113" authorId="0" shapeId="0" xr:uid="{00000000-0006-0000-0500-0000A8000000}">
      <text>
        <r>
          <rPr>
            <b/>
            <sz val="9"/>
            <color indexed="81"/>
            <rFont val="Tahoma"/>
            <family val="2"/>
          </rPr>
          <t>80123558:</t>
        </r>
        <r>
          <rPr>
            <sz val="9"/>
            <color indexed="81"/>
            <rFont val="Tahoma"/>
            <family val="2"/>
          </rPr>
          <t xml:space="preserve">
Devuelve el valor agregado de las incertidumbre para la categoría en referencia.</t>
        </r>
      </text>
    </comment>
    <comment ref="AC122" authorId="0" shapeId="0" xr:uid="{00000000-0006-0000-0500-0000A9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122" authorId="0" shapeId="0" xr:uid="{00000000-0006-0000-0500-0000AA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122" authorId="0" shapeId="0" xr:uid="{00000000-0006-0000-0500-0000AB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122" authorId="0" shapeId="0" xr:uid="{00000000-0006-0000-0500-0000AC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122" authorId="0" shapeId="0" xr:uid="{00000000-0006-0000-0500-0000AD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122" authorId="0" shapeId="0" xr:uid="{00000000-0006-0000-0500-0000AE000000}">
      <text>
        <r>
          <rPr>
            <b/>
            <sz val="9"/>
            <color indexed="81"/>
            <rFont val="Tahoma"/>
            <family val="2"/>
          </rPr>
          <t>80123558:</t>
        </r>
        <r>
          <rPr>
            <sz val="9"/>
            <color indexed="81"/>
            <rFont val="Tahoma"/>
            <family val="2"/>
          </rPr>
          <t xml:space="preserve">
Devuelve el valor agregado de las incertidumbre para la categoría en referencia.</t>
        </r>
      </text>
    </comment>
    <comment ref="AC123" authorId="0" shapeId="0" xr:uid="{00000000-0006-0000-0500-0000AF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123" authorId="0" shapeId="0" xr:uid="{00000000-0006-0000-0500-0000B0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123" authorId="0" shapeId="0" xr:uid="{00000000-0006-0000-0500-0000B1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123" authorId="0" shapeId="0" xr:uid="{00000000-0006-0000-0500-0000B2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123" authorId="0" shapeId="0" xr:uid="{00000000-0006-0000-0500-0000B3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123" authorId="0" shapeId="0" xr:uid="{00000000-0006-0000-0500-0000B4000000}">
      <text>
        <r>
          <rPr>
            <b/>
            <sz val="9"/>
            <color indexed="81"/>
            <rFont val="Tahoma"/>
            <family val="2"/>
          </rPr>
          <t>80123558:</t>
        </r>
        <r>
          <rPr>
            <sz val="9"/>
            <color indexed="81"/>
            <rFont val="Tahoma"/>
            <family val="2"/>
          </rPr>
          <t xml:space="preserve">
Devuelve el valor agregado de las incertidumbre para la categoría en referencia.</t>
        </r>
      </text>
    </comment>
    <comment ref="C126" authorId="0" shapeId="0" xr:uid="{00000000-0006-0000-0500-0000B5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126" authorId="0" shapeId="0" xr:uid="{00000000-0006-0000-0500-0000B6000000}">
      <text>
        <r>
          <rPr>
            <b/>
            <sz val="9"/>
            <color indexed="81"/>
            <rFont val="Tahoma"/>
            <family val="2"/>
          </rPr>
          <t>80123558:</t>
        </r>
        <r>
          <rPr>
            <sz val="9"/>
            <color indexed="81"/>
            <rFont val="Tahoma"/>
            <family val="2"/>
          </rPr>
          <t xml:space="preserve">
Devuelve el valor de las emisiones de GEI asociadas a la variable elegida.</t>
        </r>
      </text>
    </comment>
    <comment ref="BG126" authorId="0" shapeId="0" xr:uid="{00000000-0006-0000-0500-0000B7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127" authorId="0" shapeId="0" xr:uid="{00000000-0006-0000-0500-0000B8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127" authorId="0" shapeId="0" xr:uid="{00000000-0006-0000-0500-0000B9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127" authorId="0" shapeId="0" xr:uid="{00000000-0006-0000-0500-0000BA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127" authorId="0" shapeId="0" xr:uid="{00000000-0006-0000-0500-0000BB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127" authorId="0" shapeId="0" xr:uid="{00000000-0006-0000-0500-0000BC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127" authorId="0" shapeId="0" xr:uid="{00000000-0006-0000-0500-0000BD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127" authorId="0" shapeId="0" xr:uid="{00000000-0006-0000-0500-0000BE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127" authorId="0" shapeId="0" xr:uid="{00000000-0006-0000-0500-0000BF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127" authorId="0" shapeId="0" xr:uid="{00000000-0006-0000-0500-0000C0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127" authorId="0" shapeId="0" xr:uid="{00000000-0006-0000-0500-0000C1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127" authorId="0" shapeId="0" xr:uid="{00000000-0006-0000-0500-0000C2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127" authorId="0" shapeId="0" xr:uid="{00000000-0006-0000-0500-0000C3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127" authorId="0" shapeId="0" xr:uid="{00000000-0006-0000-0500-0000C4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127" authorId="0" shapeId="0" xr:uid="{00000000-0006-0000-0500-0000C5000000}">
      <text>
        <r>
          <rPr>
            <b/>
            <sz val="9"/>
            <color indexed="81"/>
            <rFont val="Tahoma"/>
            <family val="2"/>
          </rPr>
          <t>80123558:</t>
        </r>
        <r>
          <rPr>
            <sz val="9"/>
            <color indexed="81"/>
            <rFont val="Tahoma"/>
            <family val="2"/>
          </rPr>
          <t xml:space="preserve">
Devuelve el valor total del consumo asociado a cada variable.</t>
        </r>
      </text>
    </comment>
    <comment ref="R127" authorId="0" shapeId="0" xr:uid="{00000000-0006-0000-0500-0000C6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127" authorId="0" shapeId="0" xr:uid="{00000000-0006-0000-0500-0000C7000000}">
      <text>
        <r>
          <rPr>
            <b/>
            <sz val="9"/>
            <color indexed="81"/>
            <rFont val="Tahoma"/>
            <family val="2"/>
          </rPr>
          <t>80123558:</t>
        </r>
        <r>
          <rPr>
            <sz val="9"/>
            <color indexed="81"/>
            <rFont val="Tahoma"/>
            <family val="2"/>
          </rPr>
          <t xml:space="preserve">
Devuelve el promedio de los valores consignados en las casillas de "DATOS 1 al 12".</t>
        </r>
      </text>
    </comment>
    <comment ref="T127" authorId="0" shapeId="0" xr:uid="{00000000-0006-0000-0500-0000C8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127" authorId="0" shapeId="0" xr:uid="{00000000-0006-0000-0500-0000C9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127" authorId="0" shapeId="0" xr:uid="{00000000-0006-0000-0500-0000CA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C153" authorId="0" shapeId="0" xr:uid="{00000000-0006-0000-0500-0000CB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153" authorId="0" shapeId="0" xr:uid="{00000000-0006-0000-0500-0000CC000000}">
      <text>
        <r>
          <rPr>
            <b/>
            <sz val="9"/>
            <color indexed="81"/>
            <rFont val="Tahoma"/>
            <family val="2"/>
          </rPr>
          <t>80123558:</t>
        </r>
        <r>
          <rPr>
            <sz val="9"/>
            <color indexed="81"/>
            <rFont val="Tahoma"/>
            <family val="2"/>
          </rPr>
          <t xml:space="preserve">
Devuelve el valor de las emisiones de GEI asociadas a la variable elegida.</t>
        </r>
      </text>
    </comment>
    <comment ref="BG153" authorId="0" shapeId="0" xr:uid="{00000000-0006-0000-0500-0000CD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154" authorId="0" shapeId="0" xr:uid="{00000000-0006-0000-0500-0000CE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154" authorId="0" shapeId="0" xr:uid="{00000000-0006-0000-0500-0000CF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154" authorId="0" shapeId="0" xr:uid="{00000000-0006-0000-0500-0000D0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154" authorId="0" shapeId="0" xr:uid="{00000000-0006-0000-0500-0000D1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154" authorId="0" shapeId="0" xr:uid="{00000000-0006-0000-0500-0000D2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154" authorId="0" shapeId="0" xr:uid="{00000000-0006-0000-0500-0000D3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154" authorId="0" shapeId="0" xr:uid="{00000000-0006-0000-0500-0000D4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154" authorId="0" shapeId="0" xr:uid="{00000000-0006-0000-0500-0000D5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154" authorId="0" shapeId="0" xr:uid="{00000000-0006-0000-0500-0000D6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154" authorId="0" shapeId="0" xr:uid="{00000000-0006-0000-0500-0000D7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154" authorId="0" shapeId="0" xr:uid="{00000000-0006-0000-0500-0000D8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154" authorId="0" shapeId="0" xr:uid="{00000000-0006-0000-0500-0000D9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154" authorId="0" shapeId="0" xr:uid="{00000000-0006-0000-0500-0000DA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154" authorId="0" shapeId="0" xr:uid="{00000000-0006-0000-0500-0000DB000000}">
      <text>
        <r>
          <rPr>
            <b/>
            <sz val="9"/>
            <color indexed="81"/>
            <rFont val="Tahoma"/>
            <family val="2"/>
          </rPr>
          <t>80123558:</t>
        </r>
        <r>
          <rPr>
            <sz val="9"/>
            <color indexed="81"/>
            <rFont val="Tahoma"/>
            <family val="2"/>
          </rPr>
          <t xml:space="preserve">
Devuelve el valor total del consumo asociado a cada variable.</t>
        </r>
      </text>
    </comment>
    <comment ref="R154" authorId="0" shapeId="0" xr:uid="{00000000-0006-0000-0500-0000DC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154" authorId="0" shapeId="0" xr:uid="{00000000-0006-0000-0500-0000DD000000}">
      <text>
        <r>
          <rPr>
            <b/>
            <sz val="9"/>
            <color indexed="81"/>
            <rFont val="Tahoma"/>
            <family val="2"/>
          </rPr>
          <t>80123558:</t>
        </r>
        <r>
          <rPr>
            <sz val="9"/>
            <color indexed="81"/>
            <rFont val="Tahoma"/>
            <family val="2"/>
          </rPr>
          <t xml:space="preserve">
Devuelve el promedio de los valores consignados en las casillas de "DATOS 1 al 12".</t>
        </r>
      </text>
    </comment>
    <comment ref="T154" authorId="0" shapeId="0" xr:uid="{00000000-0006-0000-0500-0000DE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154" authorId="0" shapeId="0" xr:uid="{00000000-0006-0000-0500-0000DF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154" authorId="0" shapeId="0" xr:uid="{00000000-0006-0000-0500-0000E0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C155" authorId="2" shapeId="0" xr:uid="{00000000-0006-0000-0500-0000E1000000}">
      <text>
        <r>
          <rPr>
            <b/>
            <sz val="9"/>
            <color indexed="81"/>
            <rFont val="Tahoma"/>
            <family val="2"/>
          </rPr>
          <t>Gloria Mercedes Robles Quintana:</t>
        </r>
        <r>
          <rPr>
            <sz val="9"/>
            <color indexed="81"/>
            <rFont val="Tahoma"/>
            <family val="2"/>
          </rPr>
          <t xml:space="preserve">
Administrativo</t>
        </r>
      </text>
    </comment>
    <comment ref="C160" authorId="0" shapeId="0" xr:uid="{00000000-0006-0000-0500-0000E2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BF160" authorId="0" shapeId="0" xr:uid="{00000000-0006-0000-0500-0000E3000000}">
      <text>
        <r>
          <rPr>
            <b/>
            <sz val="9"/>
            <color indexed="81"/>
            <rFont val="Tahoma"/>
            <family val="2"/>
          </rPr>
          <t>80123558:</t>
        </r>
        <r>
          <rPr>
            <sz val="9"/>
            <color indexed="81"/>
            <rFont val="Tahoma"/>
            <family val="2"/>
          </rPr>
          <t xml:space="preserve">
Devuelve el valor de las emisiones de GEI asociadas a la variable elegida.</t>
        </r>
      </text>
    </comment>
    <comment ref="BG160" authorId="0" shapeId="0" xr:uid="{00000000-0006-0000-0500-0000E4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161" authorId="0" shapeId="0" xr:uid="{00000000-0006-0000-0500-0000E5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161" authorId="0" shapeId="0" xr:uid="{00000000-0006-0000-0500-0000E6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161" authorId="0" shapeId="0" xr:uid="{00000000-0006-0000-0500-0000E7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161" authorId="0" shapeId="0" xr:uid="{00000000-0006-0000-0500-0000E8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161" authorId="0" shapeId="0" xr:uid="{00000000-0006-0000-0500-0000E9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161" authorId="0" shapeId="0" xr:uid="{00000000-0006-0000-0500-0000EA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161" authorId="0" shapeId="0" xr:uid="{00000000-0006-0000-0500-0000EB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161" authorId="0" shapeId="0" xr:uid="{00000000-0006-0000-0500-0000EC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161" authorId="0" shapeId="0" xr:uid="{00000000-0006-0000-0500-0000ED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161" authorId="0" shapeId="0" xr:uid="{00000000-0006-0000-0500-0000EE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161" authorId="0" shapeId="0" xr:uid="{00000000-0006-0000-0500-0000EF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161" authorId="0" shapeId="0" xr:uid="{00000000-0006-0000-0500-0000F0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161" authorId="0" shapeId="0" xr:uid="{00000000-0006-0000-0500-0000F1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161" authorId="0" shapeId="0" xr:uid="{00000000-0006-0000-0500-0000F2000000}">
      <text>
        <r>
          <rPr>
            <b/>
            <sz val="9"/>
            <color indexed="81"/>
            <rFont val="Tahoma"/>
            <family val="2"/>
          </rPr>
          <t>80123558:</t>
        </r>
        <r>
          <rPr>
            <sz val="9"/>
            <color indexed="81"/>
            <rFont val="Tahoma"/>
            <family val="2"/>
          </rPr>
          <t xml:space="preserve">
Devuelve el valor total del consumo asociado a cada variable.</t>
        </r>
      </text>
    </comment>
    <comment ref="R161" authorId="0" shapeId="0" xr:uid="{00000000-0006-0000-0500-0000F3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161" authorId="0" shapeId="0" xr:uid="{00000000-0006-0000-0500-0000F4000000}">
      <text>
        <r>
          <rPr>
            <b/>
            <sz val="9"/>
            <color indexed="81"/>
            <rFont val="Tahoma"/>
            <family val="2"/>
          </rPr>
          <t>80123558:</t>
        </r>
        <r>
          <rPr>
            <sz val="9"/>
            <color indexed="81"/>
            <rFont val="Tahoma"/>
            <family val="2"/>
          </rPr>
          <t xml:space="preserve">
Devuelve el promedio de los valores consignados en las casillas de "DATOS 1 al 12".</t>
        </r>
      </text>
    </comment>
    <comment ref="T161" authorId="0" shapeId="0" xr:uid="{00000000-0006-0000-0500-0000F5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161" authorId="0" shapeId="0" xr:uid="{00000000-0006-0000-0500-0000F6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161" authorId="0" shapeId="0" xr:uid="{00000000-0006-0000-0500-0000F7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C180" authorId="0" shapeId="0" xr:uid="{00000000-0006-0000-0500-0000F8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180" authorId="0" shapeId="0" xr:uid="{00000000-0006-0000-0500-0000F9000000}">
      <text>
        <r>
          <rPr>
            <b/>
            <sz val="9"/>
            <color indexed="81"/>
            <rFont val="Tahoma"/>
            <family val="2"/>
          </rPr>
          <t>80123558:</t>
        </r>
        <r>
          <rPr>
            <sz val="9"/>
            <color indexed="81"/>
            <rFont val="Tahoma"/>
            <family val="2"/>
          </rPr>
          <t xml:space="preserve">
Devuelve el valor agregado de las incertidumbre para la categoría en referencia.</t>
        </r>
      </text>
    </comment>
    <comment ref="AQ180" authorId="0" shapeId="0" xr:uid="{00000000-0006-0000-0500-0000FA000000}">
      <text>
        <r>
          <rPr>
            <b/>
            <sz val="9"/>
            <color indexed="81"/>
            <rFont val="Tahoma"/>
            <family val="2"/>
          </rPr>
          <t>80123558:</t>
        </r>
        <r>
          <rPr>
            <sz val="9"/>
            <color indexed="81"/>
            <rFont val="Tahoma"/>
            <family val="2"/>
          </rPr>
          <t xml:space="preserve">
Devuelve el valor agregado de las incertidumbre para la categoría en referencia.</t>
        </r>
      </text>
    </comment>
    <comment ref="AW180" authorId="0" shapeId="0" xr:uid="{00000000-0006-0000-0500-0000FB000000}">
      <text>
        <r>
          <rPr>
            <b/>
            <sz val="9"/>
            <color indexed="81"/>
            <rFont val="Tahoma"/>
            <family val="2"/>
          </rPr>
          <t>80123558:</t>
        </r>
        <r>
          <rPr>
            <sz val="9"/>
            <color indexed="81"/>
            <rFont val="Tahoma"/>
            <family val="2"/>
          </rPr>
          <t xml:space="preserve">
Devuelve el valor agregado de las incertidumbre para la categoría en referencia.</t>
        </r>
      </text>
    </comment>
    <comment ref="BD180" authorId="0" shapeId="0" xr:uid="{00000000-0006-0000-0500-0000FC000000}">
      <text>
        <r>
          <rPr>
            <b/>
            <sz val="9"/>
            <color indexed="81"/>
            <rFont val="Tahoma"/>
            <family val="2"/>
          </rPr>
          <t>80123558:</t>
        </r>
        <r>
          <rPr>
            <sz val="9"/>
            <color indexed="81"/>
            <rFont val="Tahoma"/>
            <family val="2"/>
          </rPr>
          <t xml:space="preserve">
Devuelve el valor agregado de las incertidumbre para la categoría en referencia.</t>
        </r>
      </text>
    </comment>
    <comment ref="BG180" authorId="0" shapeId="0" xr:uid="{00000000-0006-0000-0500-0000FD000000}">
      <text>
        <r>
          <rPr>
            <b/>
            <sz val="9"/>
            <color indexed="81"/>
            <rFont val="Tahoma"/>
            <family val="2"/>
          </rPr>
          <t>80123558:</t>
        </r>
        <r>
          <rPr>
            <sz val="9"/>
            <color indexed="81"/>
            <rFont val="Tahoma"/>
            <family val="2"/>
          </rPr>
          <t xml:space="preserve">
Devuelve el valor agregado de las incertidumbre para la categoría en referencia.</t>
        </r>
      </text>
    </comment>
    <comment ref="BK208" authorId="1" shapeId="0" xr:uid="{00000000-0006-0000-0500-0000FE000000}">
      <text>
        <r>
          <rPr>
            <b/>
            <sz val="9"/>
            <color indexed="81"/>
            <rFont val="Tahoma"/>
            <family val="2"/>
          </rPr>
          <t>WERD:</t>
        </r>
        <r>
          <rPr>
            <sz val="9"/>
            <color indexed="81"/>
            <rFont val="Tahoma"/>
            <family val="2"/>
          </rPr>
          <t xml:space="preserve">
Emisiones de biomasa no se deben contabilizar con los alcances, pero las asociadas a CH4 y N2O, si se incluyen en el alcance correspondiente. </t>
        </r>
      </text>
    </comment>
    <comment ref="BK233" authorId="1" shapeId="0" xr:uid="{00000000-0006-0000-0500-0000FF000000}">
      <text>
        <r>
          <rPr>
            <b/>
            <sz val="9"/>
            <color indexed="81"/>
            <rFont val="Tahoma"/>
            <family val="2"/>
          </rPr>
          <t>WERD:</t>
        </r>
        <r>
          <rPr>
            <sz val="9"/>
            <color indexed="81"/>
            <rFont val="Tahoma"/>
            <family val="2"/>
          </rPr>
          <t xml:space="preserve">
Emisiones de biomasa no se deben contabilizar con los alcances, pero las asociadas a CH4 y N2O, si se incluyen en el alcance correspondiente. </t>
        </r>
      </text>
    </comment>
    <comment ref="BK243" authorId="1" shapeId="0" xr:uid="{00000000-0006-0000-0500-000000010000}">
      <text>
        <r>
          <rPr>
            <b/>
            <sz val="9"/>
            <color indexed="81"/>
            <rFont val="Tahoma"/>
            <family val="2"/>
          </rPr>
          <t>WERD:</t>
        </r>
        <r>
          <rPr>
            <sz val="9"/>
            <color indexed="81"/>
            <rFont val="Tahoma"/>
            <family val="2"/>
          </rPr>
          <t xml:space="preserve">
Emisiones de biomasa no se deben contabilizar con los alcances, pero las asociadas a CH4 y N2O, si se incluyen en el alcance correspondiente. </t>
        </r>
      </text>
    </comment>
    <comment ref="BI269" authorId="3" shapeId="0" xr:uid="{00000000-0006-0000-0500-000001010000}">
      <text>
        <r>
          <rPr>
            <b/>
            <sz val="9"/>
            <color indexed="81"/>
            <rFont val="Tahoma"/>
            <family val="2"/>
          </rPr>
          <t>oficina:</t>
        </r>
        <r>
          <rPr>
            <sz val="9"/>
            <color indexed="81"/>
            <rFont val="Tahoma"/>
            <family val="2"/>
          </rPr>
          <t xml:space="preserve">
GWP confirmado en tres fuentes: 
- http://www.lindegas.hu/internet.lg.lg.hun/hu/images/Linde%2520R290%2520Refrigerant%2520Grade%2520Propane71_11493.pdf 
- http://www.engineeringtoolbox.com/refrigerants-properties-d_145.html
- http://docs.lib.purdue.edu/cgi/viewcontent.cgi?article=2086&amp;context=icec</t>
        </r>
      </text>
    </comment>
    <comment ref="BI282" authorId="3" shapeId="0" xr:uid="{00000000-0006-0000-0500-000002010000}">
      <text>
        <r>
          <rPr>
            <b/>
            <sz val="9"/>
            <color indexed="81"/>
            <rFont val="Tahoma"/>
            <family val="2"/>
          </rPr>
          <t>oficina:</t>
        </r>
        <r>
          <rPr>
            <sz val="9"/>
            <color indexed="81"/>
            <rFont val="Tahoma"/>
            <family val="2"/>
          </rPr>
          <t xml:space="preserve">
GWP confirmado en tres fuentes: 
- http://www.lindegas.hu/internet.lg.lg.hun/hu/images/Linde%2520R290%2520Refrigerant%2520Grade%2520Propane71_11493.pdf 
- http://www.engineeringtoolbox.com/refrigerants-properties-d_145.html
- http://docs.lib.purdue.edu/cgi/viewcontent.cgi?article=2086&amp;context=icec</t>
        </r>
      </text>
    </comment>
    <comment ref="BI283" authorId="3" shapeId="0" xr:uid="{00000000-0006-0000-0500-000003010000}">
      <text>
        <r>
          <rPr>
            <b/>
            <sz val="9"/>
            <color indexed="81"/>
            <rFont val="Tahoma"/>
            <family val="2"/>
          </rPr>
          <t>oficina:</t>
        </r>
        <r>
          <rPr>
            <sz val="9"/>
            <color indexed="81"/>
            <rFont val="Tahoma"/>
            <family val="2"/>
          </rPr>
          <t xml:space="preserve">
GWP confirmado en tres fuentes: 
- http://www.lindegas.hu/internet.lg.lg.hun/hu/images/Linde%2520R290%2520Refrigerant%2520Grade%2520Propane71_11493.pdf 
- http://www.engineeringtoolbox.com/refrigerants-properties-d_145.html
- http://docs.lib.purdue.edu/cgi/viewcontent.cgi?article=2086&amp;context=icec</t>
        </r>
      </text>
    </comment>
    <comment ref="AU370" authorId="1" shapeId="0" xr:uid="{00000000-0006-0000-0500-000004010000}">
      <text>
        <r>
          <rPr>
            <b/>
            <sz val="9"/>
            <color indexed="81"/>
            <rFont val="Tahoma"/>
            <family val="2"/>
          </rPr>
          <t>WERD:</t>
        </r>
        <r>
          <rPr>
            <sz val="9"/>
            <color indexed="81"/>
            <rFont val="Tahoma"/>
            <family val="2"/>
          </rPr>
          <t xml:space="preserve">
Tomados de la metodología 2006 del IPCC</t>
        </r>
      </text>
    </comment>
    <comment ref="BM381" authorId="1" shapeId="0" xr:uid="{00000000-0006-0000-0500-000005010000}">
      <text>
        <r>
          <rPr>
            <b/>
            <sz val="9"/>
            <color indexed="81"/>
            <rFont val="Tahoma"/>
            <family val="2"/>
          </rPr>
          <t>WERD:</t>
        </r>
        <r>
          <rPr>
            <sz val="9"/>
            <color indexed="81"/>
            <rFont val="Tahoma"/>
            <family val="2"/>
          </rPr>
          <t xml:space="preserve">
Se toma valor de incertidumbre recomendado por IPCC 2006 para factores de Nivel 2</t>
        </r>
      </text>
    </comment>
    <comment ref="BM382" authorId="1" shapeId="0" xr:uid="{00000000-0006-0000-0500-000006010000}">
      <text>
        <r>
          <rPr>
            <b/>
            <sz val="9"/>
            <color indexed="81"/>
            <rFont val="Tahoma"/>
            <family val="2"/>
          </rPr>
          <t>WERD:</t>
        </r>
        <r>
          <rPr>
            <sz val="9"/>
            <color indexed="81"/>
            <rFont val="Tahoma"/>
            <family val="2"/>
          </rPr>
          <t xml:space="preserve">
Se toma valor de incertidumbre recomendado por IPCC 2006 para factores de Nivel 2</t>
        </r>
      </text>
    </comment>
    <comment ref="BM383" authorId="1" shapeId="0" xr:uid="{00000000-0006-0000-0500-000007010000}">
      <text>
        <r>
          <rPr>
            <b/>
            <sz val="9"/>
            <color indexed="81"/>
            <rFont val="Tahoma"/>
            <family val="2"/>
          </rPr>
          <t>WERD:</t>
        </r>
        <r>
          <rPr>
            <sz val="9"/>
            <color indexed="81"/>
            <rFont val="Tahoma"/>
            <family val="2"/>
          </rPr>
          <t xml:space="preserve">
Se toma valor de incertidumbre recomendado por IPCC 2006 para factores de Nivel 2</t>
        </r>
      </text>
    </comment>
    <comment ref="BM384" authorId="1" shapeId="0" xr:uid="{00000000-0006-0000-0500-000008010000}">
      <text>
        <r>
          <rPr>
            <b/>
            <sz val="9"/>
            <color indexed="81"/>
            <rFont val="Tahoma"/>
            <family val="2"/>
          </rPr>
          <t>WERD:</t>
        </r>
        <r>
          <rPr>
            <sz val="9"/>
            <color indexed="81"/>
            <rFont val="Tahoma"/>
            <family val="2"/>
          </rPr>
          <t xml:space="preserve">
Se toma valor de incertidumbre recomendado por IPCC 2006 para factores de Nivel 2</t>
        </r>
      </text>
    </comment>
    <comment ref="BM385" authorId="1" shapeId="0" xr:uid="{00000000-0006-0000-0500-000009010000}">
      <text>
        <r>
          <rPr>
            <b/>
            <sz val="9"/>
            <color indexed="81"/>
            <rFont val="Tahoma"/>
            <family val="2"/>
          </rPr>
          <t>WERD:</t>
        </r>
        <r>
          <rPr>
            <sz val="9"/>
            <color indexed="81"/>
            <rFont val="Tahoma"/>
            <family val="2"/>
          </rPr>
          <t xml:space="preserve">
Se toma valor de incertidumbre recomendado por IPCC 2006 para factores de Nivel 2</t>
        </r>
      </text>
    </comment>
    <comment ref="BM386" authorId="1" shapeId="0" xr:uid="{00000000-0006-0000-0500-00000A010000}">
      <text>
        <r>
          <rPr>
            <b/>
            <sz val="9"/>
            <color indexed="81"/>
            <rFont val="Tahoma"/>
            <family val="2"/>
          </rPr>
          <t>WERD:</t>
        </r>
        <r>
          <rPr>
            <sz val="9"/>
            <color indexed="81"/>
            <rFont val="Tahoma"/>
            <family val="2"/>
          </rPr>
          <t xml:space="preserve">
Se toma valor de incertidumbre recomendado por IPCC 2006 para factores de Nivel 2</t>
        </r>
      </text>
    </comment>
    <comment ref="BM387" authorId="1" shapeId="0" xr:uid="{00000000-0006-0000-0500-00000B010000}">
      <text>
        <r>
          <rPr>
            <b/>
            <sz val="9"/>
            <color indexed="81"/>
            <rFont val="Tahoma"/>
            <family val="2"/>
          </rPr>
          <t>WERD:</t>
        </r>
        <r>
          <rPr>
            <sz val="9"/>
            <color indexed="81"/>
            <rFont val="Tahoma"/>
            <family val="2"/>
          </rPr>
          <t xml:space="preserve">
Se toma valor de incertidumbre recomendado por IPCC 2006 para factores de Nivel 2</t>
        </r>
      </text>
    </comment>
    <comment ref="BO396" authorId="1" shapeId="0" xr:uid="{00000000-0006-0000-0500-00000C010000}">
      <text>
        <r>
          <rPr>
            <b/>
            <sz val="9"/>
            <color indexed="81"/>
            <rFont val="Tahoma"/>
            <family val="2"/>
          </rPr>
          <t>WERD:</t>
        </r>
        <r>
          <rPr>
            <sz val="9"/>
            <color indexed="81"/>
            <rFont val="Tahoma"/>
            <family val="2"/>
          </rPr>
          <t xml:space="preserve">
http://www.lrrd.org/lrrd27/10/moul27194.html</t>
        </r>
      </text>
    </comment>
    <comment ref="BO397" authorId="1" shapeId="0" xr:uid="{00000000-0006-0000-0500-00000D010000}">
      <text>
        <r>
          <rPr>
            <b/>
            <sz val="9"/>
            <color indexed="81"/>
            <rFont val="Tahoma"/>
            <family val="2"/>
          </rPr>
          <t>WERD:</t>
        </r>
        <r>
          <rPr>
            <sz val="9"/>
            <color indexed="81"/>
            <rFont val="Tahoma"/>
            <family val="2"/>
          </rPr>
          <t xml:space="preserve">
http://ajas.info/upload/pdf/18_137.pdf 
Wang SY, Huang DJ; Department of Animal Science, Chinese Culture University, 55 Hwa Kang Rd, Taipei, Taiwan, ROC; Assessment of Greenhouse Gas Emissions from Poultry Enteric Fermentation; 2004; Disponible en: http://ajas.info/upload/pdf/18_137.pdf</t>
        </r>
      </text>
    </comment>
    <comment ref="S400" authorId="1" shapeId="0" xr:uid="{00000000-0006-0000-0500-00000E010000}">
      <text>
        <r>
          <rPr>
            <b/>
            <sz val="9"/>
            <color indexed="81"/>
            <rFont val="Tahoma"/>
            <family val="2"/>
          </rPr>
          <t>WERD:</t>
        </r>
        <r>
          <rPr>
            <sz val="9"/>
            <color indexed="81"/>
            <rFont val="Tahoma"/>
            <family val="2"/>
          </rPr>
          <t xml:space="preserve">
FE=((Nindice * TAM * 365)*MS*FE)*(44/28)
Se toman Nindice  de la tabla 10,19
Se toman TAM de tablas de anexo 10A.2 
FE correspondiente a los sistemas de tratamiento según cuandro 10.21 
MS se toma como igual a 1 para cada sistema
IPCC 2006. Guidelines for National Greenhouse Gas Inventories. Vol 4. Cap 10</t>
        </r>
      </text>
    </comment>
    <comment ref="S401" authorId="1" shapeId="0" xr:uid="{00000000-0006-0000-0500-00000F010000}">
      <text>
        <r>
          <rPr>
            <b/>
            <sz val="9"/>
            <color indexed="81"/>
            <rFont val="Tahoma"/>
            <family val="2"/>
          </rPr>
          <t>WERD:</t>
        </r>
        <r>
          <rPr>
            <sz val="9"/>
            <color indexed="81"/>
            <rFont val="Tahoma"/>
            <family val="2"/>
          </rPr>
          <t xml:space="preserve">
Se manejan valores en la categoria de N2O de suelos</t>
        </r>
      </text>
    </comment>
    <comment ref="AN401" authorId="1" shapeId="0" xr:uid="{00000000-0006-0000-0500-000010010000}">
      <text>
        <r>
          <rPr>
            <b/>
            <sz val="9"/>
            <color indexed="81"/>
            <rFont val="Tahoma"/>
            <family val="2"/>
          </rPr>
          <t>WERD:</t>
        </r>
        <r>
          <rPr>
            <sz val="9"/>
            <color indexed="81"/>
            <rFont val="Tahoma"/>
            <family val="2"/>
          </rPr>
          <t xml:space="preserve">
FE=((Vs*365)*(Bo*0,67*∑(MCF/100)*Ms))
Se toman Vs y Bo de tablas de anexo 10A.2 
MCF crrespondiente a los sistemas de tratamiento según cuandro 10.17 tomando rangos mayores para cada nivel de temperatura promedio
Ms se toma como igual a 1 para cada sistema
IPCC 2006. Guidelines for National Greenhouse Gas Inventories. Vol 4. Cap 10</t>
        </r>
      </text>
    </comment>
    <comment ref="S402" authorId="1" shapeId="0" xr:uid="{00000000-0006-0000-0500-000011010000}">
      <text>
        <r>
          <rPr>
            <b/>
            <sz val="9"/>
            <color indexed="81"/>
            <rFont val="Tahoma"/>
            <family val="2"/>
          </rPr>
          <t>WERD:</t>
        </r>
        <r>
          <rPr>
            <sz val="9"/>
            <color indexed="81"/>
            <rFont val="Tahoma"/>
            <family val="2"/>
          </rPr>
          <t xml:space="preserve">
Se deja que el estiércol de los animales en pasturas o prados permanezca como tal, sin gestionarse.</t>
        </r>
      </text>
    </comment>
    <comment ref="T402" authorId="1" shapeId="0" xr:uid="{00000000-0006-0000-0500-000012010000}">
      <text>
        <r>
          <rPr>
            <b/>
            <sz val="9"/>
            <color indexed="81"/>
            <rFont val="Tahoma"/>
            <family val="2"/>
          </rPr>
          <t>WERD:</t>
        </r>
        <r>
          <rPr>
            <sz val="9"/>
            <color indexed="81"/>
            <rFont val="Tahoma"/>
            <family val="2"/>
          </rPr>
          <t xml:space="preserve">
Como rutina, el estiércol se saca de instalaciones de confinamiento y se aplica a tierras de cultivo o pasturas dentro de las 24 horas de su excreción</t>
        </r>
      </text>
    </comment>
    <comment ref="U402" authorId="1" shapeId="0" xr:uid="{00000000-0006-0000-0500-000013010000}">
      <text>
        <r>
          <rPr>
            <b/>
            <sz val="9"/>
            <color indexed="81"/>
            <rFont val="Tahoma"/>
            <family val="2"/>
          </rPr>
          <t>WERD:</t>
        </r>
        <r>
          <rPr>
            <sz val="9"/>
            <color indexed="81"/>
            <rFont val="Tahoma"/>
            <family val="2"/>
          </rPr>
          <t xml:space="preserve">
El almacenamiento de estiércol, habitualmente por períodos de varios meses, en pilas o parvas no confinadas. El estiércol puede apilarse debido a la presencia de una suficiente cantidad de material de cama o a la pérdida de humedad por evaporación.</t>
        </r>
      </text>
    </comment>
    <comment ref="V402" authorId="1" shapeId="0" xr:uid="{00000000-0006-0000-0500-000014010000}">
      <text>
        <r>
          <rPr>
            <b/>
            <sz val="9"/>
            <color indexed="81"/>
            <rFont val="Tahoma"/>
            <family val="2"/>
          </rPr>
          <t>WERD:</t>
        </r>
        <r>
          <rPr>
            <sz val="9"/>
            <color indexed="81"/>
            <rFont val="Tahoma"/>
            <family val="2"/>
          </rPr>
          <t xml:space="preserve">
Una zona de confinación pavimentada o no sin cobertura vegetativa alguna de la que el estiércol acumulado puede retirarse periódicamente.</t>
        </r>
      </text>
    </comment>
    <comment ref="W402" authorId="1" shapeId="0" xr:uid="{00000000-0006-0000-0500-000015010000}">
      <text>
        <r>
          <rPr>
            <b/>
            <sz val="9"/>
            <color indexed="81"/>
            <rFont val="Tahoma"/>
            <family val="2"/>
          </rPr>
          <t>WERD:</t>
        </r>
        <r>
          <rPr>
            <sz val="9"/>
            <color indexed="81"/>
            <rFont val="Tahoma"/>
            <family val="2"/>
          </rPr>
          <t xml:space="preserve">
El estiércol se almacena tal como se excretara o con un mínimo agregado de agua en tanques o en estanques de tierra fuera del lugar en el que están los animales, habitualmente por períodos de menos de un año.</t>
        </r>
      </text>
    </comment>
    <comment ref="X402" authorId="1" shapeId="0" xr:uid="{00000000-0006-0000-0500-000016010000}">
      <text>
        <r>
          <rPr>
            <b/>
            <sz val="9"/>
            <color indexed="81"/>
            <rFont val="Tahoma"/>
            <family val="2"/>
          </rPr>
          <t>WERD:</t>
        </r>
        <r>
          <rPr>
            <sz val="9"/>
            <color indexed="81"/>
            <rFont val="Tahoma"/>
            <family val="2"/>
          </rPr>
          <t xml:space="preserve">
Tipo de sistema de almacenamiento en líquido diseñado y operado para combinar la estabilización y el almacenamiento de desechos. Habitualmente, se utiliza el sobrenadante de la laguna para retirar el estiércol de las instalaciones de confinamiento relacionadas con ésta. Las lagunas anaeróbicas se diseñan para diversos períodos de almacenamiento (de hasta un año o más), según la región climática, la tasa de carga de sólidos volátiles y otros factores operativos. El agua de la laguna puede reciclarse como agua para limpieza o usarse para irrigar y fertilizar campos.</t>
        </r>
      </text>
    </comment>
    <comment ref="Y402" authorId="1" shapeId="0" xr:uid="{00000000-0006-0000-0500-000017010000}">
      <text>
        <r>
          <rPr>
            <b/>
            <sz val="9"/>
            <color indexed="81"/>
            <rFont val="Tahoma"/>
            <family val="2"/>
          </rPr>
          <t>WERD:</t>
        </r>
        <r>
          <rPr>
            <sz val="9"/>
            <color indexed="81"/>
            <rFont val="Tahoma"/>
            <family val="2"/>
          </rPr>
          <t xml:space="preserve">
Recogida y almacenamiento del estiércol, habitualmente con poco o ningún agregado de agua y comúnmente por debajo de un suelo emparrillado, en una instalación de confinamiento de animales, habitualmente por períodos de menos de un año.</t>
        </r>
      </text>
    </comment>
    <comment ref="Z402" authorId="1" shapeId="0" xr:uid="{00000000-0006-0000-0500-000018010000}">
      <text>
        <r>
          <rPr>
            <b/>
            <sz val="9"/>
            <color indexed="81"/>
            <rFont val="Tahoma"/>
            <family val="2"/>
          </rPr>
          <t>WERD:</t>
        </r>
        <r>
          <rPr>
            <sz val="9"/>
            <color indexed="81"/>
            <rFont val="Tahoma"/>
            <family val="2"/>
          </rPr>
          <t xml:space="preserve">
Recogida y almacenamiento del estiércol, habitualmente con poco o ningún agregado de agua y comúnmente por debajo de un suelo emparrillado, en una instalación de confinamiento de animales, habitualmente por períodos de menos de un año.</t>
        </r>
      </text>
    </comment>
    <comment ref="AA402" authorId="1" shapeId="0" xr:uid="{00000000-0006-0000-0500-000019010000}">
      <text>
        <r>
          <rPr>
            <b/>
            <sz val="9"/>
            <color indexed="81"/>
            <rFont val="Tahoma"/>
            <family val="2"/>
          </rPr>
          <t>WERD:</t>
        </r>
        <r>
          <rPr>
            <sz val="9"/>
            <color indexed="81"/>
            <rFont val="Tahoma"/>
            <family val="2"/>
          </rPr>
          <t xml:space="preserve">
Las excretas animales con o sin paja se recogen y se resumen anaeróbicamente en un gran tanque contenedor o en una laguna cubierta. En general, los digestores se diseñan y operan para la estabilización de los desechos mediante la reducción microbiana de compuestos orgánicos complejos de CO2 y CH4, que se capturan y queman o se usan como combustible.</t>
        </r>
      </text>
    </comment>
    <comment ref="AB402" authorId="1" shapeId="0" xr:uid="{00000000-0006-0000-0500-00001A010000}">
      <text>
        <r>
          <rPr>
            <b/>
            <sz val="9"/>
            <color indexed="81"/>
            <rFont val="Tahoma"/>
            <family val="2"/>
          </rPr>
          <t>WERD:</t>
        </r>
        <r>
          <rPr>
            <sz val="9"/>
            <color indexed="81"/>
            <rFont val="Tahoma"/>
            <family val="2"/>
          </rPr>
          <t xml:space="preserve">
El estiércol y la orina se excretan en el campo. Las tortas de estiércol secas se queman como combustible</t>
        </r>
      </text>
    </comment>
    <comment ref="AC402" authorId="1" shapeId="0" xr:uid="{00000000-0006-0000-0500-00001B010000}">
      <text>
        <r>
          <rPr>
            <b/>
            <sz val="9"/>
            <color indexed="81"/>
            <rFont val="Tahoma"/>
            <family val="2"/>
          </rPr>
          <t>WERD:</t>
        </r>
        <r>
          <rPr>
            <sz val="9"/>
            <color indexed="81"/>
            <rFont val="Tahoma"/>
            <family val="2"/>
          </rPr>
          <t xml:space="preserve">
Fabricación de compost, habitualmente en un canal cerrado, con aireación forzada y mezclado permanente.</t>
        </r>
      </text>
    </comment>
    <comment ref="AE402" authorId="1" shapeId="0" xr:uid="{00000000-0006-0000-0500-00001C010000}">
      <text>
        <r>
          <rPr>
            <b/>
            <sz val="9"/>
            <color indexed="81"/>
            <rFont val="Tahoma"/>
            <family val="2"/>
          </rPr>
          <t>WERD:</t>
        </r>
        <r>
          <rPr>
            <sz val="9"/>
            <color indexed="81"/>
            <rFont val="Tahoma"/>
            <family val="2"/>
          </rPr>
          <t xml:space="preserve">
Fabricación de compost en filas con medias vueltas frecuentes o regulares  para mezclado y aireación.</t>
        </r>
      </text>
    </comment>
    <comment ref="AF402" authorId="1" shapeId="0" xr:uid="{00000000-0006-0000-0500-00001D010000}">
      <text>
        <r>
          <rPr>
            <b/>
            <sz val="9"/>
            <color indexed="81"/>
            <rFont val="Tahoma"/>
            <family val="2"/>
          </rPr>
          <t>WERD:</t>
        </r>
        <r>
          <rPr>
            <sz val="9"/>
            <color indexed="81"/>
            <rFont val="Tahoma"/>
            <family val="2"/>
          </rPr>
          <t xml:space="preserve">
Similar a las camas profundas de vacunos y porcinos excepto porque, habitualmente, no se combina con engorde en corral o pastura. Comúnmente se emplea para lotes de aves de cría y para la producción de pollos para carne (parrilleros) y otras aves.
Puede ser similar a pozos abiertos en instalaciones cerradas de confinación de animales o puede diseñarse y operarse para secar el estiércol a medida que se acumula. Esto último se conoce como sistema elevado de gestión del estiércol y constituye una forma de fabricación pasiva de compost en filas cuando se lo diseña y opera correctamente.</t>
        </r>
      </text>
    </comment>
    <comment ref="AG402" authorId="1" shapeId="0" xr:uid="{00000000-0006-0000-0500-00001E010000}">
      <text>
        <r>
          <rPr>
            <b/>
            <sz val="9"/>
            <color indexed="81"/>
            <rFont val="Tahoma"/>
            <family val="2"/>
          </rPr>
          <t>WERD:</t>
        </r>
        <r>
          <rPr>
            <sz val="9"/>
            <color indexed="81"/>
            <rFont val="Tahoma"/>
            <family val="2"/>
          </rPr>
          <t xml:space="preserve">
La oxidación biológica del estiércol recolectado como líquido con aireación forzada o natural. La aireación natural se limita a estanques aeróbicos y de retención y a sistemas de humedales, y se debe fundamentalmente a la fotosíntesis. Por ende, habitualmente, estos sistemas se tornan anóxicos durante períodos sin luz solar.</t>
        </r>
      </text>
    </comment>
    <comment ref="AP402" authorId="1" shapeId="0" xr:uid="{00000000-0006-0000-0500-00001F010000}">
      <text>
        <r>
          <rPr>
            <b/>
            <sz val="9"/>
            <color indexed="81"/>
            <rFont val="Tahoma"/>
            <family val="2"/>
          </rPr>
          <t>WERD:</t>
        </r>
        <r>
          <rPr>
            <sz val="9"/>
            <color indexed="81"/>
            <rFont val="Tahoma"/>
            <family val="2"/>
          </rPr>
          <t xml:space="preserve">
Se deja que el estiércol de los animales en pasturas o prados permanezca como tal, sin gestionarse.</t>
        </r>
      </text>
    </comment>
    <comment ref="AQ402" authorId="1" shapeId="0" xr:uid="{00000000-0006-0000-0500-000020010000}">
      <text>
        <r>
          <rPr>
            <b/>
            <sz val="9"/>
            <color indexed="81"/>
            <rFont val="Tahoma"/>
            <family val="2"/>
          </rPr>
          <t>WERD:</t>
        </r>
        <r>
          <rPr>
            <sz val="9"/>
            <color indexed="81"/>
            <rFont val="Tahoma"/>
            <family val="2"/>
          </rPr>
          <t xml:space="preserve">
Como rutina, el estiércol se saca de instalaciones de confinamiento y se aplica a tierras de cultivo o pasturas dentro de las 24 horas de su excreción</t>
        </r>
      </text>
    </comment>
    <comment ref="AS402" authorId="1" shapeId="0" xr:uid="{00000000-0006-0000-0500-000021010000}">
      <text>
        <r>
          <rPr>
            <b/>
            <sz val="9"/>
            <color indexed="81"/>
            <rFont val="Tahoma"/>
            <family val="2"/>
          </rPr>
          <t>WERD:</t>
        </r>
        <r>
          <rPr>
            <sz val="9"/>
            <color indexed="81"/>
            <rFont val="Tahoma"/>
            <family val="2"/>
          </rPr>
          <t xml:space="preserve">
El almacenamiento de estiércol, habitualmente por períodos de varios meses, en pilas o parvas no confinadas. El estiércol puede apilarse debido a la presencia de una suficiente cantidad de material de cama o a la pérdida de humedad por evaporación.</t>
        </r>
      </text>
    </comment>
    <comment ref="AT402" authorId="1" shapeId="0" xr:uid="{00000000-0006-0000-0500-000022010000}">
      <text>
        <r>
          <rPr>
            <b/>
            <sz val="9"/>
            <color indexed="81"/>
            <rFont val="Tahoma"/>
            <family val="2"/>
          </rPr>
          <t>WERD:</t>
        </r>
        <r>
          <rPr>
            <sz val="9"/>
            <color indexed="81"/>
            <rFont val="Tahoma"/>
            <family val="2"/>
          </rPr>
          <t xml:space="preserve">
Una zona de confinación pavimentada o no sin cobertura vegetativa alguna de la que el estiércol acumulado puede retirarse periódicamente.</t>
        </r>
      </text>
    </comment>
    <comment ref="AU402" authorId="1" shapeId="0" xr:uid="{00000000-0006-0000-0500-000023010000}">
      <text>
        <r>
          <rPr>
            <b/>
            <sz val="9"/>
            <color indexed="81"/>
            <rFont val="Tahoma"/>
            <family val="2"/>
          </rPr>
          <t>WERD:</t>
        </r>
        <r>
          <rPr>
            <sz val="9"/>
            <color indexed="81"/>
            <rFont val="Tahoma"/>
            <family val="2"/>
          </rPr>
          <t xml:space="preserve">
El estiércol se almacena tal como se excretara o con un mínimo agregado de agua en tanques o en estanques de tierra fuera del lugar en el que están los animales, habitualmente por períodos de menos de un año.</t>
        </r>
      </text>
    </comment>
    <comment ref="AV402" authorId="1" shapeId="0" xr:uid="{00000000-0006-0000-0500-000024010000}">
      <text>
        <r>
          <rPr>
            <b/>
            <sz val="9"/>
            <color indexed="81"/>
            <rFont val="Tahoma"/>
            <family val="2"/>
          </rPr>
          <t>WERD:</t>
        </r>
        <r>
          <rPr>
            <sz val="9"/>
            <color indexed="81"/>
            <rFont val="Tahoma"/>
            <family val="2"/>
          </rPr>
          <t xml:space="preserve">
Tipo de sistema de almacenamiento en líquido diseñado y operado para combinar la estabilización y el almacenamiento de desechos. Habitualmente, se utiliza el sobrenadante de la laguna para retirar el estiércol de las instalaciones de confinamiento relacionadas con ésta. Las lagunas anaeróbicas se diseñan para diversos períodos de almacenamiento (de hasta un año o más), según la región climática, la tasa de carga de sólidos volátiles y otros factores operativos. El agua de la laguna puede reciclarse como agua para limpieza o usarse para irrigar y fertilizar campos.</t>
        </r>
      </text>
    </comment>
    <comment ref="AW402" authorId="1" shapeId="0" xr:uid="{00000000-0006-0000-0500-000025010000}">
      <text>
        <r>
          <rPr>
            <b/>
            <sz val="9"/>
            <color indexed="81"/>
            <rFont val="Tahoma"/>
            <family val="2"/>
          </rPr>
          <t>WERD:</t>
        </r>
        <r>
          <rPr>
            <sz val="9"/>
            <color indexed="81"/>
            <rFont val="Tahoma"/>
            <family val="2"/>
          </rPr>
          <t xml:space="preserve">
Recogida y almacenamiento del estiércol, habitualmente con poco o ningún agregado de agua y comúnmente por debajo de un suelo emparrillado, en una instalación de confinamiento de animales, habitualmente por períodos de menos de un año.</t>
        </r>
      </text>
    </comment>
    <comment ref="AY402" authorId="1" shapeId="0" xr:uid="{00000000-0006-0000-0500-000026010000}">
      <text>
        <r>
          <rPr>
            <b/>
            <sz val="9"/>
            <color indexed="81"/>
            <rFont val="Tahoma"/>
            <family val="2"/>
          </rPr>
          <t>WERD:</t>
        </r>
        <r>
          <rPr>
            <sz val="9"/>
            <color indexed="81"/>
            <rFont val="Tahoma"/>
            <family val="2"/>
          </rPr>
          <t xml:space="preserve">
Recogida y almacenamiento del estiércol, habitualmente con poco o ningún agregado de agua y comúnmente por debajo de un suelo emparrillado, en una instalación de confinamiento de animales, habitualmente por períodos de menos de un año.</t>
        </r>
      </text>
    </comment>
    <comment ref="AZ402" authorId="1" shapeId="0" xr:uid="{00000000-0006-0000-0500-000027010000}">
      <text>
        <r>
          <rPr>
            <b/>
            <sz val="9"/>
            <color indexed="81"/>
            <rFont val="Tahoma"/>
            <family val="2"/>
          </rPr>
          <t>WERD:</t>
        </r>
        <r>
          <rPr>
            <sz val="9"/>
            <color indexed="81"/>
            <rFont val="Tahoma"/>
            <family val="2"/>
          </rPr>
          <t xml:space="preserve">
Las excretas animales con o sin paja se recogen y se resumen anaeróbicamente en un gran tanque contenedor o en una laguna cubierta. En general, los digestores se diseñan y operan para la estabilización de los desechos mediante la reducción microbiana de compuestos orgánicos complejos de CO2 y CH4, que se capturan y queman o se usan como combustible.</t>
        </r>
      </text>
    </comment>
    <comment ref="BA402" authorId="1" shapeId="0" xr:uid="{00000000-0006-0000-0500-000028010000}">
      <text>
        <r>
          <rPr>
            <b/>
            <sz val="9"/>
            <color indexed="81"/>
            <rFont val="Tahoma"/>
            <family val="2"/>
          </rPr>
          <t>WERD:</t>
        </r>
        <r>
          <rPr>
            <sz val="9"/>
            <color indexed="81"/>
            <rFont val="Tahoma"/>
            <family val="2"/>
          </rPr>
          <t xml:space="preserve">
El estiércol y la orina se excretan en el campo. Las tortas de estiércol secas se queman como combustible</t>
        </r>
      </text>
    </comment>
    <comment ref="BB402" authorId="1" shapeId="0" xr:uid="{00000000-0006-0000-0500-000029010000}">
      <text>
        <r>
          <rPr>
            <b/>
            <sz val="9"/>
            <color indexed="81"/>
            <rFont val="Tahoma"/>
            <family val="2"/>
          </rPr>
          <t>WERD:</t>
        </r>
        <r>
          <rPr>
            <sz val="9"/>
            <color indexed="81"/>
            <rFont val="Tahoma"/>
            <family val="2"/>
          </rPr>
          <t xml:space="preserve">
Fabricación de compost, habitualmente en un canal cerrado, con aireación forzada y mezclado permanente.</t>
        </r>
      </text>
    </comment>
    <comment ref="BC402" authorId="1" shapeId="0" xr:uid="{00000000-0006-0000-0500-00002A010000}">
      <text>
        <r>
          <rPr>
            <b/>
            <sz val="9"/>
            <color indexed="81"/>
            <rFont val="Tahoma"/>
            <family val="2"/>
          </rPr>
          <t>WERD:</t>
        </r>
        <r>
          <rPr>
            <sz val="9"/>
            <color indexed="81"/>
            <rFont val="Tahoma"/>
            <family val="2"/>
          </rPr>
          <t xml:space="preserve">
Fabricación de compost en filas con medias vueltas frecuentes o regulares  para mezclado y aireación.</t>
        </r>
      </text>
    </comment>
    <comment ref="BD402" authorId="1" shapeId="0" xr:uid="{00000000-0006-0000-0500-00002B010000}">
      <text>
        <r>
          <rPr>
            <b/>
            <sz val="9"/>
            <color indexed="81"/>
            <rFont val="Tahoma"/>
            <family val="2"/>
          </rPr>
          <t>WERD:</t>
        </r>
        <r>
          <rPr>
            <sz val="9"/>
            <color indexed="81"/>
            <rFont val="Tahoma"/>
            <family val="2"/>
          </rPr>
          <t xml:space="preserve">
Similar a las camas profundas de vacunos y porcinos excepto porque, habitualmente, no se combina con engorde en corral o pastura. Comúnmente se emplea para lotes de aves de cría y para la producción de pollos para carne (parrilleros) y otras aves.
Puede ser similar a pozos abiertos en instalaciones cerradas de confinación de animales o puede diseñarse y operarse para secar el estiércol a medida que se acumula. Esto último se conoce como sistema elevado de gestión del estiércol y constituye una forma de fabricación pasiva de compost en filas cuando se lo diseña y opera correctamente.</t>
        </r>
      </text>
    </comment>
    <comment ref="BE402" authorId="1" shapeId="0" xr:uid="{00000000-0006-0000-0500-00002C010000}">
      <text>
        <r>
          <rPr>
            <b/>
            <sz val="9"/>
            <color indexed="81"/>
            <rFont val="Tahoma"/>
            <family val="2"/>
          </rPr>
          <t>WERD:</t>
        </r>
        <r>
          <rPr>
            <sz val="9"/>
            <color indexed="81"/>
            <rFont val="Tahoma"/>
            <family val="2"/>
          </rPr>
          <t xml:space="preserve">
La oxidación biológica del estiércol recolectado como líquido con aireación forzada o natural. La aireación natural se limita a estanques aeróbicos y de retención y a sistemas de humedales, y se debe fundamentalmente a la fotosíntesis. Por ende, habitualmente, estos sistemas se tornan anóxicos durante períodos sin luz solar.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80123558</author>
    <author>WERD</author>
  </authors>
  <commentList>
    <comment ref="C14" authorId="0" shapeId="0" xr:uid="{00000000-0006-0000-0600-000001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AE14" authorId="0" shapeId="0" xr:uid="{00000000-0006-0000-0600-000002000000}">
      <text>
        <r>
          <rPr>
            <b/>
            <sz val="9"/>
            <color indexed="81"/>
            <rFont val="Tahoma"/>
            <family val="2"/>
          </rPr>
          <t>80123558:</t>
        </r>
        <r>
          <rPr>
            <sz val="9"/>
            <color indexed="81"/>
            <rFont val="Tahoma"/>
            <family val="2"/>
          </rPr>
          <t xml:space="preserve">
Devuelve el valor de las emisiones de GEI asociadas a la variable elegida.</t>
        </r>
      </text>
    </comment>
    <comment ref="AF14" authorId="0" shapeId="0" xr:uid="{00000000-0006-0000-0600-000003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15" authorId="0" shapeId="0" xr:uid="{00000000-0006-0000-0600-000004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15" authorId="0" shapeId="0" xr:uid="{00000000-0006-0000-0600-000005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15" authorId="0" shapeId="0" xr:uid="{00000000-0006-0000-0600-000006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15" authorId="0" shapeId="0" xr:uid="{00000000-0006-0000-0600-000007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15" authorId="0" shapeId="0" xr:uid="{00000000-0006-0000-0600-000008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15" authorId="0" shapeId="0" xr:uid="{00000000-0006-0000-0600-000009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15" authorId="0" shapeId="0" xr:uid="{00000000-0006-0000-0600-00000A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15" authorId="0" shapeId="0" xr:uid="{00000000-0006-0000-0600-00000B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15" authorId="0" shapeId="0" xr:uid="{00000000-0006-0000-0600-00000C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15" authorId="0" shapeId="0" xr:uid="{00000000-0006-0000-0600-00000D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15" authorId="0" shapeId="0" xr:uid="{00000000-0006-0000-0600-00000E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15" authorId="0" shapeId="0" xr:uid="{00000000-0006-0000-0600-00000F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15" authorId="0" shapeId="0" xr:uid="{00000000-0006-0000-0600-000010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15" authorId="0" shapeId="0" xr:uid="{00000000-0006-0000-0600-000011000000}">
      <text>
        <r>
          <rPr>
            <b/>
            <sz val="9"/>
            <color indexed="81"/>
            <rFont val="Tahoma"/>
            <family val="2"/>
          </rPr>
          <t>80123558:</t>
        </r>
        <r>
          <rPr>
            <sz val="9"/>
            <color indexed="81"/>
            <rFont val="Tahoma"/>
            <family val="2"/>
          </rPr>
          <t xml:space="preserve">
Devuelve el valor total del consumo asociado a cada variable.</t>
        </r>
      </text>
    </comment>
    <comment ref="R15" authorId="0" shapeId="0" xr:uid="{00000000-0006-0000-0600-000012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15" authorId="0" shapeId="0" xr:uid="{00000000-0006-0000-0600-000013000000}">
      <text>
        <r>
          <rPr>
            <b/>
            <sz val="9"/>
            <color indexed="81"/>
            <rFont val="Tahoma"/>
            <family val="2"/>
          </rPr>
          <t>80123558:</t>
        </r>
        <r>
          <rPr>
            <sz val="9"/>
            <color indexed="81"/>
            <rFont val="Tahoma"/>
            <family val="2"/>
          </rPr>
          <t xml:space="preserve">
Devuelve el promedio de los valores consignados en las casillas de "DATOS 1 al 12".</t>
        </r>
      </text>
    </comment>
    <comment ref="T15" authorId="0" shapeId="0" xr:uid="{00000000-0006-0000-0600-000014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15" authorId="0" shapeId="0" xr:uid="{00000000-0006-0000-0600-000015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15" authorId="0" shapeId="0" xr:uid="{00000000-0006-0000-0600-000016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C20" authorId="0" shapeId="0" xr:uid="{00000000-0006-0000-0600-000017000000}">
      <text>
        <r>
          <rPr>
            <b/>
            <sz val="9"/>
            <color indexed="81"/>
            <rFont val="Tahoma"/>
            <family val="2"/>
          </rPr>
          <t>80123558:</t>
        </r>
        <r>
          <rPr>
            <sz val="9"/>
            <color indexed="81"/>
            <rFont val="Tahoma"/>
            <family val="2"/>
          </rPr>
          <t xml:space="preserve">
Devuelve el valor agregado de las incertidumbre para la categoría en referencia.</t>
        </r>
      </text>
    </comment>
    <comment ref="AF20" authorId="0" shapeId="0" xr:uid="{00000000-0006-0000-0600-000018000000}">
      <text>
        <r>
          <rPr>
            <b/>
            <sz val="9"/>
            <color indexed="81"/>
            <rFont val="Tahoma"/>
            <family val="2"/>
          </rPr>
          <t>80123558:</t>
        </r>
        <r>
          <rPr>
            <sz val="9"/>
            <color indexed="81"/>
            <rFont val="Tahoma"/>
            <family val="2"/>
          </rPr>
          <t xml:space="preserve">
Devuelve el valor agregado de las incertidumbre para la categoría en referencia.</t>
        </r>
      </text>
    </comment>
    <comment ref="C23" authorId="0" shapeId="0" xr:uid="{00000000-0006-0000-0600-000019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AE23" authorId="0" shapeId="0" xr:uid="{00000000-0006-0000-0600-00001A000000}">
      <text>
        <r>
          <rPr>
            <b/>
            <sz val="9"/>
            <color indexed="81"/>
            <rFont val="Tahoma"/>
            <family val="2"/>
          </rPr>
          <t>80123558:</t>
        </r>
        <r>
          <rPr>
            <sz val="9"/>
            <color indexed="81"/>
            <rFont val="Tahoma"/>
            <family val="2"/>
          </rPr>
          <t xml:space="preserve">
Devuelve el valor de las emisiones de GEI asociadas a la variable elegida.</t>
        </r>
      </text>
    </comment>
    <comment ref="AF23" authorId="0" shapeId="0" xr:uid="{00000000-0006-0000-0600-00001B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24" authorId="0" shapeId="0" xr:uid="{00000000-0006-0000-0600-00001C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24" authorId="0" shapeId="0" xr:uid="{00000000-0006-0000-0600-00001D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24" authorId="0" shapeId="0" xr:uid="{00000000-0006-0000-0600-00001E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24" authorId="0" shapeId="0" xr:uid="{00000000-0006-0000-0600-00001F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24" authorId="0" shapeId="0" xr:uid="{00000000-0006-0000-0600-000020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24" authorId="0" shapeId="0" xr:uid="{00000000-0006-0000-0600-000021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24" authorId="0" shapeId="0" xr:uid="{00000000-0006-0000-0600-000022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24" authorId="0" shapeId="0" xr:uid="{00000000-0006-0000-0600-000023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24" authorId="0" shapeId="0" xr:uid="{00000000-0006-0000-0600-000024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24" authorId="0" shapeId="0" xr:uid="{00000000-0006-0000-0600-000025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24" authorId="0" shapeId="0" xr:uid="{00000000-0006-0000-0600-000026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24" authorId="0" shapeId="0" xr:uid="{00000000-0006-0000-0600-000027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24" authorId="0" shapeId="0" xr:uid="{00000000-0006-0000-0600-000028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24" authorId="0" shapeId="0" xr:uid="{00000000-0006-0000-0600-000029000000}">
      <text>
        <r>
          <rPr>
            <b/>
            <sz val="9"/>
            <color indexed="81"/>
            <rFont val="Tahoma"/>
            <family val="2"/>
          </rPr>
          <t>80123558:</t>
        </r>
        <r>
          <rPr>
            <sz val="9"/>
            <color indexed="81"/>
            <rFont val="Tahoma"/>
            <family val="2"/>
          </rPr>
          <t xml:space="preserve">
Devuelve el valor total del consumo asociado a cada variable.</t>
        </r>
      </text>
    </comment>
    <comment ref="R24" authorId="0" shapeId="0" xr:uid="{00000000-0006-0000-0600-00002A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24" authorId="0" shapeId="0" xr:uid="{00000000-0006-0000-0600-00002B000000}">
      <text>
        <r>
          <rPr>
            <b/>
            <sz val="9"/>
            <color indexed="81"/>
            <rFont val="Tahoma"/>
            <family val="2"/>
          </rPr>
          <t>80123558:</t>
        </r>
        <r>
          <rPr>
            <sz val="9"/>
            <color indexed="81"/>
            <rFont val="Tahoma"/>
            <family val="2"/>
          </rPr>
          <t xml:space="preserve">
Devuelve el promedio de los valores consignados en las casillas de "DATOS 1 al 12".</t>
        </r>
      </text>
    </comment>
    <comment ref="T24" authorId="0" shapeId="0" xr:uid="{00000000-0006-0000-0600-00002C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24" authorId="0" shapeId="0" xr:uid="{00000000-0006-0000-0600-00002D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24" authorId="0" shapeId="0" xr:uid="{00000000-0006-0000-0600-00002E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C36" authorId="0" shapeId="0" xr:uid="{00000000-0006-0000-0600-00002F000000}">
      <text>
        <r>
          <rPr>
            <b/>
            <sz val="9"/>
            <color indexed="81"/>
            <rFont val="Tahoma"/>
            <family val="2"/>
          </rPr>
          <t>80123558:</t>
        </r>
        <r>
          <rPr>
            <sz val="9"/>
            <color indexed="81"/>
            <rFont val="Tahoma"/>
            <family val="2"/>
          </rPr>
          <t xml:space="preserve">
Despliegue la lista y seleccione la categoría de datos  asociada al consumo en su organización </t>
        </r>
      </text>
    </comment>
    <comment ref="AE36" authorId="0" shapeId="0" xr:uid="{00000000-0006-0000-0600-000030000000}">
      <text>
        <r>
          <rPr>
            <b/>
            <sz val="9"/>
            <color indexed="81"/>
            <rFont val="Tahoma"/>
            <family val="2"/>
          </rPr>
          <t>80123558:</t>
        </r>
        <r>
          <rPr>
            <sz val="9"/>
            <color indexed="81"/>
            <rFont val="Tahoma"/>
            <family val="2"/>
          </rPr>
          <t xml:space="preserve">
Devuelve el valor de las emisiones de GEI asociadas a la variable elegida.</t>
        </r>
      </text>
    </comment>
    <comment ref="AF36" authorId="0" shapeId="0" xr:uid="{00000000-0006-0000-0600-000031000000}">
      <text>
        <r>
          <rPr>
            <b/>
            <sz val="9"/>
            <color indexed="81"/>
            <rFont val="Tahoma"/>
            <family val="2"/>
          </rPr>
          <t>80123558:</t>
        </r>
        <r>
          <rPr>
            <sz val="9"/>
            <color indexed="81"/>
            <rFont val="Tahoma"/>
            <family val="2"/>
          </rPr>
          <t xml:space="preserve">
Devuelve el valor de la incertidumbre estimada, asociada al calculo de las emisiones de GEI de la variable elegida.</t>
        </r>
      </text>
    </comment>
    <comment ref="D37" authorId="0" shapeId="0" xr:uid="{00000000-0006-0000-0600-000032000000}">
      <text>
        <r>
          <rPr>
            <b/>
            <sz val="9"/>
            <color indexed="81"/>
            <rFont val="Tahoma"/>
            <family val="2"/>
          </rPr>
          <t>80123558:</t>
        </r>
        <r>
          <rPr>
            <sz val="9"/>
            <color indexed="81"/>
            <rFont val="Tahoma"/>
            <family val="2"/>
          </rPr>
          <t xml:space="preserve">
Indica la unidad en la que deben ser consignados los datos de consumo asociados a la variable elegida en la columna anterior</t>
        </r>
      </text>
    </comment>
    <comment ref="E37" authorId="0" shapeId="0" xr:uid="{00000000-0006-0000-0600-000033000000}">
      <text>
        <r>
          <rPr>
            <b/>
            <sz val="9"/>
            <color indexed="81"/>
            <rFont val="Tahoma"/>
            <family val="2"/>
          </rPr>
          <t xml:space="preserve">80123558:
</t>
        </r>
        <r>
          <rPr>
            <sz val="9"/>
            <color indexed="81"/>
            <rFont val="Tahoma"/>
            <family val="2"/>
          </rPr>
          <t>Incluya el valor del primer (o único) dato asociado a la variable correspondiente, en las unidades descritas en la columna "UNIDAD".</t>
        </r>
      </text>
    </comment>
    <comment ref="F37" authorId="0" shapeId="0" xr:uid="{00000000-0006-0000-0600-000034000000}">
      <text>
        <r>
          <rPr>
            <b/>
            <sz val="9"/>
            <color indexed="81"/>
            <rFont val="Tahoma"/>
            <family val="2"/>
          </rPr>
          <t>80123558:</t>
        </r>
        <r>
          <rPr>
            <sz val="9"/>
            <color indexed="81"/>
            <rFont val="Tahoma"/>
            <family val="2"/>
          </rPr>
          <t xml:space="preserve">
Incluya el valor del segundo dato asociado a la variable correspondiente, en las unidades descritas en la columna "UNIDAD". Si solamente cuenta con un dato asociado a esta variable para el calculo de las emisiones anuales, no diligencie esta casilla (es importante que no se usen ceros en la casilla, o la herramienta asumirá el cero como un dato)</t>
        </r>
      </text>
    </comment>
    <comment ref="G37" authorId="0" shapeId="0" xr:uid="{00000000-0006-0000-0600-000035000000}">
      <text>
        <r>
          <rPr>
            <b/>
            <sz val="9"/>
            <color indexed="81"/>
            <rFont val="Tahoma"/>
            <family val="2"/>
          </rPr>
          <t>80123558:</t>
        </r>
        <r>
          <rPr>
            <sz val="9"/>
            <color indexed="81"/>
            <rFont val="Tahoma"/>
            <family val="2"/>
          </rPr>
          <t xml:space="preserve">
Incluya el valor del tercer dato asociado a la variable correspondiente, en las unidades descritas en la columna "UNIDAD". Si solamente cuenta con dos datos asociados a esta variable para el calculo de las emisiones anuales, no diligencie esta casilla (es importante que no se usen ceros en la casilla, o la herramienta asumirá el cero como un dato)</t>
        </r>
      </text>
    </comment>
    <comment ref="H37" authorId="0" shapeId="0" xr:uid="{00000000-0006-0000-0600-000036000000}">
      <text>
        <r>
          <rPr>
            <b/>
            <sz val="9"/>
            <color indexed="81"/>
            <rFont val="Tahoma"/>
            <family val="2"/>
          </rPr>
          <t>80123558:</t>
        </r>
        <r>
          <rPr>
            <sz val="9"/>
            <color indexed="81"/>
            <rFont val="Tahoma"/>
            <family val="2"/>
          </rPr>
          <t xml:space="preserve">
Incluya el valor del cuarto dato asociado a la variable correspondiente, en las unidades descritas en la columna "UNIDAD". Si solamente cuenta con tres datos asociados a esta variable para el calculo de las emisiones anuales, no diligencie esta casilla (es importante que no se usen ceros en la casilla, o la herramienta asumirá el cero como un dato</t>
        </r>
      </text>
    </comment>
    <comment ref="I37" authorId="0" shapeId="0" xr:uid="{00000000-0006-0000-0600-000037000000}">
      <text>
        <r>
          <rPr>
            <b/>
            <sz val="9"/>
            <color indexed="81"/>
            <rFont val="Tahoma"/>
            <family val="2"/>
          </rPr>
          <t>80123558:</t>
        </r>
        <r>
          <rPr>
            <sz val="9"/>
            <color indexed="81"/>
            <rFont val="Tahoma"/>
            <family val="2"/>
          </rPr>
          <t xml:space="preserve">
Incluya el valor del quinto dato asociado a la variable correspondiente, en las unidades descritas en la columna "UNIDAD". Si solamente cuenta con cuatro datos asociados a esta variable para el calculo de las emisiones anuales, no diligencie esta casilla (es importante que no se usen ceros en la casilla, o la herramienta asumirá el cero como un dato</t>
        </r>
      </text>
    </comment>
    <comment ref="J37" authorId="0" shapeId="0" xr:uid="{00000000-0006-0000-0600-000038000000}">
      <text>
        <r>
          <rPr>
            <b/>
            <sz val="9"/>
            <color indexed="81"/>
            <rFont val="Tahoma"/>
            <family val="2"/>
          </rPr>
          <t>80123558:</t>
        </r>
        <r>
          <rPr>
            <sz val="9"/>
            <color indexed="81"/>
            <rFont val="Tahoma"/>
            <family val="2"/>
          </rPr>
          <t xml:space="preserve">
Incluya el valor del sexto dato asociado a la variable correspondiente, en las unidades descritas en la columna "UNIDAD". Si solamente cuenta con cinco datos asociados a esta variable para el calculo de las emisiones anuales, no diligencie esta casilla (es importante que no se usen ceros en la casilla, o la herramienta asumirá el cero como un dato</t>
        </r>
      </text>
    </comment>
    <comment ref="K37" authorId="0" shapeId="0" xr:uid="{00000000-0006-0000-0600-000039000000}">
      <text>
        <r>
          <rPr>
            <b/>
            <sz val="9"/>
            <color indexed="81"/>
            <rFont val="Tahoma"/>
            <family val="2"/>
          </rPr>
          <t>80123558:</t>
        </r>
        <r>
          <rPr>
            <sz val="9"/>
            <color indexed="81"/>
            <rFont val="Tahoma"/>
            <family val="2"/>
          </rPr>
          <t xml:space="preserve">
Incluya el valor del séptimo dato asociado a la variable correspondiente, en las unidades descritas en la columna "UNIDAD". Si solamente cuenta con seis datos asociados a esta variable para el calculo de las emisiones anuales, no diligencie esta casilla (es importante que no se usen ceros en la casilla, o la herramienta asumirá el cero como un dato</t>
        </r>
      </text>
    </comment>
    <comment ref="L37" authorId="0" shapeId="0" xr:uid="{00000000-0006-0000-0600-00003A000000}">
      <text>
        <r>
          <rPr>
            <b/>
            <sz val="9"/>
            <color indexed="81"/>
            <rFont val="Tahoma"/>
            <family val="2"/>
          </rPr>
          <t>80123558:</t>
        </r>
        <r>
          <rPr>
            <sz val="9"/>
            <color indexed="81"/>
            <rFont val="Tahoma"/>
            <family val="2"/>
          </rPr>
          <t xml:space="preserve">
Incluya el valor del octavo dato asociado a la variable correspondiente, en las unidades descritas en la columna "UNIDAD". Si solamente cuenta con siete datos asociados a esta variable para el calculo de las emisiones anuales, no diligencie esta casilla (es importante que no se usen ceros en la casilla, o la herramienta asumirá el cero como un dato</t>
        </r>
      </text>
    </comment>
    <comment ref="M37" authorId="0" shapeId="0" xr:uid="{00000000-0006-0000-0600-00003B000000}">
      <text>
        <r>
          <rPr>
            <b/>
            <sz val="9"/>
            <color indexed="81"/>
            <rFont val="Tahoma"/>
            <family val="2"/>
          </rPr>
          <t>80123558:</t>
        </r>
        <r>
          <rPr>
            <sz val="9"/>
            <color indexed="81"/>
            <rFont val="Tahoma"/>
            <family val="2"/>
          </rPr>
          <t xml:space="preserve">
Incluya el valor del noveno dato asociado a la variable correspondiente, en las unidades descritas en la columna "UNIDAD". Si solamente cuenta con ocho datos asociados a esta variable para el calculo de las emisiones anuales, no diligencie esta casilla (es importante que no se usen ceros en la casilla, o la herramienta asumirá el cero como un dato</t>
        </r>
      </text>
    </comment>
    <comment ref="N37" authorId="0" shapeId="0" xr:uid="{00000000-0006-0000-0600-00003C000000}">
      <text>
        <r>
          <rPr>
            <b/>
            <sz val="9"/>
            <color indexed="81"/>
            <rFont val="Tahoma"/>
            <family val="2"/>
          </rPr>
          <t>80123558:</t>
        </r>
        <r>
          <rPr>
            <sz val="9"/>
            <color indexed="81"/>
            <rFont val="Tahoma"/>
            <family val="2"/>
          </rPr>
          <t xml:space="preserve">
Incluya el valor del decimo dato asociado a la variable correspondiente, en las unidades descritas en la columna "UNIDAD". Si solamente cuenta con nueve datos asociados a esta variable para el calculo de las emisiones anuales, no diligencie esta casilla (es importante que no se usen ceros en la casilla, o la herramienta asumirá el cero como un dato</t>
        </r>
      </text>
    </comment>
    <comment ref="O37" authorId="0" shapeId="0" xr:uid="{00000000-0006-0000-0600-00003D000000}">
      <text>
        <r>
          <rPr>
            <b/>
            <sz val="9"/>
            <color indexed="81"/>
            <rFont val="Tahoma"/>
            <family val="2"/>
          </rPr>
          <t>80123558:</t>
        </r>
        <r>
          <rPr>
            <sz val="9"/>
            <color indexed="81"/>
            <rFont val="Tahoma"/>
            <family val="2"/>
          </rPr>
          <t xml:space="preserve">
Incluya el valor del undécimo dato asociado a la variable correspondiente, en las unidades descritas en la columna "UNIDAD". Si solamente cuenta con diez datos asociados a esta variable para el calculo de las emisiones anuales, no diligencie esta casilla (es importante que no se usen ceros en la casilla, o la herramienta asumirá el cero como un dato</t>
        </r>
      </text>
    </comment>
    <comment ref="P37" authorId="0" shapeId="0" xr:uid="{00000000-0006-0000-0600-00003E000000}">
      <text>
        <r>
          <rPr>
            <b/>
            <sz val="9"/>
            <color indexed="81"/>
            <rFont val="Tahoma"/>
            <family val="2"/>
          </rPr>
          <t>80123558:</t>
        </r>
        <r>
          <rPr>
            <sz val="9"/>
            <color indexed="81"/>
            <rFont val="Tahoma"/>
            <family val="2"/>
          </rPr>
          <t xml:space="preserve">
Incluya el valor del duodécimo dato asociado a la variable correspondiente, en las unidades descritas en la columna "UNIDAD". Si solamente cuenta con once datos asociados a esta variable para el calculo de las emisiones anuales, no diligencie esta casilla (es importante que no se usen ceros en la casilla, o la herramienta asumirá el cero como un dato.
Si su medición contempla el uso de mas de doce datos en el año, por favor consulte esta situación a los responsables del proyecto MVC.</t>
        </r>
      </text>
    </comment>
    <comment ref="Q37" authorId="0" shapeId="0" xr:uid="{00000000-0006-0000-0600-00003F000000}">
      <text>
        <r>
          <rPr>
            <b/>
            <sz val="9"/>
            <color indexed="81"/>
            <rFont val="Tahoma"/>
            <family val="2"/>
          </rPr>
          <t>80123558:</t>
        </r>
        <r>
          <rPr>
            <sz val="9"/>
            <color indexed="81"/>
            <rFont val="Tahoma"/>
            <family val="2"/>
          </rPr>
          <t xml:space="preserve">
Devuelve el valor total del consumo asociado a cada variable.</t>
        </r>
      </text>
    </comment>
    <comment ref="R37" authorId="0" shapeId="0" xr:uid="{00000000-0006-0000-0600-000040000000}">
      <text>
        <r>
          <rPr>
            <b/>
            <sz val="9"/>
            <color indexed="81"/>
            <rFont val="Tahoma"/>
            <family val="2"/>
          </rPr>
          <t>80123558:</t>
        </r>
        <r>
          <rPr>
            <sz val="9"/>
            <color indexed="81"/>
            <rFont val="Tahoma"/>
            <family val="2"/>
          </rPr>
          <t xml:space="preserve">
Indica la cantidad de datos recogidos para calcular la Huella de Carbono asociada a cada variable. El número de datos debe estar comprendido entre un mínimo de un dato (cuando solamente se cuanta con un dato asociado a la variable en mención) y un máximo de 12 datos por cada variable (dependiendo de la disponibilidad de información de cada variable en la organización).
El numero de datos depende de la información con la que cuente la organización en sus registros. </t>
        </r>
      </text>
    </comment>
    <comment ref="S37" authorId="0" shapeId="0" xr:uid="{00000000-0006-0000-0600-000041000000}">
      <text>
        <r>
          <rPr>
            <b/>
            <sz val="9"/>
            <color indexed="81"/>
            <rFont val="Tahoma"/>
            <family val="2"/>
          </rPr>
          <t>80123558:</t>
        </r>
        <r>
          <rPr>
            <sz val="9"/>
            <color indexed="81"/>
            <rFont val="Tahoma"/>
            <family val="2"/>
          </rPr>
          <t xml:space="preserve">
Devuelve el promedio de los valores consignados en las casillas de "DATOS 1 al 12".</t>
        </r>
      </text>
    </comment>
    <comment ref="T37" authorId="0" shapeId="0" xr:uid="{00000000-0006-0000-0600-000042000000}">
      <text>
        <r>
          <rPr>
            <b/>
            <sz val="9"/>
            <color indexed="81"/>
            <rFont val="Tahoma"/>
            <family val="2"/>
          </rPr>
          <t>80123558:</t>
        </r>
        <r>
          <rPr>
            <sz val="9"/>
            <color indexed="81"/>
            <rFont val="Tahoma"/>
            <family val="2"/>
          </rPr>
          <t xml:space="preserve">
Devuelve la desviación estándar de los valores consignados en las casillas de "DATOS 1 al 12".</t>
        </r>
      </text>
    </comment>
    <comment ref="U37" authorId="0" shapeId="0" xr:uid="{00000000-0006-0000-0600-000043000000}">
      <text>
        <r>
          <rPr>
            <b/>
            <sz val="9"/>
            <color indexed="81"/>
            <rFont val="Tahoma"/>
            <family val="2"/>
          </rPr>
          <t>80123558:</t>
        </r>
        <r>
          <rPr>
            <sz val="9"/>
            <color indexed="81"/>
            <rFont val="Tahoma"/>
            <family val="2"/>
          </rPr>
          <t xml:space="preserve">
Devuelve el "factor T" de los valores consignados en las casillas de "DATOS 1 al 12". Los valores asociados a esta columna han sido propuestos por el anexo 1 de la "Guía corta para el calculo de la medición y estimación de la incertidumbre para emisiones de GHG", disponible en : http://www.ghgprotocol.org/files/ghgp/tools/ghg-uncertainty.pdf</t>
        </r>
      </text>
    </comment>
    <comment ref="W37" authorId="0" shapeId="0" xr:uid="{00000000-0006-0000-0600-000044000000}">
      <text>
        <r>
          <rPr>
            <b/>
            <sz val="9"/>
            <color indexed="81"/>
            <rFont val="Tahoma"/>
            <family val="2"/>
          </rPr>
          <t>80123558:</t>
        </r>
        <r>
          <rPr>
            <sz val="9"/>
            <color indexed="81"/>
            <rFont val="Tahoma"/>
            <family val="2"/>
          </rPr>
          <t xml:space="preserve">
Devuelve el porcentaje de incertidumbre asociado a los datos de actividad consignados en las casillas "DATO 1 al 12", empleados para el calculo de la Huella de Carbono de la Organización.
Si solamente se cuenta con un dato para la estimación de las emisiones de GEI, la incertidumbre de la variable corresponderá al dato propuesto por el IPCC en el documento: "Orientación del IPCC sobre las buenas prácticas y la gestión de la incertidumbre en los inventarios nacionales de gases de efecto invernadero", disponible en: http://www.ipcc-nggip.iges.or.jp/public/gp/spanish/gpgaum_es.html
Si se cuenta con dos o mas datos para la estimación de las emisiones de GEI, el resultado corresponde a la metodología propuesta por el IPCC y adoptada por el GHG  Protocol, descrita en el documento:  "Guía corta para el calculo de la medición y estimación de la incertidumbre para emisiones de GHG", disponible en : http://www.ghgprotocol.org/files/ghgp/tools/ghg-uncertainty.pdf</t>
        </r>
      </text>
    </comment>
    <comment ref="AC41" authorId="0" shapeId="0" xr:uid="{00000000-0006-0000-0600-000045000000}">
      <text>
        <r>
          <rPr>
            <b/>
            <sz val="9"/>
            <color indexed="81"/>
            <rFont val="Tahoma"/>
            <family val="2"/>
          </rPr>
          <t>80123558:</t>
        </r>
        <r>
          <rPr>
            <sz val="9"/>
            <color indexed="81"/>
            <rFont val="Tahoma"/>
            <family val="2"/>
          </rPr>
          <t xml:space="preserve">
Devuelve el valor agregado de las incertidumbre para la categoría en referencia.</t>
        </r>
      </text>
    </comment>
    <comment ref="AF41" authorId="0" shapeId="0" xr:uid="{00000000-0006-0000-0600-000046000000}">
      <text>
        <r>
          <rPr>
            <b/>
            <sz val="9"/>
            <color indexed="81"/>
            <rFont val="Tahoma"/>
            <family val="2"/>
          </rPr>
          <t>80123558:</t>
        </r>
        <r>
          <rPr>
            <sz val="9"/>
            <color indexed="81"/>
            <rFont val="Tahoma"/>
            <family val="2"/>
          </rPr>
          <t xml:space="preserve">
Devuelve el valor agregado de las incertidumbre para la categoría en referencia.</t>
        </r>
      </text>
    </comment>
    <comment ref="AJ59" authorId="1" shapeId="0" xr:uid="{00000000-0006-0000-0600-000047000000}">
      <text>
        <r>
          <rPr>
            <b/>
            <sz val="9"/>
            <color indexed="81"/>
            <rFont val="Tahoma"/>
            <family val="2"/>
          </rPr>
          <t>WERD:</t>
        </r>
        <r>
          <rPr>
            <sz val="9"/>
            <color indexed="81"/>
            <rFont val="Tahoma"/>
            <family val="2"/>
          </rPr>
          <t xml:space="preserve">
Emisiones de biomasa no se deben contabilizar con los alcances, pero las asociadas a CH4 y N2O, si se incluyen en el alcance correspondiente. </t>
        </r>
      </text>
    </comment>
    <comment ref="AJ78" authorId="1" shapeId="0" xr:uid="{00000000-0006-0000-0600-000048000000}">
      <text>
        <r>
          <rPr>
            <b/>
            <sz val="9"/>
            <color indexed="81"/>
            <rFont val="Tahoma"/>
            <family val="2"/>
          </rPr>
          <t>WERD:</t>
        </r>
        <r>
          <rPr>
            <sz val="9"/>
            <color indexed="81"/>
            <rFont val="Tahoma"/>
            <family val="2"/>
          </rPr>
          <t xml:space="preserve">
Emisiones de biomasa no se deben contabilizar con los alcances, pero las asociadas a CH4 y N2O, si se incluyen en el alcance correspondiente. </t>
        </r>
      </text>
    </comment>
  </commentList>
</comments>
</file>

<file path=xl/sharedStrings.xml><?xml version="1.0" encoding="utf-8"?>
<sst xmlns="http://schemas.openxmlformats.org/spreadsheetml/2006/main" count="4191" uniqueCount="982">
  <si>
    <t>Espacio para el logo de la empresa</t>
  </si>
  <si>
    <t>HERRAMIENTA DE GESTIÓN DE LA INFORMACIÓN SOBRE LOS GASES DE EFECTO INVERNADERO (GEI)</t>
  </si>
  <si>
    <t>Pertinencia</t>
  </si>
  <si>
    <t>Exactitud</t>
  </si>
  <si>
    <t>Cobertura Total</t>
  </si>
  <si>
    <t>Transparencia</t>
  </si>
  <si>
    <t>Coherencia</t>
  </si>
  <si>
    <t>INSTRUCCIONES PARA EL DILIGENCIAMIENTO DE LA HERRAMIENTA</t>
  </si>
  <si>
    <t xml:space="preserve">Previo al diligenciamiento de la herramienta es importante que la empresa identifique la forma como se realizan algunos procesos al interior de la organización, procesos relacionados con el flujo de la información desde su origen hasta su consignación en el reporte de huella de carbono. En el siguiente esquema, se establecen los procesos mínimos que debe realizar el encargado de la elaboración del reporte de huella de carbono, con el fin de identificar el entorno en el que se genera la información, lo que le permitirá velar por el cumplimiento del literal 3 de la NTC-14064-1, el cual es compatible con los principios de contabilidad y reporte de GEI establecidos en el Protocolo GHG.  </t>
  </si>
  <si>
    <t xml:space="preserve">Con el fin de contribuir a la construcción de un sistema básico para la gestión de la información asociada a los gases de efecto invernadero, se desarrolló un formato que pretende dar a las empresas un lineamiento de los requisitos mínimos con los que este debe contar, teniendo como base el literal 6.1.1 de la NTC-14064-1 y algunos aspectos relacionados con el Protocolo GHG. De acuerdo a lo anterior, se elaboró un instructivo para la implementación de la herramienta de gestión de la información sobre los GEI, la cual consta de los siguientes aspectos:   </t>
  </si>
  <si>
    <t>IDENTIFICACIÓN DE FUENTES DE EMISIÓN</t>
  </si>
  <si>
    <t>Categoría</t>
  </si>
  <si>
    <t>Esta casilla facilitara al diligenciador la escogencia de la cargas ambientales, ya que las agrupa de acuerdo a características comunes.</t>
  </si>
  <si>
    <t>Para efectos del diligenciamiento del formato, se debe seleccionar de la lista desplegable la categoría acorde a la carga ambiental identificada, para que de esta forma se habilite la selección automáticamente en la siguiente casilla. Para llenar esta casilla el diligenciador podrá encontrar opciones como:
- Combustible Solido                     -  Combustible Liquido
- Combustible Gaseoso                 -  Gas refrigerante
- Tratamiento de residuos           -  Procesos Agrícolas
- Energía Eléctrica Adquirida       -  Otras</t>
  </si>
  <si>
    <t>Carga Ambiental</t>
  </si>
  <si>
    <t xml:space="preserve">Posterior al proceso de identificación de aspectos ambientales asociados con la generación directa o indirecta de GEI al interior de la organización, es importante proceder a delimitar aquellas cargas ambientales a trabajar las cuales están relacionadas con consumos, recargas de extintores, tratamiento de residuos, procesos pecuarios, consumo de energía eléctrica adquirida, papel, etc. </t>
  </si>
  <si>
    <t>Alcance</t>
  </si>
  <si>
    <r>
      <t xml:space="preserve">De acuerdo al protocolo GHG, la delimitación del alcance permite a las organizaciones facilitar el proceso de identificación de fuentes de emisión directas e indirectas y mejorar la transparencia. Para efectos de la presentación de los inventarios de GEI, el alcance se divide en:
- </t>
    </r>
    <r>
      <rPr>
        <b/>
        <sz val="11"/>
        <color theme="1"/>
        <rFont val="Calibri"/>
        <family val="2"/>
        <scheme val="minor"/>
      </rPr>
      <t>ALCANCE 1</t>
    </r>
    <r>
      <rPr>
        <sz val="11"/>
        <color theme="1"/>
        <rFont val="Calibri"/>
        <family val="2"/>
        <scheme val="minor"/>
      </rPr>
      <t xml:space="preserve">: Se refiere a las emisiones de GEI directas generadas por fuentes fijas ; procesos físicos o químicos; combustión en fuentes móviles; emisiones fugitivas, producción de metano por manejo de residuos orgánicos, y extracción, procesamiento y distribución de combustibles.
- </t>
    </r>
    <r>
      <rPr>
        <b/>
        <sz val="11"/>
        <color theme="1"/>
        <rFont val="Calibri"/>
        <family val="2"/>
        <scheme val="minor"/>
      </rPr>
      <t>ALCANCE 2</t>
    </r>
    <r>
      <rPr>
        <sz val="11"/>
        <color theme="1"/>
        <rFont val="Calibri"/>
        <family val="2"/>
        <scheme val="minor"/>
      </rPr>
      <t xml:space="preserve">: Se refiere a las emisiones indirectas debido a la generación de electricidad consumida y comprada por la empresa.
- </t>
    </r>
    <r>
      <rPr>
        <b/>
        <sz val="11"/>
        <color theme="1"/>
        <rFont val="Calibri"/>
        <family val="2"/>
        <scheme val="minor"/>
      </rPr>
      <t>ALCANCE 3</t>
    </r>
    <r>
      <rPr>
        <sz val="11"/>
        <color theme="1"/>
        <rFont val="Calibri"/>
        <family val="2"/>
        <scheme val="minor"/>
      </rPr>
      <t xml:space="preserve">: son otras emisiones indirectas no contempladas en el Alcance 2  como la extracción y producción de materiales y combustibles adquiridos; actividades de transporte, activos o servicios prestados por terceros, el uso de los productos y servicios de la empresa; y disposición de residuos. 
Es importante tener en cuenta que para efectos del informe de huella de carbono y el manejo de los inventarios GEI, el alcance 1 y 2 es de reporte obligatorio por parte de las organizaciones, mientras que el alcance 3 es opcional. </t>
    </r>
  </si>
  <si>
    <r>
      <t xml:space="preserve">En la casilla "Alcance" el diligenciador podrá seleccionar entre las siguientes opciones la que sea mas acorde al ejercicio realizado al interior de la empresa: 
- 1
- 2
- 3
</t>
    </r>
    <r>
      <rPr>
        <b/>
        <sz val="11"/>
        <color theme="1"/>
        <rFont val="Calibri"/>
        <family val="2"/>
        <scheme val="minor"/>
      </rPr>
      <t>Fuente:</t>
    </r>
    <r>
      <rPr>
        <sz val="11"/>
        <color theme="1"/>
        <rFont val="Calibri"/>
        <family val="2"/>
        <scheme val="minor"/>
      </rPr>
      <t xml:space="preserve"> Protocolo de Gases Efecto Invernadero, Estándar de Contabilidad y Reporte
</t>
    </r>
  </si>
  <si>
    <t xml:space="preserve">Fuentes </t>
  </si>
  <si>
    <r>
      <t xml:space="preserve">Hace referencia a las fuentes asociadas a las cargas ambientales identificadas y enmarcadas dentro de los alcances definidos por la empresa, en el caso de los consumos estará relacionado con la maquinaria, equipos o vehículos que hacen uso de los combustibles.
</t>
    </r>
    <r>
      <rPr>
        <b/>
        <sz val="11"/>
        <color theme="1"/>
        <rFont val="Calibri"/>
        <family val="2"/>
        <scheme val="minor"/>
      </rPr>
      <t xml:space="preserve">Nota: </t>
    </r>
    <r>
      <rPr>
        <sz val="11"/>
        <color theme="1"/>
        <rFont val="Calibri"/>
        <family val="2"/>
        <scheme val="minor"/>
      </rPr>
      <t xml:space="preserve">Es importante que la organización contemple la posibilidad de enumerar las fuentes identificadas, de tal forma que se puedan sustentar mejor los datos asociados y las actualizaciones realizadas.  </t>
    </r>
  </si>
  <si>
    <t>PROCESO DE REGISTRO DE LA INFORMACIÓN</t>
  </si>
  <si>
    <t>Origen de la información</t>
  </si>
  <si>
    <t xml:space="preserve">Hace referencia al área, departamento o procesos donde se origina la información inicial utilizada para el calculo de la huella de carbono. Es importante que el encargado de la elaboración del reporte de GEI identifique como es el flujo de información al interior de la organización para efectos de garantizar la trazabilidad de la misma.  </t>
  </si>
  <si>
    <t xml:space="preserve">Diligenciar la casilla con el área y los procesos de donde se origina la información para el reporte de huella de carbono. </t>
  </si>
  <si>
    <t xml:space="preserve">Forma de registro de la información </t>
  </si>
  <si>
    <t>Hace referencia a la manera como se registra la información desde su origen, si está se realiza de forma manual o sistematizada; si esta asociada a un equipo o a un sistema de información empresarial. 
Nota: Es importante relacionar el orden lógico establecido por las áreas para la realización de los reportes y consolidados, ya que este aspecto permitirá tener insumos para establecer el nivel de incertidumbre asociado a los datos.</t>
  </si>
  <si>
    <t>Diligenciar esta casilla relacionando si el registro de la información se realiza de forma:
- Manual
- Sistematizada
o si esta asociado a:
- Un equipo de medición
- Sistema de información empresarial</t>
  </si>
  <si>
    <t>Responsable del registro de la información</t>
  </si>
  <si>
    <t xml:space="preserve">Con el fin de tener una mejor trazabilidad de la información, es importante que se identifique el nombre y el cargo de la persona encargada del registro de datos. </t>
  </si>
  <si>
    <t>Nombre y cargo.</t>
  </si>
  <si>
    <t>Soportes asociados a la información</t>
  </si>
  <si>
    <t xml:space="preserve">Se puede considerar como soporte cualquier clase de documento, manual o digital que tenga referenciada, cuantificada o asociada la información origen, que se utiliza para generar los reportes de huella de carbono. </t>
  </si>
  <si>
    <t xml:space="preserve">Se podrá diligenciar este campo con información como: Facturas, recibos, tirillas, informes, correos, formatos específicos asociados a otros sistemas de gestión. </t>
  </si>
  <si>
    <t>Periodicidad de registro</t>
  </si>
  <si>
    <t>Hace referencia a la frecuencia con la que se realiza el registro de la información.</t>
  </si>
  <si>
    <t>Se podrá diligenciar este campo con frecuencias temporales como: diario, semanal mensual, bimensual trimestral, semestral o anual.</t>
  </si>
  <si>
    <t>Unidad registrada</t>
  </si>
  <si>
    <t>Hace referencia a la unidad original asociada a la carga ambiental.</t>
  </si>
  <si>
    <t>De acuerdo a la carga ambiental estará asociada a unidades de volumen, peso o unidades cuantificables como numero de individuos.</t>
  </si>
  <si>
    <t>PROCESO DE CONSOLIDACIÓN Y REPORTE DE LA INFORMACIÓN PARA HUELLA DE CARBONO</t>
  </si>
  <si>
    <t xml:space="preserve">Periodicidad de reporte </t>
  </si>
  <si>
    <t xml:space="preserve">Hace referencia a la frecuencia con la que se realiza el registro de huella de carbono, por lo general las empresas realizan su reporte anualmente aunque realizan un proceso de consolidación de la información de huella mensualmente, en este caso la empresa debe se clara con estos aspectos. </t>
  </si>
  <si>
    <t>Encargado de la consolidación</t>
  </si>
  <si>
    <t xml:space="preserve">Se refiere a la persona encargada de consolidar la información en las condiciones en las que lo requiere el inventario y el reporte de huella de carbono, por lo general esta asociado a tratamientos especiales que se le realice a la información, estimaciones entre otros aspectos que difieren de la información original. </t>
  </si>
  <si>
    <t>Unidad reportada</t>
  </si>
  <si>
    <t xml:space="preserve">Hace referencia a la unidad final en la que se consigna la información en el reporte de huella de carbono. </t>
  </si>
  <si>
    <t>PROCESO DE REVISION Y SEGUIMIENTO</t>
  </si>
  <si>
    <t>Verificación de los datos reportados</t>
  </si>
  <si>
    <t>Encargado de la revisión de la información y de las acciones correctivas</t>
  </si>
  <si>
    <t xml:space="preserve">Se refiere a la persona encargada de la revisión, formulación y ejecución de acciones correctivas tendientes a garantizar la calidad del inventario de GEI. </t>
  </si>
  <si>
    <t>Acciones Correctivas</t>
  </si>
  <si>
    <t>Campo abierto</t>
  </si>
  <si>
    <t>VERSIÓN</t>
  </si>
  <si>
    <t>Fecha de actualización</t>
  </si>
  <si>
    <t>Diligenciar en el siguiente formato de fecha: DD/MM/AA</t>
  </si>
  <si>
    <t>Observaciones</t>
  </si>
  <si>
    <t xml:space="preserve">En este campo se podrán justificar el motivo por el cual fue necesaria la actualización de la versión anterior, por lo general esta asociada a la inclusión de nuevas fuentes, cambios en el personal o modificaciones en los flujos de información. </t>
  </si>
  <si>
    <t>A continuación se presentan algunas opciones que pueden contribuir y facilitar el diligenciamiento del campo de fuentes asociadas:
- Fuentes fijas: Calderas, hornos, turbinas
- Fuentes móviles: vehículos terrestres (Motos, automóviles, camionetas, montacargas, buses, furgones etc.), aéreo (Helicópteros, aviones), marítimo (lanchas, barcos).
- Procesos físicos o químicos: procesamiento de materiales y químicos.
- Procesos agrícolas: cabezas de ganado vacuno, porcino, agroquímicos (tipo). 
- Gases refrigerantes: equipos asociados cuartos fríos, neveras, aires acondicionados, etc. 
- Tratamiento de residuos: plantas de tratamiento</t>
  </si>
  <si>
    <t>PROCESO DE REGISTRO DE INFORMACIÓN</t>
  </si>
  <si>
    <t xml:space="preserve">Alcance </t>
  </si>
  <si>
    <t>Cobertura</t>
  </si>
  <si>
    <t xml:space="preserve">Soportes asociados a la información </t>
  </si>
  <si>
    <t xml:space="preserve">Encargado de la consolidación de la información </t>
  </si>
  <si>
    <t>CATEGORIA</t>
  </si>
  <si>
    <t>Combustibles_Liquidos</t>
  </si>
  <si>
    <t>Combustibles_Gaseosos</t>
  </si>
  <si>
    <t>Crudo de Castilla</t>
  </si>
  <si>
    <t>Bagazo</t>
  </si>
  <si>
    <t>Carbón Genérico</t>
  </si>
  <si>
    <t>Leña</t>
  </si>
  <si>
    <t>Gas Natural Cusiana</t>
  </si>
  <si>
    <t>Gas Natural Guajira</t>
  </si>
  <si>
    <t>Gas Natural Guepaje</t>
  </si>
  <si>
    <t>LPG Propano</t>
  </si>
  <si>
    <t>Gases_Refrigerantes</t>
  </si>
  <si>
    <t>SF6</t>
  </si>
  <si>
    <t>Tratamiento_de_Residuos</t>
  </si>
  <si>
    <t>Tratamiento de residuos líquidos</t>
  </si>
  <si>
    <t>Tratamiento de lodos</t>
  </si>
  <si>
    <t>Procesos_Agropecuarios</t>
  </si>
  <si>
    <t>Uso de fertilizantes sintéticos</t>
  </si>
  <si>
    <t>Energia_Electrica</t>
  </si>
  <si>
    <t>Energia Electrica Adquirida</t>
  </si>
  <si>
    <t>Otras</t>
  </si>
  <si>
    <t>Extracción de Carbón - Subterráneo</t>
  </si>
  <si>
    <t>Extracción de Carbón - Cielo Abierto</t>
  </si>
  <si>
    <t>Producción de coque</t>
  </si>
  <si>
    <t>Producción de cemento (Clinca)</t>
  </si>
  <si>
    <t>Producción de Cal Viva</t>
  </si>
  <si>
    <t>Producción de Cal Dolomítica</t>
  </si>
  <si>
    <t>Producción de Amoniaco</t>
  </si>
  <si>
    <t>Esta casilla se debe diligenciar con un porcentaje entre el 0 y 100% que hace referencia al porcentaje de cobertura de la información asociada al total de las fuentes identificadas. De esta forma se tiene que:
- Si se identificaron 10 vehículos relacionados con el consumo de ACPM, sin embargo por problemas del área solo se pudo incluir la información asociada a 5 vehículos entonces la casilla de cobertura se deberá diligenciar con el 50% que es la relación porcentual equivalente por la no inclusión total.</t>
  </si>
  <si>
    <t>Establecer el porcentaje de inclusión de la información asociada a las fuentes. Con el fin de dar cumplimiento al principio de cobertura total (Numeral 3.3 de la NTC-ISO 14064-1), es importante tener en cuenta que la información asociada al sistema de gestión debe relacionar el 100% de las fuentes identificadas en el alcance delimitado por la organización.</t>
  </si>
  <si>
    <t>INICIO</t>
  </si>
  <si>
    <t>DATOS GENERALES  DE LA EMPRESA</t>
  </si>
  <si>
    <t>NOMBRE DE LA EMPRESA:</t>
  </si>
  <si>
    <t>TELEFONO:</t>
  </si>
  <si>
    <t>DIRECCIÓN:</t>
  </si>
  <si>
    <t>MUNICIPIO:</t>
  </si>
  <si>
    <t>PERSONA QUE ELABORÓ:</t>
  </si>
  <si>
    <t>CELULAR:</t>
  </si>
  <si>
    <t>CARGO:</t>
  </si>
  <si>
    <t>AÑO BASE:</t>
  </si>
  <si>
    <t>FECHA:</t>
  </si>
  <si>
    <t>ALCANCE 1</t>
  </si>
  <si>
    <t>FUENTES MÓVILES</t>
  </si>
  <si>
    <t>CONSUMO</t>
  </si>
  <si>
    <t>FACTOR DE EMISIÓN</t>
  </si>
  <si>
    <t>INCERTIDUMBRE DE LA FUENTE</t>
  </si>
  <si>
    <t>UNIDAD</t>
  </si>
  <si>
    <t>DATO 1</t>
  </si>
  <si>
    <t>DATO 2</t>
  </si>
  <si>
    <t>DATO 3</t>
  </si>
  <si>
    <t>DATO 4</t>
  </si>
  <si>
    <t>DATO 5</t>
  </si>
  <si>
    <t>DATO 6</t>
  </si>
  <si>
    <t>DATO 7</t>
  </si>
  <si>
    <t>DATO 8</t>
  </si>
  <si>
    <t>DATO 9</t>
  </si>
  <si>
    <t>DATO 10</t>
  </si>
  <si>
    <t>DATO 11</t>
  </si>
  <si>
    <t>DATO 12</t>
  </si>
  <si>
    <t>TOTAL</t>
  </si>
  <si>
    <t>No. DATOS</t>
  </si>
  <si>
    <t>PROMEDIO</t>
  </si>
  <si>
    <t>DESVIACION ESTÁNDAR</t>
  </si>
  <si>
    <t>FACTOR T</t>
  </si>
  <si>
    <t xml:space="preserve">Variable Auxiliar = (Huella de carbono x Incertidumbre de la fuente)^2 </t>
  </si>
  <si>
    <t>SUBTOTAL COMBUSTIBLES</t>
  </si>
  <si>
    <t>SUBTOTAL FUENTES MÓVILES</t>
  </si>
  <si>
    <t>FUENTES FIJAS</t>
  </si>
  <si>
    <t>kg</t>
  </si>
  <si>
    <t>SUBTOTAL FUENTES FIJAS</t>
  </si>
  <si>
    <t>EMISIONES DE PROCESO</t>
  </si>
  <si>
    <t>Minería</t>
  </si>
  <si>
    <t>Industrial</t>
  </si>
  <si>
    <t>Fermentación Entérica</t>
  </si>
  <si>
    <t>Cabras</t>
  </si>
  <si>
    <t>Búfalos</t>
  </si>
  <si>
    <t>Ganado vacuno lechero</t>
  </si>
  <si>
    <t>Manejo de Estiércol</t>
  </si>
  <si>
    <t>Ganado vacuno no lechero</t>
  </si>
  <si>
    <t>Caballos</t>
  </si>
  <si>
    <t>Mulas y Asnos</t>
  </si>
  <si>
    <t>Residuos Agrícolas</t>
  </si>
  <si>
    <t>SUBTOTAL EMISIONES DE PROCESO</t>
  </si>
  <si>
    <t>TOTAL ALCANCE 1</t>
  </si>
  <si>
    <t>ALCANCE 2</t>
  </si>
  <si>
    <t>Consumo de energía eléctrica</t>
  </si>
  <si>
    <t>ALCANCE 3</t>
  </si>
  <si>
    <t>kgCO2 e/kg</t>
  </si>
  <si>
    <t>OTRAS FUENTES DE EMISIÓN</t>
  </si>
  <si>
    <t>Papel bond blanco</t>
  </si>
  <si>
    <t>Papel reciclado</t>
  </si>
  <si>
    <t>SUBTOTAL PAPEL</t>
  </si>
  <si>
    <t>Bogotá - Bucaramanga - Bogotá</t>
  </si>
  <si>
    <t>Bogotá - Cali - Bogotá</t>
  </si>
  <si>
    <t>Bogotá - Cartagena - Bogotá</t>
  </si>
  <si>
    <t>Bogotá - Barrancabermeja - Bogotá</t>
  </si>
  <si>
    <t>Bogotá - Armenia - Bogotá</t>
  </si>
  <si>
    <t>SUBTOTAL OTRAS FUENTES DE EMISIÓN</t>
  </si>
  <si>
    <t>TOTAL ALCANCE 3</t>
  </si>
  <si>
    <t>TOTAL HUELLA DE CARBONO CORPORATIVA</t>
  </si>
  <si>
    <t>gal</t>
  </si>
  <si>
    <t>KWh</t>
  </si>
  <si>
    <t>ICAO</t>
  </si>
  <si>
    <t>Viaje</t>
  </si>
  <si>
    <t>Bogotá - Barranquilla - Bogotá</t>
  </si>
  <si>
    <t>Bogotá - Buenaventura - Bogotá</t>
  </si>
  <si>
    <t>Bogotá - Cúcuta - Bogotá</t>
  </si>
  <si>
    <t>Bogotá - Florencia - Bogotá</t>
  </si>
  <si>
    <t>Bogotá - Ibagué - Bogotá</t>
  </si>
  <si>
    <t>Bogotá - Leticia - Bogotá</t>
  </si>
  <si>
    <t>Bogotá - Manizales - Bogotá</t>
  </si>
  <si>
    <t>Bogotá - Medellín - Bogotá</t>
  </si>
  <si>
    <t>Bogotá - Mitú - Bogotá</t>
  </si>
  <si>
    <t>Bogotá - Neiva - Bogotá</t>
  </si>
  <si>
    <t>Bogotá - Pasto - Bogotá</t>
  </si>
  <si>
    <t>Bogotá - Pereira - Bogotá</t>
  </si>
  <si>
    <t>Bogotá - Popayán - Bogotá</t>
  </si>
  <si>
    <t>Bogotá - Puerto Carreño - Bogotá</t>
  </si>
  <si>
    <t>Bogotá - Santa Marta - Bogotá</t>
  </si>
  <si>
    <t>Bogotá - Valledupar - Bogotá</t>
  </si>
  <si>
    <t>Bogotá - Villavicencio - Bogotá</t>
  </si>
  <si>
    <t>Bogotá - Yopal - Bogotá</t>
  </si>
  <si>
    <t>Residuos</t>
  </si>
  <si>
    <t>kgCO2 e/cabeza</t>
  </si>
  <si>
    <t>kgCH4/cabeza/año</t>
  </si>
  <si>
    <t>Cabezas</t>
  </si>
  <si>
    <t>Ovejas</t>
  </si>
  <si>
    <t>Cerdos</t>
  </si>
  <si>
    <t>Cant.</t>
  </si>
  <si>
    <t>fracc oxidada</t>
  </si>
  <si>
    <t>C</t>
  </si>
  <si>
    <t>CH4</t>
  </si>
  <si>
    <t>FE</t>
  </si>
  <si>
    <t>FE total</t>
  </si>
  <si>
    <t>N-C</t>
  </si>
  <si>
    <t>N2O</t>
  </si>
  <si>
    <t>kg de N</t>
  </si>
  <si>
    <t>KgCO2 e/kg N</t>
  </si>
  <si>
    <t>fracción volatiza</t>
  </si>
  <si>
    <t>kgN2O/kg N</t>
  </si>
  <si>
    <t>PCG</t>
  </si>
  <si>
    <t>No. Datos</t>
  </si>
  <si>
    <t>Factor T</t>
  </si>
  <si>
    <t>CALCULO DE LA HUELLA DE CARBONO CORPORATIVA 
(CON ESTIMACIÓN DE LA INCERTIDUMBRE)</t>
  </si>
  <si>
    <t>HERRAMIENTA DE GESTIÓN DE LA INFORMACIÓN Y EL CALCULO DEL INVENTARIO DE GASES DE EFECTO INVERNADERO (GEI)</t>
  </si>
  <si>
    <t>Datos Generales</t>
  </si>
  <si>
    <t>Diligencie los datos generales de la organización a la que se le realiza el calculo de la Huella de carbono</t>
  </si>
  <si>
    <t xml:space="preserve">HUELLA DE CARBONO CORPORATIVA </t>
  </si>
  <si>
    <t>Se debe seleccionar de la lista desplegable la categoría acorde a la carga ambiental identificada en la empresa, que pueda generar emisiones de GEI</t>
  </si>
  <si>
    <t>Unidad</t>
  </si>
  <si>
    <t>Dato 1 al 12</t>
  </si>
  <si>
    <t>Debe consignar los valores cuantitativos asociados a la carga ambiental que ha sido elegida</t>
  </si>
  <si>
    <t>Carga ambiental</t>
  </si>
  <si>
    <t>Total</t>
  </si>
  <si>
    <t>Esta celda no debe ser modificada.</t>
  </si>
  <si>
    <t>La herramienta hace la suma de todos los datos consignados en las celdas anteriores, para conocer el total anual de la variable asociada a la carga ambiental.</t>
  </si>
  <si>
    <t>La herramienta  muestra el numero de datos que han sido usados para el calculo de las emisiones de GEI y de la incertidumbre asociada</t>
  </si>
  <si>
    <t>Promedio</t>
  </si>
  <si>
    <t>La herramienta determina el promedio de los datos incluidos, para usarlo en el calculo de la incertidumbre asociada</t>
  </si>
  <si>
    <t>La herramienta determina el factor T de los datos incluidos, para usarlo en el calculo de la incertidumbre asociada</t>
  </si>
  <si>
    <t>Incertidumbre</t>
  </si>
  <si>
    <t>La herramienta determina el porcentaje de incertidumbre asociada a los datos usados.</t>
  </si>
  <si>
    <t>Cantidad</t>
  </si>
  <si>
    <t>DATOS GENERALES</t>
  </si>
  <si>
    <t xml:space="preserve">Incertidumbre de la fuente </t>
  </si>
  <si>
    <t xml:space="preserve">Huella de Carbono  </t>
  </si>
  <si>
    <t>CORREO ELECTRÓNICO:</t>
  </si>
  <si>
    <t>Click acá para las instrucciones de la
HERRAMIENTA DE GESTIÓN DE LA INFORMACIÓN</t>
  </si>
  <si>
    <t>Click acá para las instrucciones de la
HERRAMIENTA DE CALCULO DE LA HUELLA DE CARBONO CORPORATIVA CON ESTIMACION DE LA INCERTIDUMBRE</t>
  </si>
  <si>
    <t xml:space="preserve">Se deben diligenciar los datos asociados a la empresa:
- Nombre de la empresa. Nombre de la empresa donde se realiza el inventario.
- Dirección. Dirección de contacto de la persona que diligencio la herramienta.
- Persona que elabora el reporte. Nombre de la persona que diligencia la herramienta.
- Cargo. Cargo de la persona que diligencio la herramienta
- e-mail. e-mail de contacto de la persona que diligencio la herramienta.
- Teléfono. Teléfono de contacto de la persona que diligencio la herramienta.
- Municipio. Donde esta ubicada la empresa. 
- Año Base. Año al cual se asocian todos los datos consignados en el inventario. Debe ser el mismo año para todos los datos consignados en la herramienta.
- Fecha de diligenciamiento. Fecha en la que se realizo el diligenciamiento de la herramienta.
</t>
  </si>
  <si>
    <t xml:space="preserve">Fuente de Emisión </t>
  </si>
  <si>
    <t>Identifique la fuente de emisión asociada a los consumos organizacionales en su empresa</t>
  </si>
  <si>
    <t>Se debe identificar cuales de las fuentes de emisión propuestas en la herramienta corresponden a las actividades de la organización. Si la fuente de emisión no esta asociada a las actividades de la organización no continúe diligenciando la fila</t>
  </si>
  <si>
    <t>Identifique la carga ambiental asociada a la fuente de emisión que corresponda</t>
  </si>
  <si>
    <t>La herramienta indica la unidad en la que deben ser consignados los datos, según la variable que ha sido elegida en las celdas de fuente de emisión.</t>
  </si>
  <si>
    <t>Esta celda no debe ser modificada.
La unidad dada por la herramienta para cada carga ambiental guarda relación directa con los factores de emisión. 
Si no se cuenta con estas unidades en la información de la empresa, se deben hacer conversiones para ajustar las unidades antes de consignar los datos en la herramienta.</t>
  </si>
  <si>
    <t xml:space="preserve">Deben ser incluidos todos los valores cuantitativos asociados al numero de datos con los que cuente la organización en el año base (entre 1 y 12) para estimar las emisiones de cada carga ambiental. 
Los valores deben ser incluidos en las unidades descritas en la celda "Unidad". Si es necesario, se deben hacer conversiones para ajustar las unidades a las que son indicadas en la celda "Unidad". 
De esta forma, si la organización cuenta con un solo dato para el año, deberá diligenciar solamente las celda "DATO 1", pero si cuenta con 12 datos de la variable en el año, diligenciará todas las celdas entre "DATO 1" y "DATO 12". 
Si la organización cuenta con un numero de datos superior a 12, tiene varias opciones para ingresar los datos:
- Hacer una agregación de datos de tipo mensual (sumar todos los datos fechados en el mismo mes) y consignar los valores sumados en cada celda entre "DATO 1" y "DATO 12". 
- Insertar las celdas necesarias para consignar todos los datos con los que se cuente, teniendo precaución de no modificar la formulación de la herramienta (consulte al equipo de la CAEM antes de realizar esta acción).
No se deben registrar ceros en las celdas que no sean usadas, o la herramienta asumirá el cero como un dato mas. </t>
  </si>
  <si>
    <t>Desviación Estándar</t>
  </si>
  <si>
    <t>La herramienta determina la desviación estándar de los datos incluidos, para usarlo en el calculo de la incertidumbre asociada</t>
  </si>
  <si>
    <t>Esta celda no debe ser modificada.
El factor T es una variable estadística que depende del numero de muestras usadas para un calculo.
Los datos del "factor T"  presentados en la herramienta son los que  han sido propuestos por el anexo 1 de la "Guía corta para el calculo de la medición y estimación de la incertidumbre para emisiones de GHG", disponible en : http://www.ghgprotocol.org/files/ghgp/tools/ghg-uncertainty.pdf</t>
  </si>
  <si>
    <t>Esta celda no debe ser modificada.
La incertidumbre es estimada o calculada según la cantidad de datos con los que se cuente para hacer la medición: 
- Si solamente se cuenta con un dato para el calculo de las emisiones de GEI, la incertidumbre de la variable será estimada y corresponderá al dato propuesto por el panel de expertos del IPCC, descrito en el documento: "Orientación del IPCC sobre las buenas prácticas y la gestión de la incertidumbre en los inventarios nacionales de gases de efecto invernadero", disponible en: http://www.ipcc-nggip.iges.or.jp/public/gp/spanish/gpgaum_es.html
- Si se cuenta con dos o mas datos para el calculo de las emisiones de GEI, el resultado de la incertidumbre de la variable será calculado según la metodología propuesta por el IPCC y adoptada por el GHG  Protocol, descrita en el documento:  "Guía corta para el calculo de la medición y estimación de la incertidumbre para emisiones de GHG", disponible en : http://www.ghgprotocol.org/files/ghgp/tools/ghg-uncertainty.pdf</t>
  </si>
  <si>
    <t>Indica el valor del factor de emisión asociado a la carga ambiental seleccionada</t>
  </si>
  <si>
    <t>Esta celda no debe ser modificada.
Los datos de los factores de emisión han sido obtenidos de fuentes confiables; y toda la información con respecto a su origen puede ser consultada en el documento "Factores de emisión considerados en la herramienta de calculo de la huella de carbono corporativa" de la CAEM. Este documento esta disponible en la Web de la CAEM o puede ser solicitado al equipo de trabajo de la CAEM.</t>
  </si>
  <si>
    <t>Indica la unidad del factor de emisión asociado a la carga ambiental seleccionada</t>
  </si>
  <si>
    <t>La herramienta determina el porcentaje de incertidumbre asociada al factor de emisión usado.</t>
  </si>
  <si>
    <t>Esta celda no debe ser modificada.
La incertidumbre asociada a los factores de emisión empleados para el calculo de las emisiones de GEI es estimada y corresponde a los datos propuestos por el IPCC en el documento: "Orientación del IPCC sobre las buenas prácticas y la gestión de la incertidumbre en los inventarios nacionales de gases de efecto invernadero", disponible en: http://www.ipcc-nggip.iges.or.jp/public/gp/spanish/gpgaum_es.html</t>
  </si>
  <si>
    <t>La herramienta indica el valor de las emisiones asociadas a cada una de las cargas ambientales, los valores totales agregados para cada tipo de fuente y alcance, y el valor total de las emisiones de gases de efecto invernadero de la organización.</t>
  </si>
  <si>
    <t>La herramienta indica el valor de la incertidumbre asociada a cada una de las cargas ambientales, los valores totales de incertidumbre agregados para cada tipo de fuente y alcance, y el valor total de la incertidumbre del inventario de emisiones de gases de efecto invernadero de la organización.</t>
  </si>
  <si>
    <t>Esta celda no debe ser modificada.
La agregación de las incertidumbres ha sido calculada basándose en la metodología propuesta por   el IPCC y adoptada por el GHG  Protocol, descrita en el documento:  "Guía corta para el calculo de la medición y estimación de la incertidumbre para emisiones de GHG", disponible en : http://www.ghgprotocol.org/files/ghgp/tools/ghg-uncertainty.pdf</t>
  </si>
  <si>
    <t>Para efectos del diligenciamiento del formato, se debe seleccionar la carga ambiental en la lista desplegable, la cual consta de opciones como:
-  Consumo de carbón, bagazo y madera para combustibles sólidos. 
-  Consumo de ACPM y gasolina para combustibles líquidos.
-  Consumo de gas natural y propano para combustibles gaseosos.</t>
  </si>
  <si>
    <r>
      <t xml:space="preserve">Corresponde a la frecuencia con la que se realizan verificaciones de la información original, identificando posibles errores y causas de esos errores para la formulación de acciones preventivas y correctivas </t>
    </r>
    <r>
      <rPr>
        <b/>
        <sz val="11"/>
        <color theme="1"/>
        <rFont val="Calibri"/>
        <family val="2"/>
        <scheme val="minor"/>
      </rPr>
      <t>a fin de garantizar el principio de Exactitud contemplado en el numeral 3.5 así como el literal c) del numeral 6.1.1 de la NTC-ISO 14064-1.</t>
    </r>
  </si>
  <si>
    <r>
      <t xml:space="preserve">Corresponde a las ultimas acciones correctivas que se hayan ejecutado para garantizar la calidad del inventario de GEI y/o reporte de huella de carbono. </t>
    </r>
    <r>
      <rPr>
        <b/>
        <sz val="11"/>
        <color theme="1"/>
        <rFont val="Calibri"/>
        <family val="2"/>
        <scheme val="minor"/>
      </rPr>
      <t>La ejecución de las acciones correctivas permitirán dar cumplimiento al literal d) del numeral 6.1.1 de la NTC-ISO 14064.</t>
    </r>
  </si>
  <si>
    <t xml:space="preserve">Corresponde a la ultima fecha en la que se haya realizado algún tipo de modificación a la información consignada en el formato, independiente que este ligado o no a una categoría o carga ambiental, este es un registro sucesivo de actualizaciones realizadas. </t>
  </si>
  <si>
    <t>Una vez se ha consolidado la información que va a ser usada para el calculo del inventario de gases de efecto invernadero en la organización, dichos datos deben ser incluidos en la herramienta de calculo de la Huella de Carbono Corporativa, la cual le permitirá además conocer el nivel de incertidumbre asociado al inventario realizado.</t>
  </si>
  <si>
    <t xml:space="preserve">FUENTE DE EMISIÓN </t>
  </si>
  <si>
    <t xml:space="preserve">Con el fin de estimar la incertidumbre asociada al inventario de gases de efecto invernadero, se desarrolló una herramienta de calculo que integra la cuantificacion del inventario y la estimacion de la incertidumbre, y que cumple con los requisitos de la NTC-14064-1 y el Protocolo GHG. De acuerdo a lo anterior, se elaboró un instructivo para el diligenciamiento de la herramienta de gestión de la información sobre los GEI, la cual consta de los siguientes aspectos:   </t>
  </si>
  <si>
    <t>HERRAMIENTA PARA LA ESTIMACION DE LA INCERTIDUMBRE</t>
  </si>
  <si>
    <t>INSTRUCCIONES</t>
  </si>
  <si>
    <t xml:space="preserve">Esta Herramienta busca contribuir a la construcción de un sistema básico para la gestión de la información asociada a los Gases de Efecto Invernadero (GEI), teniendo en cuenta los criterios del numerales 6.1.1 , 7.3.1 (literal o) de la NTC 14064-1 y de forma complementaria algunos aspectos relacionados con el Protocolo GHG; y permite además el calculo del inventario de GEI teniendo en cuenta la estimación de la incertidumbre asociada al mismo. </t>
  </si>
  <si>
    <t>Combustóleo</t>
  </si>
  <si>
    <t>CALCULO FACTOR DE EMISIÓN - MANEJO DE ESTIERCOL</t>
  </si>
  <si>
    <t>Ganado No Lechero - Clima Frío</t>
  </si>
  <si>
    <t>Ganado No Lechero - Clima Templado</t>
  </si>
  <si>
    <t>Ganado No Lechero - Clima Cálido</t>
  </si>
  <si>
    <t>Ganado Lechero - Clima Frío</t>
  </si>
  <si>
    <t>Ganado Lechero - Clima Templado</t>
  </si>
  <si>
    <t>Ganado Lechero - Clima Cálido</t>
  </si>
  <si>
    <t>Aves de Corral - Clima Frío</t>
  </si>
  <si>
    <t>Aves de Corral - Clima Templado</t>
  </si>
  <si>
    <t>Aves de Corral - Clima Cálido</t>
  </si>
  <si>
    <t>Ovejas - Clima Frío</t>
  </si>
  <si>
    <t>Ovejas - Clima Tempaldo</t>
  </si>
  <si>
    <t>Ovejas - Clima Cálido</t>
  </si>
  <si>
    <t>Cerdos Almacenamiento Sólido y Parcelas Secas - Clima Frío</t>
  </si>
  <si>
    <t>Cerdos Almacenamiento Sólido y Parcelas Secas - Clima Tempaldo</t>
  </si>
  <si>
    <t>Cerdos Almacenamiento Sólido y Parcelas Secas - Clima Cálido</t>
  </si>
  <si>
    <t>Cerdos Otros Sistemas de Manejo del Estiercol - Clima Frío</t>
  </si>
  <si>
    <t>Cerdos Otros Sistemas de Manejo del Estiercol - Clima Tempaldo</t>
  </si>
  <si>
    <t>Cerdos Otros Sistemas de Manejo del Estiercol - Clima Cálido</t>
  </si>
  <si>
    <t>Búfalos - Clima Frío</t>
  </si>
  <si>
    <t>Búfalos - Clima Templado</t>
  </si>
  <si>
    <t>Búfalos - Clima Cálido</t>
  </si>
  <si>
    <t>Cabras - Clima Frío</t>
  </si>
  <si>
    <t>Cabras - Clima Templado</t>
  </si>
  <si>
    <t>Cabras - Clima Cálido</t>
  </si>
  <si>
    <t>Caballos - Clima Frío</t>
  </si>
  <si>
    <t>Caballos - Clima Templado</t>
  </si>
  <si>
    <t>Caballos - Clima Cálido</t>
  </si>
  <si>
    <t>Mulas y Asnos - Clima Frío</t>
  </si>
  <si>
    <t>Mulas y Asnos - Clima Templado</t>
  </si>
  <si>
    <t>Mulas y Asnos - Clima Cálido</t>
  </si>
  <si>
    <t>TIPO DE ANIMAL</t>
  </si>
  <si>
    <r>
      <t>FACTOR  DE EMISIÓN CH</t>
    </r>
    <r>
      <rPr>
        <vertAlign val="subscript"/>
        <sz val="11"/>
        <color theme="1"/>
        <rFont val="Calibri"/>
        <family val="2"/>
        <scheme val="minor"/>
      </rPr>
      <t>4</t>
    </r>
  </si>
  <si>
    <r>
      <t>FACTOR EMISIÓN CO</t>
    </r>
    <r>
      <rPr>
        <vertAlign val="subscript"/>
        <sz val="11"/>
        <color theme="1"/>
        <rFont val="Calibri"/>
        <family val="2"/>
        <scheme val="minor"/>
      </rPr>
      <t>2</t>
    </r>
    <r>
      <rPr>
        <sz val="11"/>
        <color theme="1"/>
        <rFont val="Calibri"/>
        <family val="2"/>
        <scheme val="minor"/>
      </rPr>
      <t xml:space="preserve"> e</t>
    </r>
  </si>
  <si>
    <r>
      <t>CH</t>
    </r>
    <r>
      <rPr>
        <b/>
        <vertAlign val="subscript"/>
        <sz val="11"/>
        <color theme="1"/>
        <rFont val="Calibri"/>
        <family val="2"/>
        <scheme val="minor"/>
      </rPr>
      <t>4</t>
    </r>
  </si>
  <si>
    <t>N Excretado</t>
  </si>
  <si>
    <t>% N según Sistema de Manejo</t>
  </si>
  <si>
    <r>
      <t>Factor de Emisión N</t>
    </r>
    <r>
      <rPr>
        <vertAlign val="subscript"/>
        <sz val="11"/>
        <color theme="1"/>
        <rFont val="Calibri"/>
        <family val="2"/>
        <scheme val="minor"/>
      </rPr>
      <t>2</t>
    </r>
    <r>
      <rPr>
        <sz val="11"/>
        <color theme="1"/>
        <rFont val="Calibri"/>
        <family val="2"/>
        <scheme val="minor"/>
      </rPr>
      <t>O</t>
    </r>
  </si>
  <si>
    <t>N Excretado por Sistema de Manejo</t>
  </si>
  <si>
    <t>ExF</t>
  </si>
  <si>
    <r>
      <t>Emisiones de N</t>
    </r>
    <r>
      <rPr>
        <vertAlign val="subscript"/>
        <sz val="11"/>
        <color theme="1"/>
        <rFont val="Calibri"/>
        <family val="2"/>
        <scheme val="minor"/>
      </rPr>
      <t>2</t>
    </r>
    <r>
      <rPr>
        <sz val="11"/>
        <color theme="1"/>
        <rFont val="Calibri"/>
        <family val="2"/>
        <scheme val="minor"/>
      </rPr>
      <t>O</t>
    </r>
  </si>
  <si>
    <t>GxHx44/28</t>
  </si>
  <si>
    <r>
      <t>N</t>
    </r>
    <r>
      <rPr>
        <b/>
        <vertAlign val="subscript"/>
        <sz val="11"/>
        <color theme="1"/>
        <rFont val="Calibri"/>
        <family val="2"/>
        <scheme val="minor"/>
      </rPr>
      <t>2</t>
    </r>
    <r>
      <rPr>
        <b/>
        <sz val="11"/>
        <color theme="1"/>
        <rFont val="Calibri"/>
        <family val="2"/>
        <scheme val="minor"/>
      </rPr>
      <t>O</t>
    </r>
  </si>
  <si>
    <r>
      <t>FACTRO DE EMISION CO</t>
    </r>
    <r>
      <rPr>
        <vertAlign val="subscript"/>
        <sz val="11"/>
        <color theme="1"/>
        <rFont val="Calibri"/>
        <family val="2"/>
        <scheme val="minor"/>
      </rPr>
      <t>2</t>
    </r>
    <r>
      <rPr>
        <sz val="11"/>
        <color theme="1"/>
        <rFont val="Calibri"/>
        <family val="2"/>
        <scheme val="minor"/>
      </rPr>
      <t xml:space="preserve"> e TOTAL</t>
    </r>
  </si>
  <si>
    <t>Cabeza</t>
  </si>
  <si>
    <t>Ave</t>
  </si>
  <si>
    <t>CO2</t>
  </si>
  <si>
    <t>Fugas de CO2 en proceso</t>
  </si>
  <si>
    <t>TOTAL HCC</t>
  </si>
  <si>
    <t>Alcance 3</t>
  </si>
  <si>
    <t>Alcance 2</t>
  </si>
  <si>
    <t>Alcance 1</t>
  </si>
  <si>
    <t>SUBTOTAL</t>
  </si>
  <si>
    <t>Otras Fuentes</t>
  </si>
  <si>
    <t>Fuentes Fijas</t>
  </si>
  <si>
    <t>Fuentes Móviles</t>
  </si>
  <si>
    <t>Energía Adquirida</t>
  </si>
  <si>
    <t>Emisiones de Proceso</t>
  </si>
  <si>
    <t>INCERTIDUMBRE %</t>
  </si>
  <si>
    <t>% DEL TOTAL</t>
  </si>
  <si>
    <t>FUENTES</t>
  </si>
  <si>
    <t>ALCANCE</t>
  </si>
  <si>
    <t xml:space="preserve">ALCANCE </t>
  </si>
  <si>
    <t>Emisiones discriminadas por alcance:</t>
  </si>
  <si>
    <t>Emisiones Directas (Alcance 1) discriminadas por GEI:</t>
  </si>
  <si>
    <t>Energía eléctrica adquirida (Factor emisión UPME-MDL 2008)</t>
  </si>
  <si>
    <t>CFC-11 / R-11</t>
  </si>
  <si>
    <t>CFC-12 / R-12</t>
  </si>
  <si>
    <t>HCFC-22 / R-22</t>
  </si>
  <si>
    <t>HCFC-123 / R-123</t>
  </si>
  <si>
    <t>HFC-23 / R-23</t>
  </si>
  <si>
    <t>HFC-32 / R-32</t>
  </si>
  <si>
    <t>HFC-134 / R-134</t>
  </si>
  <si>
    <t>HFC-134a / R-134a</t>
  </si>
  <si>
    <t xml:space="preserve">PFC-14 / R-14 </t>
  </si>
  <si>
    <t>HFC-410a / R-410A</t>
  </si>
  <si>
    <t>HFC-407C / R-407C</t>
  </si>
  <si>
    <t>HFC-143 / R-143</t>
  </si>
  <si>
    <t>HFC-143a / R-143a</t>
  </si>
  <si>
    <t>HFC-422D / R-422D</t>
  </si>
  <si>
    <t>Energía eléctrica adquirida (Factor emisión Informe EIA 2011)</t>
  </si>
  <si>
    <t>Energía eléctrica adquirida (Factor emisión Informe EIA 2013)</t>
  </si>
  <si>
    <t>Energía eléctrica adquirida (Factor emisión UPME-FECOC 2014)</t>
  </si>
  <si>
    <t>CREDITOS:</t>
  </si>
  <si>
    <t>Oportunidades de Mejora</t>
  </si>
  <si>
    <t>Halon 1301 / CBrF3</t>
  </si>
  <si>
    <t>SUBTOTAL VIAJES AÉREOS Y TRANSPORTE DE CARGA</t>
  </si>
  <si>
    <t>Viajes aéreos y transporte de carga</t>
  </si>
  <si>
    <t>INCERTIDUMBRE DATOS</t>
  </si>
  <si>
    <t>FACTOR DE EMISIÓN CO2</t>
  </si>
  <si>
    <t>FACTOR DE EMISIÓN CH4</t>
  </si>
  <si>
    <t>FACTOR DE EMISIÓN N2O</t>
  </si>
  <si>
    <t>FACTOR DE EMISIÓN SF6</t>
  </si>
  <si>
    <t>EMISIONES SF6</t>
  </si>
  <si>
    <t>EMISIONES N2O</t>
  </si>
  <si>
    <t>EMISIONES CH4</t>
  </si>
  <si>
    <t>EMISIONES CO2</t>
  </si>
  <si>
    <t>INCERTIDUMBRE FACTOR EMISIÓN CO2</t>
  </si>
  <si>
    <t>INCERTIDUMBRE EMISIONES CO2</t>
  </si>
  <si>
    <t>INCERTIDUMBRE FACTOR EMISIÓN CH4</t>
  </si>
  <si>
    <t>INCERTIDUMBRE EMISIONES CH4</t>
  </si>
  <si>
    <t>INCERTIDUMBRE FACTOR EMISIÓN N2O</t>
  </si>
  <si>
    <t>INCERTIDUMBRE EMISIONES N2O</t>
  </si>
  <si>
    <t>INCERTIDUMBRE FACTOR EMISIÓN SF6</t>
  </si>
  <si>
    <t>INCERTIDUMBRE EMISIONES SF6</t>
  </si>
  <si>
    <t>INCERTIDUMBRE SISTEMATICA ADICIONAL</t>
  </si>
  <si>
    <t>Carbón Guajira - Cesar</t>
  </si>
  <si>
    <t>Carbón Guajira</t>
  </si>
  <si>
    <t>Carbón Cundinamarca</t>
  </si>
  <si>
    <t>Carbón Cauca - Valle del Cauca</t>
  </si>
  <si>
    <t>Carbón Norte de Santander</t>
  </si>
  <si>
    <t>Carbón Córdoba-Norte de Antioquia</t>
  </si>
  <si>
    <t>Carbón Santander</t>
  </si>
  <si>
    <t>Carbón Santander Sogamoso</t>
  </si>
  <si>
    <t>Carbón Boyacá</t>
  </si>
  <si>
    <t>Carbón Antioquia</t>
  </si>
  <si>
    <t>Fibra de palma</t>
  </si>
  <si>
    <t>Cuesco de palma</t>
  </si>
  <si>
    <t>Raquis de palma</t>
  </si>
  <si>
    <t>Cascarilla de Arroz</t>
  </si>
  <si>
    <t>Borra de Café</t>
  </si>
  <si>
    <t>Cisco de Café</t>
  </si>
  <si>
    <t>Madera Genérico</t>
  </si>
  <si>
    <t>Madera Eucalipto</t>
  </si>
  <si>
    <t>Madera Pino</t>
  </si>
  <si>
    <t>Madera Acacia</t>
  </si>
  <si>
    <t>Madera Melina</t>
  </si>
  <si>
    <t>Combustible</t>
  </si>
  <si>
    <t>Incertidumbre (+/- %)</t>
  </si>
  <si>
    <t>Kerosene</t>
  </si>
  <si>
    <t>Avigas</t>
  </si>
  <si>
    <t>Jet A1</t>
  </si>
  <si>
    <t>Biodiesel palma</t>
  </si>
  <si>
    <t>Fuel Oil # 4 - Ecopetrol</t>
  </si>
  <si>
    <t>Gasolina E10 (Mezcla comercial)</t>
  </si>
  <si>
    <t>Fuente Bibliográfica</t>
  </si>
  <si>
    <t>FECOC, 2015</t>
  </si>
  <si>
    <t>IPCC, 2006</t>
  </si>
  <si>
    <t>Coke Gas Genérico</t>
  </si>
  <si>
    <t>Gas Natural Neiva - Huila</t>
  </si>
  <si>
    <t>Gas Opon Payoa</t>
  </si>
  <si>
    <t>Gas Cupiagua</t>
  </si>
  <si>
    <t>Gas La Creciente</t>
  </si>
  <si>
    <t>Gas de Pozo cupiagua</t>
  </si>
  <si>
    <t>Lubricantes</t>
  </si>
  <si>
    <t>Extintores</t>
  </si>
  <si>
    <t>Unidad FE</t>
  </si>
  <si>
    <t>Gal</t>
  </si>
  <si>
    <t>Unidad Consumo</t>
  </si>
  <si>
    <t>GWP-AR4-IPCC</t>
  </si>
  <si>
    <t>Refrigerante</t>
  </si>
  <si>
    <t>Aceites lubricantes</t>
  </si>
  <si>
    <t>Grasa Lubricante</t>
  </si>
  <si>
    <t>IPCC 2006</t>
  </si>
  <si>
    <t>kg CO2/kg</t>
  </si>
  <si>
    <t>Emisiones de procesos</t>
  </si>
  <si>
    <t xml:space="preserve">Uso fertilizantes </t>
  </si>
  <si>
    <t>UPME</t>
  </si>
  <si>
    <t>EIA</t>
  </si>
  <si>
    <t xml:space="preserve">Aislamiento </t>
  </si>
  <si>
    <t>Factor Emisión N2O (g N2O/m3)</t>
  </si>
  <si>
    <t>Factor Emisión CH4 (g CH4/m3)</t>
  </si>
  <si>
    <t>Factor Emisión CO2 (kg CO2/gal)</t>
  </si>
  <si>
    <t>Factor Emisión CH4 (g CH4/gal)</t>
  </si>
  <si>
    <t>Factor Emisión CH4 (kg CH4/gal)</t>
  </si>
  <si>
    <t>Factor Emisión N2O (g N2O/gal)</t>
  </si>
  <si>
    <t>Factor Emisión N2O (kg N2O/gal)</t>
  </si>
  <si>
    <t>Diésel B10 (Mezcla comercial)</t>
  </si>
  <si>
    <t>Diésel Marino</t>
  </si>
  <si>
    <t>Biogás Genérico</t>
  </si>
  <si>
    <t>GLP Genérico</t>
  </si>
  <si>
    <t>Factor Emisión CO2e (kg CO2e/kg)</t>
  </si>
  <si>
    <t>Factor Emisión CO2e (kg CO2e/gal)</t>
  </si>
  <si>
    <t>kg CO2/galón</t>
  </si>
  <si>
    <t>Factor Emisión CH4 (kg CO2e/kg)</t>
  </si>
  <si>
    <t>Factor Emisión CH4 (kg CO2e/unidad)</t>
  </si>
  <si>
    <t>Factor Emisión N2O (kg CO2e/unidad)</t>
  </si>
  <si>
    <t>Factor Emisión N2O (kg CO2e/kg)</t>
  </si>
  <si>
    <t>FUENTE DE EMISIÓN DE GEI
(Seleccione de la lista)</t>
  </si>
  <si>
    <t>Consumo de combustibles líquidos
(Fuentes Moviles)</t>
  </si>
  <si>
    <t>Consumo de combustibles gaseosos
(Fuentes Moviles)</t>
  </si>
  <si>
    <t>SUBTOTAL OTROS</t>
  </si>
  <si>
    <t>DATOS DE ACTIVIDAD
(Seleccione de la lista)</t>
  </si>
  <si>
    <t>Extintores (Fuentes Fijas)</t>
  </si>
  <si>
    <t>Consumo de combustibles gaseosos
 (Fuentes Fijas)</t>
  </si>
  <si>
    <t>Consumo de combustibles líquidos
 (Fuentes Fijas)</t>
  </si>
  <si>
    <t>Consumo de combustibles sólidos
 (Fuentes Fijas)</t>
  </si>
  <si>
    <t xml:space="preserve">Quema Residuos </t>
  </si>
  <si>
    <t>Uso fertilizantes</t>
  </si>
  <si>
    <t xml:space="preserve">Columna Auxiliar </t>
  </si>
  <si>
    <t>Incertidumbre Juicio expertos IPCC</t>
  </si>
  <si>
    <t xml:space="preserve">% Rango menor </t>
  </si>
  <si>
    <t>% Rango mayor</t>
  </si>
  <si>
    <t>kgCH4/kg DQO</t>
  </si>
  <si>
    <t>Electricidad</t>
  </si>
  <si>
    <t xml:space="preserve">Viajes </t>
  </si>
  <si>
    <t>Papel</t>
  </si>
  <si>
    <t>Factor Emisión CO2 (kg CO2e/kg)</t>
  </si>
  <si>
    <t>TOTAL EMISIONES DE BIOMASA</t>
  </si>
  <si>
    <t>Consumo de aislante eléctrico</t>
  </si>
  <si>
    <t xml:space="preserve">                  </t>
  </si>
  <si>
    <r>
      <t>OTROS VIAJES AÉREOS 
(</t>
    </r>
    <r>
      <rPr>
        <i/>
        <sz val="11"/>
        <rFont val="Calibri"/>
        <family val="2"/>
        <scheme val="minor"/>
      </rPr>
      <t>Se obtiene de la herramienta de la ICAO http://www.icao.int/environmental-protection/CarbonOffset/Pages/default.aspx</t>
    </r>
    <r>
      <rPr>
        <b/>
        <sz val="11"/>
        <rFont val="Calibri"/>
        <family val="2"/>
        <scheme val="minor"/>
      </rPr>
      <t>)</t>
    </r>
  </si>
  <si>
    <t>Bogotá - Riohacha - Bogotá</t>
  </si>
  <si>
    <t>BIOMASA</t>
  </si>
  <si>
    <t>Biomasa</t>
  </si>
  <si>
    <r>
      <t>TOTAL CO</t>
    </r>
    <r>
      <rPr>
        <b/>
        <vertAlign val="subscript"/>
        <sz val="11"/>
        <color theme="0"/>
        <rFont val="Calibri"/>
        <family val="2"/>
        <scheme val="minor"/>
      </rPr>
      <t>2</t>
    </r>
    <r>
      <rPr>
        <b/>
        <sz val="11"/>
        <color theme="0"/>
        <rFont val="Calibri"/>
        <family val="2"/>
        <scheme val="minor"/>
      </rPr>
      <t xml:space="preserve"> BIOMASA</t>
    </r>
  </si>
  <si>
    <t>No aplica</t>
  </si>
  <si>
    <r>
      <t>CO</t>
    </r>
    <r>
      <rPr>
        <b/>
        <vertAlign val="subscript"/>
        <sz val="11"/>
        <color theme="1"/>
        <rFont val="Calibri"/>
        <family val="2"/>
        <scheme val="minor"/>
      </rPr>
      <t>2</t>
    </r>
  </si>
  <si>
    <r>
      <t>SF</t>
    </r>
    <r>
      <rPr>
        <b/>
        <vertAlign val="subscript"/>
        <sz val="11"/>
        <color theme="1"/>
        <rFont val="Calibri"/>
        <family val="2"/>
        <scheme val="minor"/>
      </rPr>
      <t>6</t>
    </r>
  </si>
  <si>
    <t xml:space="preserve">GAS EFECTO INVERNADERO (GEI) </t>
  </si>
  <si>
    <t>Emisiones Totales discriminadas por GEI:</t>
  </si>
  <si>
    <t>% DEL ALCANCE 1</t>
  </si>
  <si>
    <t>EMISIONES DE BIOMASA</t>
  </si>
  <si>
    <r>
      <t>CALCULO DE EMISIONES DE CO</t>
    </r>
    <r>
      <rPr>
        <b/>
        <vertAlign val="subscript"/>
        <sz val="18"/>
        <color theme="0"/>
        <rFont val="Calibri"/>
        <family val="2"/>
        <scheme val="minor"/>
      </rPr>
      <t>2</t>
    </r>
    <r>
      <rPr>
        <b/>
        <sz val="18"/>
        <color theme="0"/>
        <rFont val="Calibri"/>
        <family val="2"/>
        <scheme val="minor"/>
      </rPr>
      <t xml:space="preserve"> ASOCIADAS A LA BIOMASA
(CON ESTIMACIÓN DE LA INCERTIDUMBRE)</t>
    </r>
  </si>
  <si>
    <t>GEI</t>
  </si>
  <si>
    <t>PCG-GWP</t>
  </si>
  <si>
    <t>AR5</t>
  </si>
  <si>
    <t>AR4</t>
  </si>
  <si>
    <t>GWP-AR5-IPCC</t>
  </si>
  <si>
    <t>http://www.lindeus.com/internet.lg.lg.usa/en/images/Linde%20R290%20Refrigerant%20Grade%20Propane138_11493.pdf</t>
  </si>
  <si>
    <t>NF3</t>
  </si>
  <si>
    <t>ND</t>
  </si>
  <si>
    <t xml:space="preserve">Residuos </t>
  </si>
  <si>
    <t>Residuos solidos sin definir clima &lt;20°C (relleno sanitario)</t>
  </si>
  <si>
    <t>Residuos solidos sin definir clima &gt;20°C (relleno sanitario)</t>
  </si>
  <si>
    <t>Quema de Residuos Agrícolas</t>
  </si>
  <si>
    <t>Papel mate de revista</t>
  </si>
  <si>
    <t>Papel brillante de revista</t>
  </si>
  <si>
    <t>European reference Lifecycle Database Polyethylene high density granulate (PE-HD);production mix, at plant</t>
  </si>
  <si>
    <t>European reference Lifecycle Database:  Graphic Paper; technology mix; production mix, at plant; 79% primary fibre, 21% recycled fibre</t>
  </si>
  <si>
    <t>European reference Lifecycle Database:  Polypropylene granulate (PP); production mix, at plant</t>
  </si>
  <si>
    <t>European reference Lifecycle Database: Polyethylene low density granulate (PE-LD);production mix, at plant</t>
  </si>
  <si>
    <t xml:space="preserve">Aluminio primario </t>
  </si>
  <si>
    <t>Aluminio reciclado</t>
  </si>
  <si>
    <t>Center for environmental assessment of product and material systems (CPM LCA Database): primary aluminium production</t>
  </si>
  <si>
    <t>Otras materias primas</t>
  </si>
  <si>
    <t>Manejo de residuos</t>
  </si>
  <si>
    <t xml:space="preserve">Polietileno de alta densidad </t>
  </si>
  <si>
    <t xml:space="preserve">Polietileno de baja densidad </t>
  </si>
  <si>
    <t xml:space="preserve">Polipropileno </t>
  </si>
  <si>
    <t>European reference Lifecycle Database: Aluminium extrusión profile; primary production; production mix, at plant; aluminium semi-finished extrusión product, including primary production, transformation and recycling</t>
  </si>
  <si>
    <t>Extintores (Fuentes Móviles)</t>
  </si>
  <si>
    <t>Lubricantes (Fuentes Móviles)</t>
  </si>
  <si>
    <t>Compostaje de materia orgánica</t>
  </si>
  <si>
    <t>Bogotá - Puerto Inírida - Bogotá</t>
  </si>
  <si>
    <t>Bogotá - Puerto Asís - Bogotá</t>
  </si>
  <si>
    <t>kg húmedo</t>
  </si>
  <si>
    <t>Residuos solidos incineración semicontinua</t>
  </si>
  <si>
    <t xml:space="preserve">Fermentación Entérica </t>
  </si>
  <si>
    <t>Ovejas - Clima Templado</t>
  </si>
  <si>
    <t>Cerdos Almacenamiento Sólido y Parcelas Secas - Clima Templado</t>
  </si>
  <si>
    <t>Cerdos Otros Sistemas de Manejo del Estiércol - Clima Frío</t>
  </si>
  <si>
    <t>Cerdos Otros Sistemas de Manejo del Estiércol - Clima Templado</t>
  </si>
  <si>
    <t>Cerdos Otros Sistemas de Manejo del Estiércol - Clima Cálido</t>
  </si>
  <si>
    <t>Bogotá - Montería - Bogotá</t>
  </si>
  <si>
    <t>Silva D., Raymundo A., Oliveira J., Ometto A., 2015. Life cycle assessment of offset paper production in Brazil: hotspots and cleaner production alternatives. Journal of cleaner Production. (93) 222-233</t>
  </si>
  <si>
    <t>Leon J., Aliaga C., Boulougouris G., Hortal M., Marti J., 2015. Quantifying GHG emissions savings potential in magazine paper production: a case study on supercalendered and light-weight coated papers. Journal of Cleaner Production. (103) 301-308</t>
  </si>
  <si>
    <t>Transporte de Gas Natural (Fugas CH4)</t>
  </si>
  <si>
    <t>Producción Polipropileno (Gases quemados TEA)</t>
  </si>
  <si>
    <t>Metano en tierras inundadas</t>
  </si>
  <si>
    <t>Ha</t>
  </si>
  <si>
    <t>Manejo Embalses</t>
  </si>
  <si>
    <t xml:space="preserve">US Environmental Protecction Agency, “Methane and Nitrous Oxide Emissions From Natural Sources”3, de abril de 2010. http://www.epa.gov/outreach/pdfs/Methane-and-Nitrous-Oxide-Emissions-From-Natural-Sources.pdf </t>
  </si>
  <si>
    <t>Manejo de embalses</t>
  </si>
  <si>
    <t>Acetileno</t>
  </si>
  <si>
    <t>Transporte aéreo de carga</t>
  </si>
  <si>
    <t>USDA-LCI (ICAO 2003)</t>
  </si>
  <si>
    <t>Transporte marítimo de carga</t>
  </si>
  <si>
    <t>USDA-LCI, 2006 (ARGO 2001)</t>
  </si>
  <si>
    <t>Transporte terrestre de carga</t>
  </si>
  <si>
    <t>USDA-LCI- (EPA 2010)</t>
  </si>
  <si>
    <t>Gas MAPP</t>
  </si>
  <si>
    <t>HCFC-141B / R-141B</t>
  </si>
  <si>
    <t>http://www.gas-servei.com/images/Ficha-tecnica-R404A.pdf</t>
  </si>
  <si>
    <t>HFC-404A / R-404A</t>
  </si>
  <si>
    <t>HFC-125 / R-125</t>
  </si>
  <si>
    <t>Propano Alta Calidad / R-290</t>
  </si>
  <si>
    <t xml:space="preserve">Isobutano / R-600A </t>
  </si>
  <si>
    <t>Compuestos Fluorados</t>
  </si>
  <si>
    <t>EMISIONES Compuestos Fluorados</t>
  </si>
  <si>
    <t>FACTOR DE EMISIÓN Compuestos Fluorados</t>
  </si>
  <si>
    <t>INCERTIDUMBRE EMISIONES Compuestos Fluorados</t>
  </si>
  <si>
    <t>INCERTIDUMBRE FACTOR EMISIÓN Compuestos Fluorados</t>
  </si>
  <si>
    <t>Combustible_Sólido</t>
  </si>
  <si>
    <t>Diésel B2 (sin mezcla biodiesel)</t>
  </si>
  <si>
    <t>Gasolina Motor (sin mezcla bioetanol)</t>
  </si>
  <si>
    <t>Bioetanol Anhidro</t>
  </si>
  <si>
    <t>Gas Natural Mezcla Sebastopol</t>
  </si>
  <si>
    <t>Gas Natural Mezcla Usme</t>
  </si>
  <si>
    <t>Gas Natural Mezcla Mariquita</t>
  </si>
  <si>
    <t>Combustibles_Solidos</t>
  </si>
  <si>
    <t>Residuos para coprocesamiento</t>
  </si>
  <si>
    <t>Extintores CO2</t>
  </si>
  <si>
    <t>Extintores R-123 / HCFC-123</t>
  </si>
  <si>
    <t xml:space="preserve">Viajes aereos </t>
  </si>
  <si>
    <t>Uso de fertilizantes</t>
  </si>
  <si>
    <r>
      <t>kgCO</t>
    </r>
    <r>
      <rPr>
        <vertAlign val="subscript"/>
        <sz val="11"/>
        <color theme="0"/>
        <rFont val="Calibri"/>
        <family val="2"/>
        <scheme val="minor"/>
      </rPr>
      <t>2</t>
    </r>
    <r>
      <rPr>
        <sz val="11"/>
        <color theme="0"/>
        <rFont val="Calibri"/>
        <family val="2"/>
        <scheme val="minor"/>
      </rPr>
      <t xml:space="preserve"> e/cabeza</t>
    </r>
  </si>
  <si>
    <r>
      <t>kgCO</t>
    </r>
    <r>
      <rPr>
        <vertAlign val="subscript"/>
        <sz val="11"/>
        <color theme="0"/>
        <rFont val="Calibri"/>
        <family val="2"/>
        <scheme val="minor"/>
      </rPr>
      <t>2</t>
    </r>
    <r>
      <rPr>
        <sz val="11"/>
        <color theme="0"/>
        <rFont val="Calibri"/>
        <family val="2"/>
        <scheme val="minor"/>
      </rPr>
      <t xml:space="preserve"> e/kg</t>
    </r>
  </si>
  <si>
    <r>
      <t>CH</t>
    </r>
    <r>
      <rPr>
        <vertAlign val="subscript"/>
        <sz val="11"/>
        <color theme="0"/>
        <rFont val="Calibri"/>
        <family val="2"/>
        <scheme val="minor"/>
      </rPr>
      <t>4</t>
    </r>
  </si>
  <si>
    <r>
      <t>CO</t>
    </r>
    <r>
      <rPr>
        <vertAlign val="subscript"/>
        <sz val="11"/>
        <color theme="0"/>
        <rFont val="Calibri"/>
        <family val="2"/>
        <scheme val="minor"/>
      </rPr>
      <t>2</t>
    </r>
    <r>
      <rPr>
        <sz val="11"/>
        <color theme="0"/>
        <rFont val="Calibri"/>
        <family val="2"/>
        <scheme val="minor"/>
      </rPr>
      <t xml:space="preserve"> e (21)</t>
    </r>
  </si>
  <si>
    <r>
      <t>FACTOR  DE EMISIÓN CH</t>
    </r>
    <r>
      <rPr>
        <vertAlign val="subscript"/>
        <sz val="11"/>
        <color theme="0"/>
        <rFont val="Calibri"/>
        <family val="2"/>
        <scheme val="minor"/>
      </rPr>
      <t>4</t>
    </r>
  </si>
  <si>
    <r>
      <t>FACTOR EMISIÓN CO</t>
    </r>
    <r>
      <rPr>
        <vertAlign val="subscript"/>
        <sz val="11"/>
        <color theme="0"/>
        <rFont val="Calibri"/>
        <family val="2"/>
        <scheme val="minor"/>
      </rPr>
      <t>2</t>
    </r>
    <r>
      <rPr>
        <sz val="11"/>
        <color theme="0"/>
        <rFont val="Calibri"/>
        <family val="2"/>
        <scheme val="minor"/>
      </rPr>
      <t xml:space="preserve"> e</t>
    </r>
  </si>
  <si>
    <t xml:space="preserve">Manejo de residuos agropecuarios </t>
  </si>
  <si>
    <t>Cálculos realizados por Propilco</t>
  </si>
  <si>
    <t>Calculado a partir de la composición porcentual con los valores del AR5 - IPCC. R134A=4%; R125=44%; R143A=52%</t>
  </si>
  <si>
    <t>Calculado a partir de la composición porcentual con los valores del AR5 - IPCC. R134A=52%; R125=25%; R32=23%. Datos de porcentajes obtenidos de: IPCC    http://www.ipcc.ch/ipccreports/tar/wg3/index.php?idp=144</t>
  </si>
  <si>
    <t>Calculado a partir de la composición porcentual con los valores del AR5 - IPCC. R125=50%; R32=50%. Datos de porcentajes obtenidos de: IPCC    http://www.ipcc.ch/ipccreports/tar/wg3/index.php?idp=144</t>
  </si>
  <si>
    <t>Calculado a partir de la composición porcentual con los valores del AR5 - IPCC. R125=65,1%; R134A=31,5%; R600A=3,4%. Datos de porcentajes obtenidos de: http://www.gas-servei.com/images/Ficha-tecnica-R422D--I29-.pdf</t>
  </si>
  <si>
    <t>Cálculos realizados por Promigas</t>
  </si>
  <si>
    <t>Con el apoyo de:</t>
  </si>
  <si>
    <r>
      <t>CO</t>
    </r>
    <r>
      <rPr>
        <vertAlign val="subscript"/>
        <sz val="11"/>
        <color theme="0"/>
        <rFont val="Calibri"/>
        <family val="2"/>
        <scheme val="minor"/>
      </rPr>
      <t>2</t>
    </r>
    <r>
      <rPr>
        <sz val="11"/>
        <color theme="0"/>
        <rFont val="Calibri"/>
        <family val="2"/>
        <scheme val="minor"/>
      </rPr>
      <t xml:space="preserve"> e (25)</t>
    </r>
  </si>
  <si>
    <r>
      <t>Factor de Emisión N</t>
    </r>
    <r>
      <rPr>
        <vertAlign val="subscript"/>
        <sz val="11"/>
        <color theme="0"/>
        <rFont val="Calibri"/>
        <family val="2"/>
        <scheme val="minor"/>
      </rPr>
      <t>2</t>
    </r>
    <r>
      <rPr>
        <sz val="11"/>
        <color theme="0"/>
        <rFont val="Calibri"/>
        <family val="2"/>
        <scheme val="minor"/>
      </rPr>
      <t>O</t>
    </r>
  </si>
  <si>
    <r>
      <t>Emisiones de N</t>
    </r>
    <r>
      <rPr>
        <vertAlign val="subscript"/>
        <sz val="11"/>
        <color theme="0"/>
        <rFont val="Calibri"/>
        <family val="2"/>
        <scheme val="minor"/>
      </rPr>
      <t>2</t>
    </r>
    <r>
      <rPr>
        <sz val="11"/>
        <color theme="0"/>
        <rFont val="Calibri"/>
        <family val="2"/>
        <scheme val="minor"/>
      </rPr>
      <t>O</t>
    </r>
  </si>
  <si>
    <r>
      <t>FACTRO DE EMISION CO</t>
    </r>
    <r>
      <rPr>
        <vertAlign val="subscript"/>
        <sz val="11"/>
        <color theme="0"/>
        <rFont val="Calibri"/>
        <family val="2"/>
        <scheme val="minor"/>
      </rPr>
      <t>2</t>
    </r>
    <r>
      <rPr>
        <sz val="11"/>
        <color theme="0"/>
        <rFont val="Calibri"/>
        <family val="2"/>
        <scheme val="minor"/>
      </rPr>
      <t xml:space="preserve"> e TOTAL</t>
    </r>
  </si>
  <si>
    <r>
      <t>kgCO</t>
    </r>
    <r>
      <rPr>
        <vertAlign val="subscript"/>
        <sz val="11"/>
        <color theme="0"/>
        <rFont val="Calibri"/>
        <family val="2"/>
        <scheme val="minor"/>
      </rPr>
      <t>2</t>
    </r>
    <r>
      <rPr>
        <sz val="11"/>
        <color theme="0"/>
        <rFont val="Calibri"/>
        <family val="2"/>
        <scheme val="minor"/>
      </rPr>
      <t xml:space="preserve"> e/Cabeza</t>
    </r>
  </si>
  <si>
    <r>
      <t>kgCO</t>
    </r>
    <r>
      <rPr>
        <vertAlign val="subscript"/>
        <sz val="11"/>
        <color theme="0"/>
        <rFont val="Calibri"/>
        <family val="2"/>
        <scheme val="minor"/>
      </rPr>
      <t>2</t>
    </r>
    <r>
      <rPr>
        <sz val="11"/>
        <color theme="0"/>
        <rFont val="Calibri"/>
        <family val="2"/>
        <scheme val="minor"/>
      </rPr>
      <t xml:space="preserve"> e/Ave</t>
    </r>
  </si>
  <si>
    <t>CREDITOS</t>
  </si>
  <si>
    <t>MECANISMO PARA LA MITIGACION VOLUNTARIA DE GASES EFECTO INVERNADERO (GEI) EN COLOMBIA - MVC COLOMBIA - Con el apoyo de BID y GEF</t>
  </si>
  <si>
    <r>
      <t xml:space="preserve">Coordinación General de MVC COLOMBIA: </t>
    </r>
    <r>
      <rPr>
        <sz val="12"/>
        <color indexed="9"/>
        <rFont val="Calibri"/>
        <family val="2"/>
      </rPr>
      <t>Fundación Natura</t>
    </r>
  </si>
  <si>
    <r>
      <t xml:space="preserve">Componente 3 de MVC COLOMBIA: </t>
    </r>
    <r>
      <rPr>
        <sz val="12"/>
        <color indexed="9"/>
        <rFont val="Calibri"/>
        <family val="2"/>
      </rPr>
      <t>Programa Nacional de Actividades Corporativas e Institucionales de Mitigación y Compensación Voluntarias</t>
    </r>
  </si>
  <si>
    <r>
      <t xml:space="preserve">Coordinación y operación del Componente 3: </t>
    </r>
    <r>
      <rPr>
        <sz val="12"/>
        <color indexed="9"/>
        <rFont val="Calibri"/>
        <family val="2"/>
      </rPr>
      <t>Corporación Ambiental Empresarial CAEM, filial de la Cámara de Comercio de Bogotá</t>
    </r>
  </si>
  <si>
    <t>Bogotá Colombia 2016</t>
  </si>
  <si>
    <r>
      <rPr>
        <b/>
        <sz val="12"/>
        <color indexed="9"/>
        <rFont val="Calibri"/>
        <family val="2"/>
      </rPr>
      <t>Coordinador General:</t>
    </r>
    <r>
      <rPr>
        <sz val="12"/>
        <color indexed="9"/>
        <rFont val="Calibri"/>
        <family val="2"/>
      </rPr>
      <t xml:space="preserve"> Roberto León Gómez</t>
    </r>
  </si>
  <si>
    <r>
      <rPr>
        <b/>
        <sz val="12"/>
        <color indexed="9"/>
        <rFont val="Calibri"/>
        <family val="2"/>
      </rPr>
      <t>Desarrollo de herramienta de gestión de la información y de emisiones por combustión de biomasa:</t>
    </r>
    <r>
      <rPr>
        <sz val="12"/>
        <color indexed="9"/>
        <rFont val="Calibri"/>
        <family val="2"/>
      </rPr>
      <t xml:space="preserve"> Daniela Villalba</t>
    </r>
  </si>
  <si>
    <r>
      <rPr>
        <b/>
        <sz val="12"/>
        <color indexed="9"/>
        <rFont val="Calibri"/>
        <family val="2"/>
      </rPr>
      <t xml:space="preserve">Desarrollo de herramienta de calculo de emisiones: </t>
    </r>
    <r>
      <rPr>
        <sz val="12"/>
        <color indexed="9"/>
        <rFont val="Calibri"/>
        <family val="2"/>
      </rPr>
      <t>William E. Rodríguez Delgado</t>
    </r>
  </si>
  <si>
    <r>
      <rPr>
        <b/>
        <sz val="12"/>
        <color indexed="9"/>
        <rFont val="Calibri"/>
        <family val="2"/>
      </rPr>
      <t>Desarrollo de herramienta de calculo de incertidumbre:</t>
    </r>
    <r>
      <rPr>
        <sz val="12"/>
        <color indexed="9"/>
        <rFont val="Calibri"/>
        <family val="2"/>
      </rPr>
      <t xml:space="preserve"> William E. Rodríguez Delgado</t>
    </r>
  </si>
  <si>
    <r>
      <rPr>
        <b/>
        <sz val="12"/>
        <color indexed="9"/>
        <rFont val="Calibri"/>
        <family val="2"/>
      </rPr>
      <t>Coordinador Componente 3:</t>
    </r>
    <r>
      <rPr>
        <sz val="12"/>
        <color indexed="9"/>
        <rFont val="Calibri"/>
        <family val="2"/>
      </rPr>
      <t xml:space="preserve"> Margarita Pava Medina</t>
    </r>
  </si>
  <si>
    <r>
      <rPr>
        <b/>
        <sz val="12"/>
        <color indexed="9"/>
        <rFont val="Calibri"/>
        <family val="2"/>
      </rPr>
      <t xml:space="preserve">Apoyo técnico, revisión y actualización de la herramienta en general: </t>
    </r>
    <r>
      <rPr>
        <sz val="12"/>
        <color indexed="9"/>
        <rFont val="Calibri"/>
        <family val="2"/>
      </rPr>
      <t>Margarita Pava Medina, Daniela Villalba, Felipe Saavedra y William E. Rodríguez Delgado</t>
    </r>
  </si>
  <si>
    <t>FE-36 / 1,1,1,3,3,3 - Hexafluoropropano</t>
  </si>
  <si>
    <t>HFC-227ea / FM-200</t>
  </si>
  <si>
    <t xml:space="preserve"> (Fuentes Fijas)</t>
  </si>
  <si>
    <t>Consumo de combustibles sólidos</t>
  </si>
  <si>
    <t>Consumo de combustibles gaseosos</t>
  </si>
  <si>
    <t xml:space="preserve">Consumo de refrigerantes </t>
  </si>
  <si>
    <t>(Fuentes Fijas)</t>
  </si>
  <si>
    <t>(Fuentes Móviles)</t>
  </si>
  <si>
    <t>Consumo de combustibles líquidos</t>
  </si>
  <si>
    <t>1965,839 </t>
  </si>
  <si>
    <r>
      <t>kg CO</t>
    </r>
    <r>
      <rPr>
        <vertAlign val="subscript"/>
        <sz val="10"/>
        <rFont val="Arial Narrow"/>
        <family val="2"/>
      </rPr>
      <t>2</t>
    </r>
    <r>
      <rPr>
        <sz val="10"/>
        <rFont val="Arial Narrow"/>
        <family val="2"/>
      </rPr>
      <t>/kg</t>
    </r>
  </si>
  <si>
    <r>
      <t>kg CO</t>
    </r>
    <r>
      <rPr>
        <vertAlign val="subscript"/>
        <sz val="10"/>
        <rFont val="Arial Narrow"/>
        <family val="2"/>
      </rPr>
      <t>2</t>
    </r>
    <r>
      <rPr>
        <sz val="10"/>
        <rFont val="Arial Narrow"/>
        <family val="2"/>
      </rPr>
      <t>/gal</t>
    </r>
  </si>
  <si>
    <r>
      <t>kg CH</t>
    </r>
    <r>
      <rPr>
        <vertAlign val="subscript"/>
        <sz val="10"/>
        <rFont val="Arial Narrow"/>
        <family val="2"/>
      </rPr>
      <t>4</t>
    </r>
    <r>
      <rPr>
        <sz val="10"/>
        <rFont val="Arial Narrow"/>
        <family val="2"/>
      </rPr>
      <t>/gal</t>
    </r>
  </si>
  <si>
    <r>
      <t>kg N</t>
    </r>
    <r>
      <rPr>
        <vertAlign val="subscript"/>
        <sz val="10"/>
        <rFont val="Arial Narrow"/>
        <family val="2"/>
      </rPr>
      <t>2</t>
    </r>
    <r>
      <rPr>
        <sz val="10"/>
        <rFont val="Arial Narrow"/>
        <family val="2"/>
      </rPr>
      <t>O/gal</t>
    </r>
  </si>
  <si>
    <r>
      <t>m</t>
    </r>
    <r>
      <rPr>
        <vertAlign val="superscript"/>
        <sz val="10"/>
        <rFont val="Arial Narrow"/>
        <family val="2"/>
      </rPr>
      <t>3</t>
    </r>
  </si>
  <si>
    <r>
      <t>kg CO</t>
    </r>
    <r>
      <rPr>
        <vertAlign val="subscript"/>
        <sz val="10"/>
        <rFont val="Arial Narrow"/>
        <family val="2"/>
      </rPr>
      <t>2</t>
    </r>
    <r>
      <rPr>
        <sz val="10"/>
        <rFont val="Arial Narrow"/>
        <family val="2"/>
      </rPr>
      <t>/m</t>
    </r>
    <r>
      <rPr>
        <vertAlign val="superscript"/>
        <sz val="10"/>
        <rFont val="Arial Narrow"/>
        <family val="2"/>
      </rPr>
      <t>3</t>
    </r>
  </si>
  <si>
    <r>
      <t>kg CH</t>
    </r>
    <r>
      <rPr>
        <vertAlign val="subscript"/>
        <sz val="10"/>
        <rFont val="Arial Narrow"/>
        <family val="2"/>
      </rPr>
      <t>4</t>
    </r>
    <r>
      <rPr>
        <sz val="10"/>
        <rFont val="Arial Narrow"/>
        <family val="2"/>
      </rPr>
      <t>/m</t>
    </r>
    <r>
      <rPr>
        <vertAlign val="superscript"/>
        <sz val="10"/>
        <rFont val="Arial Narrow"/>
        <family val="2"/>
      </rPr>
      <t>3</t>
    </r>
  </si>
  <si>
    <r>
      <t>kgCO</t>
    </r>
    <r>
      <rPr>
        <vertAlign val="subscript"/>
        <sz val="11"/>
        <rFont val="Calibri"/>
        <family val="2"/>
        <scheme val="minor"/>
      </rPr>
      <t>2</t>
    </r>
    <r>
      <rPr>
        <sz val="11"/>
        <rFont val="Calibri"/>
        <family val="2"/>
        <scheme val="minor"/>
      </rPr>
      <t>e/kg</t>
    </r>
  </si>
  <si>
    <r>
      <t>kgCH</t>
    </r>
    <r>
      <rPr>
        <vertAlign val="subscript"/>
        <sz val="10"/>
        <rFont val="Arial Narrow"/>
        <family val="2"/>
      </rPr>
      <t>4</t>
    </r>
    <r>
      <rPr>
        <sz val="10"/>
        <rFont val="Arial Narrow"/>
        <family val="2"/>
      </rPr>
      <t>/kg DQO</t>
    </r>
  </si>
  <si>
    <r>
      <t>kgCH</t>
    </r>
    <r>
      <rPr>
        <vertAlign val="subscript"/>
        <sz val="11"/>
        <rFont val="Calibri"/>
        <family val="2"/>
        <scheme val="minor"/>
      </rPr>
      <t>4</t>
    </r>
    <r>
      <rPr>
        <sz val="11"/>
        <rFont val="Calibri"/>
        <family val="2"/>
        <scheme val="minor"/>
      </rPr>
      <t>/cabeza</t>
    </r>
  </si>
  <si>
    <r>
      <t>kgCO</t>
    </r>
    <r>
      <rPr>
        <vertAlign val="subscript"/>
        <sz val="11"/>
        <rFont val="Calibri"/>
        <family val="2"/>
        <scheme val="minor"/>
      </rPr>
      <t>2</t>
    </r>
    <r>
      <rPr>
        <sz val="11"/>
        <rFont val="Calibri"/>
        <family val="2"/>
        <scheme val="minor"/>
      </rPr>
      <t xml:space="preserve"> e/cabeza</t>
    </r>
  </si>
  <si>
    <r>
      <t>kgN</t>
    </r>
    <r>
      <rPr>
        <vertAlign val="subscript"/>
        <sz val="11"/>
        <rFont val="Calibri"/>
        <family val="2"/>
        <scheme val="minor"/>
      </rPr>
      <t>2</t>
    </r>
    <r>
      <rPr>
        <sz val="11"/>
        <rFont val="Calibri"/>
        <family val="2"/>
        <scheme val="minor"/>
      </rPr>
      <t>O/cabeza</t>
    </r>
  </si>
  <si>
    <r>
      <t>kgCH</t>
    </r>
    <r>
      <rPr>
        <vertAlign val="subscript"/>
        <sz val="11"/>
        <rFont val="Calibri"/>
        <family val="2"/>
        <scheme val="minor"/>
      </rPr>
      <t>4</t>
    </r>
    <r>
      <rPr>
        <sz val="11"/>
        <rFont val="Calibri"/>
        <family val="2"/>
        <scheme val="minor"/>
      </rPr>
      <t>/kg</t>
    </r>
  </si>
  <si>
    <r>
      <t>kgN</t>
    </r>
    <r>
      <rPr>
        <vertAlign val="subscript"/>
        <sz val="11"/>
        <rFont val="Calibri"/>
        <family val="2"/>
        <scheme val="minor"/>
      </rPr>
      <t>2</t>
    </r>
    <r>
      <rPr>
        <sz val="11"/>
        <rFont val="Calibri"/>
        <family val="2"/>
        <scheme val="minor"/>
      </rPr>
      <t>O/kg</t>
    </r>
  </si>
  <si>
    <r>
      <t>kgCO</t>
    </r>
    <r>
      <rPr>
        <vertAlign val="subscript"/>
        <sz val="11"/>
        <rFont val="Calibri"/>
        <family val="2"/>
        <scheme val="minor"/>
      </rPr>
      <t>2</t>
    </r>
    <r>
      <rPr>
        <sz val="11"/>
        <rFont val="Calibri"/>
        <family val="2"/>
        <scheme val="minor"/>
      </rPr>
      <t xml:space="preserve"> e/kg</t>
    </r>
  </si>
  <si>
    <r>
      <t>kg N</t>
    </r>
    <r>
      <rPr>
        <vertAlign val="subscript"/>
        <sz val="10"/>
        <rFont val="Arial Narrow"/>
        <family val="2"/>
      </rPr>
      <t>2</t>
    </r>
  </si>
  <si>
    <r>
      <t>kgCO</t>
    </r>
    <r>
      <rPr>
        <vertAlign val="subscript"/>
        <sz val="11"/>
        <rFont val="Calibri"/>
        <family val="2"/>
        <scheme val="minor"/>
      </rPr>
      <t>2</t>
    </r>
    <r>
      <rPr>
        <sz val="11"/>
        <rFont val="Calibri"/>
        <family val="2"/>
        <scheme val="minor"/>
      </rPr>
      <t xml:space="preserve"> e/kgN2</t>
    </r>
  </si>
  <si>
    <r>
      <t>kgCO</t>
    </r>
    <r>
      <rPr>
        <vertAlign val="subscript"/>
        <sz val="11"/>
        <rFont val="Calibri"/>
        <family val="2"/>
        <scheme val="minor"/>
      </rPr>
      <t>2</t>
    </r>
    <r>
      <rPr>
        <sz val="11"/>
        <rFont val="Calibri"/>
        <family val="2"/>
        <scheme val="minor"/>
      </rPr>
      <t xml:space="preserve"> e/KWh</t>
    </r>
  </si>
  <si>
    <r>
      <t>kgCO</t>
    </r>
    <r>
      <rPr>
        <vertAlign val="subscript"/>
        <sz val="11"/>
        <rFont val="Calibri"/>
        <family val="2"/>
        <scheme val="minor"/>
      </rPr>
      <t>2</t>
    </r>
    <r>
      <rPr>
        <sz val="11"/>
        <rFont val="Calibri"/>
        <family val="2"/>
        <scheme val="minor"/>
      </rPr>
      <t xml:space="preserve"> e/Viaje</t>
    </r>
  </si>
  <si>
    <r>
      <t>kgCO</t>
    </r>
    <r>
      <rPr>
        <vertAlign val="subscript"/>
        <sz val="10"/>
        <rFont val="Arial Narrow"/>
        <family val="2"/>
      </rPr>
      <t>2</t>
    </r>
    <r>
      <rPr>
        <sz val="10"/>
        <rFont val="Arial Narrow"/>
        <family val="2"/>
      </rPr>
      <t>/kg</t>
    </r>
  </si>
  <si>
    <r>
      <t>kgCH</t>
    </r>
    <r>
      <rPr>
        <vertAlign val="subscript"/>
        <sz val="11"/>
        <rFont val="Calibri"/>
        <family val="2"/>
        <scheme val="minor"/>
      </rPr>
      <t>4</t>
    </r>
    <r>
      <rPr>
        <sz val="11"/>
        <rFont val="Calibri"/>
        <family val="2"/>
        <scheme val="minor"/>
      </rPr>
      <t>/Ha</t>
    </r>
  </si>
  <si>
    <r>
      <t>kgCH</t>
    </r>
    <r>
      <rPr>
        <vertAlign val="subscript"/>
        <sz val="10"/>
        <rFont val="Arial Narrow"/>
        <family val="2"/>
      </rPr>
      <t>4</t>
    </r>
    <r>
      <rPr>
        <sz val="10"/>
        <rFont val="Arial Narrow"/>
        <family val="2"/>
      </rPr>
      <t>/kg húmedo</t>
    </r>
  </si>
  <si>
    <r>
      <t>kgN</t>
    </r>
    <r>
      <rPr>
        <vertAlign val="subscript"/>
        <sz val="10"/>
        <rFont val="Arial Narrow"/>
        <family val="2"/>
      </rPr>
      <t>2</t>
    </r>
    <r>
      <rPr>
        <sz val="10"/>
        <rFont val="Arial Narrow"/>
        <family val="2"/>
      </rPr>
      <t>O/kg húmedo</t>
    </r>
  </si>
  <si>
    <t>Gas Natural Genérico</t>
  </si>
  <si>
    <t>Manejo Residuos Organizacionales</t>
  </si>
  <si>
    <t>kg DQO</t>
  </si>
  <si>
    <t xml:space="preserve">IPCC 2006. Corresponde a la sumatoria de las emisiones de minería y postextracción. Paginas 4.11 y 4.12; Se toma el valor mayor para ser conservador. </t>
  </si>
  <si>
    <t xml:space="preserve">IPCC 2006. Corresponde a la sumatoria de las emisiones de minería y postextracción. Paginas 4.18 y 4.19; Se toma el valor mayor para ser conservador. </t>
  </si>
  <si>
    <t>Calcinación de Calcita (CaCO3)</t>
  </si>
  <si>
    <t>Calcinación de Magnesita (MgCO3)</t>
  </si>
  <si>
    <t>Calcinación de Dolomita (CaMg(CO3)2)</t>
  </si>
  <si>
    <t>Calcinación de Siderita (FeCO3)</t>
  </si>
  <si>
    <t>Calcinación de Ankerita (Ca(Fe,Mg,Mn)(CO3)2)</t>
  </si>
  <si>
    <t>Calcinación de Rhodochrosita (MnCO3)</t>
  </si>
  <si>
    <t>Calcinación de Carbonato de sodio (Na2CO3)</t>
  </si>
  <si>
    <t>Producción de cemento (Clinker)</t>
  </si>
  <si>
    <t>Producción de vidrio plano y recipientes</t>
  </si>
  <si>
    <t>Producción de vidrio especial (laboratorio y/o farmacia)</t>
  </si>
  <si>
    <t>Producción de vidrio especial (vajillas)</t>
  </si>
  <si>
    <t>Producción de vidrio especial (iluminación)</t>
  </si>
  <si>
    <t>Energía eléctrica adquirida (Factor emisión UPME-FECOC 2015)</t>
  </si>
  <si>
    <t>Energía eléctrica adquirida (Factor emisión UPME-FECOC 2013)</t>
  </si>
  <si>
    <t>Energía eléctrica adquirida (Factor emisión UPME-FECOC 2012)</t>
  </si>
  <si>
    <t>Energía eléctrica adquirida (Factor emisión UPME-FECOC 2011)</t>
  </si>
  <si>
    <t>Energía eléctrica adquirida (Factor emisión UPME-FECOC 2009)</t>
  </si>
  <si>
    <t>Uso de fertilizantes aplicados en arrozales inundados</t>
  </si>
  <si>
    <t xml:space="preserve">Uso de fertilizantes minerales, abonos orgánicos y residuos agrícolas </t>
  </si>
  <si>
    <t>Fertilización directa de vacunos, aves de corral y porcinos</t>
  </si>
  <si>
    <t>Fertilización directa de ovinos y otros animales</t>
  </si>
  <si>
    <r>
      <t>kgN</t>
    </r>
    <r>
      <rPr>
        <vertAlign val="subscript"/>
        <sz val="11"/>
        <rFont val="Calibri"/>
        <family val="2"/>
        <scheme val="minor"/>
      </rPr>
      <t>2</t>
    </r>
    <r>
      <rPr>
        <sz val="11"/>
        <rFont val="Calibri"/>
        <family val="2"/>
        <scheme val="minor"/>
      </rPr>
      <t>O/kgN</t>
    </r>
    <r>
      <rPr>
        <vertAlign val="subscript"/>
        <sz val="11"/>
        <rFont val="Calibri"/>
        <family val="2"/>
        <scheme val="minor"/>
      </rPr>
      <t>2</t>
    </r>
  </si>
  <si>
    <r>
      <t>kgCO</t>
    </r>
    <r>
      <rPr>
        <vertAlign val="subscript"/>
        <sz val="11"/>
        <rFont val="Calibri"/>
        <family val="2"/>
        <scheme val="minor"/>
      </rPr>
      <t>2</t>
    </r>
    <r>
      <rPr>
        <sz val="11"/>
        <rFont val="Calibri"/>
        <family val="2"/>
        <scheme val="minor"/>
      </rPr>
      <t>/kg cal</t>
    </r>
  </si>
  <si>
    <t>kg Cal</t>
  </si>
  <si>
    <t>Caliza cálcica aplicada (CaCO3)</t>
  </si>
  <si>
    <t>Cal Dolomita Aplicada (CaMg(CO3)2)</t>
  </si>
  <si>
    <t xml:space="preserve">Cal aplicada </t>
  </si>
  <si>
    <t>kg urea</t>
  </si>
  <si>
    <r>
      <t>kgCO</t>
    </r>
    <r>
      <rPr>
        <vertAlign val="subscript"/>
        <sz val="11"/>
        <rFont val="Calibri"/>
        <family val="2"/>
        <scheme val="minor"/>
      </rPr>
      <t>2</t>
    </r>
    <r>
      <rPr>
        <sz val="11"/>
        <rFont val="Calibri"/>
        <family val="2"/>
        <scheme val="minor"/>
      </rPr>
      <t>/kg urea</t>
    </r>
  </si>
  <si>
    <t>Quema de Residuos Pastizales</t>
  </si>
  <si>
    <r>
      <t>kgCO</t>
    </r>
    <r>
      <rPr>
        <vertAlign val="subscript"/>
        <sz val="11"/>
        <rFont val="Calibri"/>
        <family val="2"/>
        <scheme val="minor"/>
      </rPr>
      <t>2</t>
    </r>
    <r>
      <rPr>
        <sz val="11"/>
        <rFont val="Calibri"/>
        <family val="2"/>
        <scheme val="minor"/>
      </rPr>
      <t>/kg</t>
    </r>
  </si>
  <si>
    <t>BUR Colombia 2015</t>
  </si>
  <si>
    <t>Toros reproductores (tipo Cebuino) - Peso Promedio 530 kg</t>
  </si>
  <si>
    <t>Terneros pre-destetos</t>
  </si>
  <si>
    <t>Terneras de reemplazo</t>
  </si>
  <si>
    <t xml:space="preserve">Ganado de engorde </t>
  </si>
  <si>
    <t>Conejos</t>
  </si>
  <si>
    <t>Pollos de engorde</t>
  </si>
  <si>
    <t>Wang SY; Huang DJ</t>
  </si>
  <si>
    <t>Compostaje de materia orgánica (base seca)</t>
  </si>
  <si>
    <t xml:space="preserve">kg residuo seco </t>
  </si>
  <si>
    <t>Compostaje de materia orgánica (base húmeda)</t>
  </si>
  <si>
    <t>Digestión anaeróbica en instalaciones de biogás (base seca)</t>
  </si>
  <si>
    <t>Digestión anaeróbica en instalaciones de biogás  (base húmeda)</t>
  </si>
  <si>
    <t>kg residuo humedo</t>
  </si>
  <si>
    <t>kg res. húmedo</t>
  </si>
  <si>
    <t xml:space="preserve">Domiciliarios - Rellenos sanitario semi-aerobico </t>
  </si>
  <si>
    <t>Domiciliarios - No clasificado</t>
  </si>
  <si>
    <t>Relleno Sanitario Semi-aerobico</t>
  </si>
  <si>
    <t>Botadero &gt;5mts profundidad</t>
  </si>
  <si>
    <t>Domiciliarios - Botadero &lt; 5mts prof.</t>
  </si>
  <si>
    <t>Domiciliarios - Botadero &gt; 5mts prof.</t>
  </si>
  <si>
    <t>No clasificado</t>
  </si>
  <si>
    <t>COD</t>
  </si>
  <si>
    <t>Hospitalarios</t>
  </si>
  <si>
    <t>Domiciliarios</t>
  </si>
  <si>
    <t>Industrias textiles</t>
  </si>
  <si>
    <t>Industrias alimentos, bebidas y tabaco</t>
  </si>
  <si>
    <t>Industrias de la Madera y Productos de Madera</t>
  </si>
  <si>
    <t xml:space="preserve">Industrias de Pulpa y Papel (o relacionadas) </t>
  </si>
  <si>
    <t xml:space="preserve">Industrias del caucho (o relacionadas) </t>
  </si>
  <si>
    <t>Otras industrias (incluye manufactureras)</t>
  </si>
  <si>
    <t>Fertilización con Urea (CO(NH2)2)</t>
  </si>
  <si>
    <t xml:space="preserve">Calculo estequiométrico </t>
  </si>
  <si>
    <t>Producción de Acido Nítrico</t>
  </si>
  <si>
    <t>Relleno Sanitario Anaeróbico</t>
  </si>
  <si>
    <t xml:space="preserve">Domiciliarios - Rellenos sanitario anaeróbico </t>
  </si>
  <si>
    <t xml:space="preserve">Calculado con las fracciones para Latinoamérica </t>
  </si>
  <si>
    <t xml:space="preserve">Industrias de construcción y demolición </t>
  </si>
  <si>
    <t>Vacas de alta producción lechera (Holstein, Jersey, Ayrshire) - Peso Promedio 520kg - Producción Promedio 11,7 kg leche/día</t>
  </si>
  <si>
    <t>Vacas de baja producción lechera (Doble Propósito) - Peso Promedio 395 kg - Producción Promedio 3,5 kg leche/día</t>
  </si>
  <si>
    <t>Vacas de baja producción lechera (Doble Propósito con corte Cebuino) - Peso Promedio 380 kg - Producción Promedio 1,9 kg leche/día</t>
  </si>
  <si>
    <t>Desviacion estandar</t>
  </si>
  <si>
    <t>Emisiones CH4 (kgCH4/kg res. húmedo)</t>
  </si>
  <si>
    <r>
      <t>m</t>
    </r>
    <r>
      <rPr>
        <vertAlign val="superscript"/>
        <sz val="10"/>
        <rFont val="Arial Narrow"/>
        <family val="2"/>
      </rPr>
      <t>3</t>
    </r>
    <r>
      <rPr>
        <sz val="10"/>
        <rFont val="Arial Narrow"/>
        <family val="2"/>
      </rPr>
      <t xml:space="preserve"> Biogas</t>
    </r>
  </si>
  <si>
    <r>
      <t>kgCH</t>
    </r>
    <r>
      <rPr>
        <vertAlign val="subscript"/>
        <sz val="10"/>
        <rFont val="Arial Narrow"/>
        <family val="2"/>
      </rPr>
      <t>4</t>
    </r>
    <r>
      <rPr>
        <sz val="10"/>
        <rFont val="Arial Narrow"/>
        <family val="2"/>
      </rPr>
      <t>/m</t>
    </r>
    <r>
      <rPr>
        <vertAlign val="superscript"/>
        <sz val="10"/>
        <rFont val="Arial Narrow"/>
        <family val="2"/>
      </rPr>
      <t>3</t>
    </r>
    <r>
      <rPr>
        <sz val="10"/>
        <rFont val="Arial Narrow"/>
        <family val="2"/>
      </rPr>
      <t xml:space="preserve"> Biogas</t>
    </r>
  </si>
  <si>
    <t>Fugas de metano en proceso de captura (solamente cuando hay captura de biogas)</t>
  </si>
  <si>
    <r>
      <t>kgN</t>
    </r>
    <r>
      <rPr>
        <vertAlign val="subscript"/>
        <sz val="10"/>
        <rFont val="Arial Narrow"/>
        <family val="2"/>
      </rPr>
      <t>2</t>
    </r>
    <r>
      <rPr>
        <sz val="10"/>
        <rFont val="Arial Narrow"/>
        <family val="2"/>
      </rPr>
      <t>O/m</t>
    </r>
    <r>
      <rPr>
        <vertAlign val="superscript"/>
        <sz val="10"/>
        <rFont val="Arial Narrow"/>
        <family val="2"/>
      </rPr>
      <t>3</t>
    </r>
    <r>
      <rPr>
        <sz val="10"/>
        <rFont val="Arial Narrow"/>
        <family val="2"/>
      </rPr>
      <t xml:space="preserve"> Biogas</t>
    </r>
  </si>
  <si>
    <t>Poder calorifico biogas (TJ/Gg) IPCC 2006</t>
  </si>
  <si>
    <t>Poder calorifico biogas (MJ/m3) FECOC 2016</t>
  </si>
  <si>
    <t>Fraccion contenido CH4 en biogas  (m3 CH4/m3 biogas - Fuente: medicion contenido CH4 en Aliar)</t>
  </si>
  <si>
    <t>Densidad Calculada del Biogas (kg CH4/m3 CH4)</t>
  </si>
  <si>
    <t>Disposicion como solido en pasturas o prados</t>
  </si>
  <si>
    <t>Disposicion en sistemas liquido/fango</t>
  </si>
  <si>
    <r>
      <t>kg N</t>
    </r>
    <r>
      <rPr>
        <vertAlign val="subscript"/>
        <sz val="10"/>
        <rFont val="Arial Narrow"/>
        <family val="2"/>
      </rPr>
      <t>2</t>
    </r>
    <r>
      <rPr>
        <sz val="10"/>
        <rFont val="Arial Narrow"/>
        <family val="2"/>
      </rPr>
      <t>O/m</t>
    </r>
    <r>
      <rPr>
        <vertAlign val="superscript"/>
        <sz val="10"/>
        <rFont val="Arial Narrow"/>
        <family val="2"/>
      </rPr>
      <t>3</t>
    </r>
  </si>
  <si>
    <t xml:space="preserve">Vertimientos industriales tratados (PTAR aeróbica) </t>
  </si>
  <si>
    <t>Vertimientos industriales no tratados (solo para alcance 3)</t>
  </si>
  <si>
    <t xml:space="preserve">Vertimientos industriales tratados (PTAR aeróbica sobrecargada) </t>
  </si>
  <si>
    <t xml:space="preserve">Vertimientos industriales tratados (Digestor anaeróbico) </t>
  </si>
  <si>
    <t xml:space="preserve">Vertimientos industriales tratados (Reactor anaeróbico) </t>
  </si>
  <si>
    <t xml:space="preserve">Vertimientos industriales tratados (Laguna anaeróbica &lt; 2 mts) </t>
  </si>
  <si>
    <t xml:space="preserve">Vertimientos industriales tratados (Laguna anaeróbica &gt; 2 mts) </t>
  </si>
  <si>
    <t>Porcinos de carne - Clima Frío</t>
  </si>
  <si>
    <t>Porcinos de carne - Clima Templado</t>
  </si>
  <si>
    <t>Porcinos de carne - Clima Cálido</t>
  </si>
  <si>
    <t>Incertidumbre FE (+/- %)</t>
  </si>
  <si>
    <t xml:space="preserve">Disposicion en sistemas de base liquida (inlcuidas lagunas anaerobicas) </t>
  </si>
  <si>
    <t>Lagunas anaerobicas</t>
  </si>
  <si>
    <t>Liquido/fango</t>
  </si>
  <si>
    <t>Almacenamiento solido</t>
  </si>
  <si>
    <t>Corral engorde</t>
  </si>
  <si>
    <t>Pastura/prado</t>
  </si>
  <si>
    <t>Distribucion diaria</t>
  </si>
  <si>
    <t>Quemado para combustible</t>
  </si>
  <si>
    <t>Camas de aves de corral con hojarasca</t>
  </si>
  <si>
    <t>Tratamientos aerobicos</t>
  </si>
  <si>
    <t>Almacenamiento en pozos y camas profundas &lt; 1 mes</t>
  </si>
  <si>
    <t>Almacenamiento en pozos y camas profundas &gt; 1 mes</t>
  </si>
  <si>
    <t>Compostaje en Tambor y pilas estaticas</t>
  </si>
  <si>
    <t>Compostaje pilas con volteo intensivo o regular</t>
  </si>
  <si>
    <t>NA</t>
  </si>
  <si>
    <t>Bo</t>
  </si>
  <si>
    <t>Vs</t>
  </si>
  <si>
    <t>Digestor Anaerobico</t>
  </si>
  <si>
    <t>Porcinos de Cría - Clima Frío</t>
  </si>
  <si>
    <t>Porcinos de Cría - Clima Templado</t>
  </si>
  <si>
    <t>Porcinos de Cría - Clima Cálido</t>
  </si>
  <si>
    <t>Conejos - Clima Frío</t>
  </si>
  <si>
    <t>Conejos - Clima Templado</t>
  </si>
  <si>
    <t>Conejos - Clima Cálido</t>
  </si>
  <si>
    <t>Avestruces - Clima Frío</t>
  </si>
  <si>
    <t>Avestruces - Clima Templado</t>
  </si>
  <si>
    <t>Avestruces - Clima Cálido</t>
  </si>
  <si>
    <t>Datos calculados a partir de IPCC 2006 (Nivel 2 con datos por defecto)  kg CH4/cabeza*año</t>
  </si>
  <si>
    <t>Emisiones de CH4 según tipo de Gestión (kg CH4/cabeza*año)</t>
  </si>
  <si>
    <t>Datos IPCC 2006 (kg CH4/cabeza*año)</t>
  </si>
  <si>
    <t>Nindice</t>
  </si>
  <si>
    <t>Emisiones de N2O según tipo de Gestión (kg N2O/cabeza*año)</t>
  </si>
  <si>
    <t>TAM</t>
  </si>
  <si>
    <t>Incentidumbre (+/- %)</t>
  </si>
  <si>
    <t>Botadero &gt;=5mts profundidad</t>
  </si>
  <si>
    <t>Lodos aguas residuales</t>
  </si>
  <si>
    <t>Diésel o ACPM (sin mezcla biodiesel)</t>
  </si>
  <si>
    <t>SR</t>
  </si>
  <si>
    <r>
      <t>kgCH</t>
    </r>
    <r>
      <rPr>
        <vertAlign val="subscript"/>
        <sz val="10"/>
        <rFont val="Arial Narrow"/>
        <family val="2"/>
      </rPr>
      <t>4</t>
    </r>
    <r>
      <rPr>
        <sz val="10"/>
        <rFont val="Arial Narrow"/>
        <family val="2"/>
      </rPr>
      <t>/kg DBO</t>
    </r>
  </si>
  <si>
    <t>kg DBO</t>
  </si>
  <si>
    <t>Tratamiento de lodos orgánicos industriales</t>
  </si>
  <si>
    <r>
      <t>kgCO</t>
    </r>
    <r>
      <rPr>
        <vertAlign val="subscript"/>
        <sz val="10"/>
        <rFont val="Arial Narrow"/>
        <family val="2"/>
      </rPr>
      <t>2</t>
    </r>
    <r>
      <rPr>
        <sz val="10"/>
        <rFont val="Arial Narrow"/>
        <family val="2"/>
      </rPr>
      <t>/kg húmedo</t>
    </r>
  </si>
  <si>
    <t xml:space="preserve">Incineración controlada residuos solidos ordinarios </t>
  </si>
  <si>
    <t>Quema a cielo abierto residuos solidos ordinarios</t>
  </si>
  <si>
    <t xml:space="preserve">Incineración controlada residuos solidos industriales </t>
  </si>
  <si>
    <t xml:space="preserve">Incineración controlada residuos solidos hospitalarios  </t>
  </si>
  <si>
    <t>Incineración controlada residuos liquidos fósiles</t>
  </si>
  <si>
    <t>Producción de fibra de vidrio</t>
  </si>
  <si>
    <t>Vertimientos domésticos no tratados (solo para alcance 3)</t>
  </si>
  <si>
    <t>Vertimientos domésticos a cloaca o alcantarilla estancada</t>
  </si>
  <si>
    <t>Vertimientos domésticos a cloaca o alcantarilla en movimiento (abierta o cerrada)</t>
  </si>
  <si>
    <t xml:space="preserve">Vertimientos domésticos tratados (PTAR aeróbica) </t>
  </si>
  <si>
    <t xml:space="preserve">Vertimientos domésticos tratados (PTAR aeróbica sobrecargada) </t>
  </si>
  <si>
    <t xml:space="preserve">Vertimientos domésticos tratados (Digestor anaeróbico) </t>
  </si>
  <si>
    <t xml:space="preserve">Vertimientos domésticos tratados (Reactor anaeróbico) </t>
  </si>
  <si>
    <t xml:space="preserve">Vertimientos domésticos tratados (Laguna anaeróbica &lt; 2 mts) </t>
  </si>
  <si>
    <t xml:space="preserve">Vertimientos domésticos tratados (Laguna anaeróbica &gt; 2 mts) </t>
  </si>
  <si>
    <t xml:space="preserve">Vertimientos domésticos tratados (Sistema séptico) </t>
  </si>
  <si>
    <t>Tratamiento de lodos orgánicos domésticos</t>
  </si>
  <si>
    <t xml:space="preserve">Lodos aguas residuales a relleno sanitario anaeróbico </t>
  </si>
  <si>
    <t>Residuos solidos otras industrias a relleno sanitario anaeróbico</t>
  </si>
  <si>
    <t>Incineración controlada residuos líquidos domésticos</t>
  </si>
  <si>
    <t>Incineración controlada residuos líquidos industriales</t>
  </si>
  <si>
    <t xml:space="preserve">Ganado No Lechero - Clima Frío </t>
  </si>
  <si>
    <t>Quema de residuos agricolas</t>
  </si>
  <si>
    <t>Quema de residuos pastizales</t>
  </si>
  <si>
    <t>HUELLA DE CARBONO
(tCO2 e)</t>
  </si>
  <si>
    <t>EMISIONES CO2 (tCO2)</t>
  </si>
  <si>
    <t>HUELLA DE CARBONO
(tCO2e)</t>
  </si>
  <si>
    <t>tCO2/año</t>
  </si>
  <si>
    <t>Factor Emisión CO2 (kg CO2/t)</t>
  </si>
  <si>
    <t>Factor Emisión CH4 (g CH4/t)</t>
  </si>
  <si>
    <t>Factor Emisión CH4 (kg CH4/t)</t>
  </si>
  <si>
    <t>Factor Emisión N2O (kg N2O/t)</t>
  </si>
  <si>
    <t xml:space="preserve">t </t>
  </si>
  <si>
    <r>
      <t>kg CO</t>
    </r>
    <r>
      <rPr>
        <vertAlign val="subscript"/>
        <sz val="10"/>
        <rFont val="Arial Narrow"/>
        <family val="2"/>
      </rPr>
      <t>2</t>
    </r>
    <r>
      <rPr>
        <sz val="10"/>
        <rFont val="Arial Narrow"/>
        <family val="2"/>
      </rPr>
      <t>/t</t>
    </r>
  </si>
  <si>
    <r>
      <t>kg CH</t>
    </r>
    <r>
      <rPr>
        <vertAlign val="subscript"/>
        <sz val="10"/>
        <rFont val="Arial Narrow"/>
        <family val="2"/>
      </rPr>
      <t>4</t>
    </r>
    <r>
      <rPr>
        <sz val="10"/>
        <rFont val="Arial Narrow"/>
        <family val="2"/>
      </rPr>
      <t>/t</t>
    </r>
  </si>
  <si>
    <r>
      <t>kg N</t>
    </r>
    <r>
      <rPr>
        <vertAlign val="subscript"/>
        <sz val="10"/>
        <rFont val="Arial Narrow"/>
        <family val="2"/>
      </rPr>
      <t>2</t>
    </r>
    <r>
      <rPr>
        <sz val="10"/>
        <rFont val="Arial Narrow"/>
        <family val="2"/>
      </rPr>
      <t>O/t</t>
    </r>
  </si>
  <si>
    <t>t</t>
  </si>
  <si>
    <r>
      <t>kg CH</t>
    </r>
    <r>
      <rPr>
        <vertAlign val="subscript"/>
        <sz val="10"/>
        <rFont val="Arial Narrow"/>
        <family val="2"/>
      </rPr>
      <t>4</t>
    </r>
    <r>
      <rPr>
        <sz val="10"/>
        <rFont val="Arial Narrow"/>
        <family val="2"/>
      </rPr>
      <t>/t+</t>
    </r>
  </si>
  <si>
    <t>EMISIONES CO2 (tCO2e)</t>
  </si>
  <si>
    <t>EMISIONES CH4 (tCH4)</t>
  </si>
  <si>
    <t>EMISIONES CH4 (tCO2e)</t>
  </si>
  <si>
    <t>EMISIONES N2O (tN2O)</t>
  </si>
  <si>
    <t>EMISIONES N2O (tCO2e)</t>
  </si>
  <si>
    <t>FACTOR DE EMISIÓN 
Compuestos Fluorados</t>
  </si>
  <si>
    <t>EMISIONES Compuestos Fluorados (tCO2e)</t>
  </si>
  <si>
    <t>EMISIONES SF6 (tSF6)</t>
  </si>
  <si>
    <t>EMISIONES SF6 (tCO2e)</t>
  </si>
  <si>
    <t>Tratamiento_Residuos</t>
  </si>
  <si>
    <t>t Clinker</t>
  </si>
  <si>
    <t>kgCH4/t</t>
  </si>
  <si>
    <r>
      <t>kgCO</t>
    </r>
    <r>
      <rPr>
        <vertAlign val="subscript"/>
        <sz val="10"/>
        <rFont val="Arial Narrow"/>
        <family val="2"/>
      </rPr>
      <t>2</t>
    </r>
    <r>
      <rPr>
        <sz val="10"/>
        <rFont val="Arial Narrow"/>
        <family val="2"/>
      </rPr>
      <t>/t Clinker</t>
    </r>
  </si>
  <si>
    <r>
      <t>kgCO</t>
    </r>
    <r>
      <rPr>
        <vertAlign val="subscript"/>
        <sz val="10"/>
        <rFont val="Arial Narrow"/>
        <family val="2"/>
      </rPr>
      <t>2</t>
    </r>
    <r>
      <rPr>
        <sz val="10"/>
        <rFont val="Arial Narrow"/>
        <family val="2"/>
      </rPr>
      <t>/t</t>
    </r>
  </si>
  <si>
    <t>kgCO2/ t NH3</t>
  </si>
  <si>
    <r>
      <t>kgN</t>
    </r>
    <r>
      <rPr>
        <vertAlign val="subscript"/>
        <sz val="10"/>
        <rFont val="Arial Narrow"/>
        <family val="2"/>
      </rPr>
      <t>2</t>
    </r>
    <r>
      <rPr>
        <sz val="10"/>
        <rFont val="Arial Narrow"/>
        <family val="2"/>
      </rPr>
      <t>O/t</t>
    </r>
  </si>
  <si>
    <t>t*km</t>
  </si>
  <si>
    <t>kg CO2 e/ t*km</t>
  </si>
  <si>
    <r>
      <t>kgCH</t>
    </r>
    <r>
      <rPr>
        <vertAlign val="subscript"/>
        <sz val="11"/>
        <rFont val="Calibri"/>
        <family val="2"/>
        <scheme val="minor"/>
      </rPr>
      <t>4</t>
    </r>
    <r>
      <rPr>
        <sz val="11"/>
        <rFont val="Calibri"/>
        <family val="2"/>
        <scheme val="minor"/>
      </rPr>
      <t>/t</t>
    </r>
  </si>
  <si>
    <t>kgCO2 e/t</t>
  </si>
  <si>
    <t>t NH3</t>
  </si>
  <si>
    <r>
      <t>kgCO</t>
    </r>
    <r>
      <rPr>
        <vertAlign val="subscript"/>
        <sz val="11"/>
        <rFont val="Calibri"/>
        <family val="2"/>
        <scheme val="minor"/>
      </rPr>
      <t>2</t>
    </r>
    <r>
      <rPr>
        <sz val="11"/>
        <rFont val="Calibri"/>
        <family val="2"/>
        <scheme val="minor"/>
      </rPr>
      <t>/t</t>
    </r>
  </si>
  <si>
    <t>HUELLA DE CARBONO
(t CO2 e)</t>
  </si>
  <si>
    <t>EMISIONES CO2 (t CO2)</t>
  </si>
  <si>
    <t>EMISIONES CO2 (t CO2e)</t>
  </si>
  <si>
    <r>
      <t>EMISIONES CO</t>
    </r>
    <r>
      <rPr>
        <b/>
        <vertAlign val="subscript"/>
        <sz val="11"/>
        <color theme="0"/>
        <rFont val="Calibri"/>
        <family val="2"/>
        <scheme val="minor"/>
      </rPr>
      <t>2</t>
    </r>
    <r>
      <rPr>
        <b/>
        <sz val="11"/>
        <color theme="0"/>
        <rFont val="Calibri"/>
        <family val="2"/>
        <scheme val="minor"/>
      </rPr>
      <t xml:space="preserve"> (t CO</t>
    </r>
    <r>
      <rPr>
        <b/>
        <vertAlign val="subscript"/>
        <sz val="11"/>
        <color theme="0"/>
        <rFont val="Calibri"/>
        <family val="2"/>
        <scheme val="minor"/>
      </rPr>
      <t>2e</t>
    </r>
    <r>
      <rPr>
        <b/>
        <sz val="11"/>
        <color theme="0"/>
        <rFont val="Calibri"/>
        <family val="2"/>
        <scheme val="minor"/>
      </rPr>
      <t>/año)</t>
    </r>
  </si>
  <si>
    <r>
      <t>EMISIONES CH</t>
    </r>
    <r>
      <rPr>
        <b/>
        <vertAlign val="subscript"/>
        <sz val="11"/>
        <color theme="0"/>
        <rFont val="Calibri"/>
        <family val="2"/>
        <scheme val="minor"/>
      </rPr>
      <t>4</t>
    </r>
    <r>
      <rPr>
        <b/>
        <sz val="11"/>
        <color theme="0"/>
        <rFont val="Calibri"/>
        <family val="2"/>
        <scheme val="minor"/>
      </rPr>
      <t xml:space="preserve"> (t CO</t>
    </r>
    <r>
      <rPr>
        <b/>
        <vertAlign val="subscript"/>
        <sz val="11"/>
        <color theme="0"/>
        <rFont val="Calibri"/>
        <family val="2"/>
        <scheme val="minor"/>
      </rPr>
      <t>2</t>
    </r>
    <r>
      <rPr>
        <b/>
        <sz val="11"/>
        <color theme="0"/>
        <rFont val="Calibri"/>
        <family val="2"/>
        <scheme val="minor"/>
      </rPr>
      <t>e/año)</t>
    </r>
  </si>
  <si>
    <r>
      <t>EMISIONES N</t>
    </r>
    <r>
      <rPr>
        <b/>
        <vertAlign val="subscript"/>
        <sz val="11"/>
        <color theme="0"/>
        <rFont val="Calibri"/>
        <family val="2"/>
        <scheme val="minor"/>
      </rPr>
      <t>2</t>
    </r>
    <r>
      <rPr>
        <b/>
        <sz val="11"/>
        <color theme="0"/>
        <rFont val="Calibri"/>
        <family val="2"/>
        <scheme val="minor"/>
      </rPr>
      <t>O 
(t CO</t>
    </r>
    <r>
      <rPr>
        <b/>
        <vertAlign val="subscript"/>
        <sz val="11"/>
        <color theme="0"/>
        <rFont val="Calibri"/>
        <family val="2"/>
        <scheme val="minor"/>
      </rPr>
      <t>2</t>
    </r>
    <r>
      <rPr>
        <b/>
        <sz val="11"/>
        <color theme="0"/>
        <rFont val="Calibri"/>
        <family val="2"/>
        <scheme val="minor"/>
      </rPr>
      <t>e/año)</t>
    </r>
  </si>
  <si>
    <r>
      <t>EMISIONES Compuestos Fluorados  
(t CO</t>
    </r>
    <r>
      <rPr>
        <b/>
        <vertAlign val="subscript"/>
        <sz val="11"/>
        <color theme="0"/>
        <rFont val="Calibri"/>
        <family val="2"/>
        <scheme val="minor"/>
      </rPr>
      <t>2</t>
    </r>
    <r>
      <rPr>
        <b/>
        <sz val="11"/>
        <color theme="0"/>
        <rFont val="Calibri"/>
        <family val="2"/>
        <scheme val="minor"/>
      </rPr>
      <t>e/año)</t>
    </r>
  </si>
  <si>
    <r>
      <t>EMISIONES SF</t>
    </r>
    <r>
      <rPr>
        <b/>
        <vertAlign val="subscript"/>
        <sz val="11"/>
        <color theme="0"/>
        <rFont val="Calibri"/>
        <family val="2"/>
        <scheme val="minor"/>
      </rPr>
      <t>6</t>
    </r>
    <r>
      <rPr>
        <b/>
        <sz val="11"/>
        <color theme="0"/>
        <rFont val="Calibri"/>
        <family val="2"/>
        <scheme val="minor"/>
      </rPr>
      <t xml:space="preserve"> (t CO</t>
    </r>
    <r>
      <rPr>
        <b/>
        <vertAlign val="subscript"/>
        <sz val="11"/>
        <color theme="0"/>
        <rFont val="Calibri"/>
        <family val="2"/>
        <scheme val="minor"/>
      </rPr>
      <t>2</t>
    </r>
    <r>
      <rPr>
        <b/>
        <sz val="11"/>
        <color theme="0"/>
        <rFont val="Calibri"/>
        <family val="2"/>
        <scheme val="minor"/>
      </rPr>
      <t>e/año)</t>
    </r>
  </si>
  <si>
    <r>
      <t>HUELLA CARBONO TOTAL
(t CO</t>
    </r>
    <r>
      <rPr>
        <b/>
        <vertAlign val="subscript"/>
        <sz val="11"/>
        <color theme="0"/>
        <rFont val="Calibri"/>
        <family val="2"/>
        <scheme val="minor"/>
      </rPr>
      <t>2</t>
    </r>
    <r>
      <rPr>
        <b/>
        <sz val="11"/>
        <color theme="0"/>
        <rFont val="Calibri"/>
        <family val="2"/>
        <scheme val="minor"/>
      </rPr>
      <t>e/año)</t>
    </r>
  </si>
  <si>
    <r>
      <t>EMISIONES TOTALES
(t CO</t>
    </r>
    <r>
      <rPr>
        <b/>
        <vertAlign val="subscript"/>
        <sz val="11"/>
        <color theme="0"/>
        <rFont val="Calibri"/>
        <family val="2"/>
        <scheme val="minor"/>
      </rPr>
      <t>2</t>
    </r>
    <r>
      <rPr>
        <b/>
        <sz val="11"/>
        <color theme="0"/>
        <rFont val="Calibri"/>
        <family val="2"/>
        <scheme val="minor"/>
      </rPr>
      <t>/año)</t>
    </r>
  </si>
  <si>
    <t>CANTIDAD
(t CO2 e)</t>
  </si>
  <si>
    <t>CANTIDAD GEI
(t GEI/AÑO)</t>
  </si>
  <si>
    <r>
      <t>EMISIONES ALCANCE 1
(t CO</t>
    </r>
    <r>
      <rPr>
        <b/>
        <vertAlign val="subscript"/>
        <sz val="11"/>
        <color theme="0"/>
        <rFont val="Calibri"/>
        <family val="2"/>
        <scheme val="minor"/>
      </rPr>
      <t>2</t>
    </r>
    <r>
      <rPr>
        <b/>
        <sz val="11"/>
        <color theme="0"/>
        <rFont val="Calibri"/>
        <family val="2"/>
        <scheme val="minor"/>
      </rPr>
      <t>e/año)</t>
    </r>
  </si>
  <si>
    <r>
      <t>EMISIONES TOTALES
(t CO</t>
    </r>
    <r>
      <rPr>
        <b/>
        <vertAlign val="subscript"/>
        <sz val="11"/>
        <color theme="0"/>
        <rFont val="Calibri"/>
        <family val="2"/>
        <scheme val="minor"/>
      </rPr>
      <t>2</t>
    </r>
    <r>
      <rPr>
        <b/>
        <sz val="11"/>
        <color theme="0"/>
        <rFont val="Calibri"/>
        <family val="2"/>
        <scheme val="minor"/>
      </rPr>
      <t>e/año)</t>
    </r>
  </si>
  <si>
    <t>Lubricantes (Fuentes Fijas)</t>
  </si>
  <si>
    <t>TOTAL ALCANCES 1, 2 Y 3</t>
  </si>
  <si>
    <t xml:space="preserve">Residuos solidos a relleno sanitario anaeróbico </t>
  </si>
  <si>
    <t xml:space="preserve">Residuos solidos a relleno sanitario semiaerobico </t>
  </si>
  <si>
    <t>Residuos solidos a botadero &gt;5mts profundidad</t>
  </si>
  <si>
    <t>Residuos solidos a botadero &lt;5mts profundidad</t>
  </si>
  <si>
    <t>Residuos solidos a disposición sin categorizar</t>
  </si>
  <si>
    <t>Residuos solidos hospital a relleno sanitario anaeróbico</t>
  </si>
  <si>
    <t>Residuos solidos alimentos a relleno sanitario anaeróbico</t>
  </si>
  <si>
    <t>Residuos solidos textil a relleno sanitario anaeróbico</t>
  </si>
  <si>
    <t>Residuos solidos madera a relleno sanitario anaeróbico</t>
  </si>
  <si>
    <t>Residuos solidos pulpa y papel a relleno sanitario anaeróbico</t>
  </si>
  <si>
    <t>Residuos solidos caucho a relleno sanitario anaeróbico</t>
  </si>
  <si>
    <t>Residuos solidos construcción a relleno sanitario anaeróbico</t>
  </si>
  <si>
    <t>Empresa de Acueducto y Alcantarillado de Bogotá</t>
  </si>
  <si>
    <r>
      <t xml:space="preserve">Vehículos propios, vehículos en arriendo, equipos y </t>
    </r>
    <r>
      <rPr>
        <sz val="11"/>
        <color theme="1"/>
        <rFont val="Calibri"/>
        <family val="2"/>
        <scheme val="minor"/>
      </rPr>
      <t>plantas de emergencias.</t>
    </r>
  </si>
  <si>
    <r>
      <t xml:space="preserve">Manual:
</t>
    </r>
    <r>
      <rPr>
        <sz val="10"/>
        <color theme="1"/>
        <rFont val="Calibri"/>
        <family val="2"/>
        <scheme val="minor"/>
      </rPr>
      <t>* Matriz del área
* Reporte a tráves del proyecto trasversal "Reporte de Información Ambiental", en la herramienta Acuerdos de Gestión</t>
    </r>
  </si>
  <si>
    <t>* Vales de consumo de combustibles
* Matriz de costos y consumos de combustibles (propia del área)
* Formatos de reporte de información ambiental</t>
  </si>
  <si>
    <t>Galones</t>
  </si>
  <si>
    <t>Anual</t>
  </si>
  <si>
    <t>Martha Patricia Cruz Moreno
Profesional Especializada 20</t>
  </si>
  <si>
    <t>Semestral</t>
  </si>
  <si>
    <t>Jenny Caroline Dueñas Oviedo - Axiliar D. Ambiental
Martha Patricia Cruz Moreno - Profesional Especializada 20</t>
  </si>
  <si>
    <t>Vehículos propios, vehículos en arriendo y equipos</t>
  </si>
  <si>
    <r>
      <t xml:space="preserve">Manual:
</t>
    </r>
    <r>
      <rPr>
        <sz val="10"/>
        <color theme="1"/>
        <rFont val="Calibri"/>
        <family val="2"/>
        <scheme val="minor"/>
      </rPr>
      <t>* Reportes en una matriz del área
* Reporte a tráves del proyecto trasversal "Reporte de Información Ambiental", en la herramienta Acuerdos de Gestión</t>
    </r>
  </si>
  <si>
    <t>Casino Central de Operaciones</t>
  </si>
  <si>
    <r>
      <t xml:space="preserve">Manual:
</t>
    </r>
    <r>
      <rPr>
        <sz val="10"/>
        <color theme="1"/>
        <rFont val="Calibri"/>
        <family val="2"/>
        <scheme val="minor"/>
      </rPr>
      <t>* Reporta a tráves del proyecto trasversal "Reporte de Información Ambiental", en la herramienta Acuerdos de Gestión</t>
    </r>
    <r>
      <rPr>
        <b/>
        <sz val="10"/>
        <color theme="1"/>
        <rFont val="Calibri"/>
        <family val="2"/>
        <scheme val="minor"/>
      </rPr>
      <t xml:space="preserve">
</t>
    </r>
  </si>
  <si>
    <t>Maria del Carmen Ome - Profesional Especializado DSA</t>
  </si>
  <si>
    <t>* Facturas de consumo de gas natural
*Formatos de reporte de información ambiental</t>
  </si>
  <si>
    <r>
      <t>m</t>
    </r>
    <r>
      <rPr>
        <vertAlign val="superscript"/>
        <sz val="11"/>
        <color theme="1"/>
        <rFont val="Calibri"/>
        <family val="2"/>
        <scheme val="minor"/>
      </rPr>
      <t>3</t>
    </r>
  </si>
  <si>
    <t>PTAR Salitre</t>
  </si>
  <si>
    <r>
      <rPr>
        <b/>
        <sz val="10"/>
        <color theme="1"/>
        <rFont val="Calibri"/>
        <family val="2"/>
        <scheme val="minor"/>
      </rPr>
      <t xml:space="preserve">Sistematizada: </t>
    </r>
    <r>
      <rPr>
        <sz val="10"/>
        <color theme="1"/>
        <rFont val="Calibri"/>
        <family val="2"/>
        <scheme val="minor"/>
      </rPr>
      <t xml:space="preserve">reportes diarios "Pre Report" a través de software.
</t>
    </r>
    <r>
      <rPr>
        <b/>
        <sz val="10"/>
        <color theme="1"/>
        <rFont val="Calibri"/>
        <family val="2"/>
        <scheme val="minor"/>
      </rPr>
      <t xml:space="preserve">Manual: </t>
    </r>
    <r>
      <rPr>
        <sz val="10"/>
        <color theme="1"/>
        <rFont val="Calibri"/>
        <family val="2"/>
        <scheme val="minor"/>
      </rPr>
      <t>Reporte a través del proyecto trasversal "Reporte de Información Ambiental" en la herramienta "Acuerdos de Gestión"</t>
    </r>
  </si>
  <si>
    <t>Clara Lorena Ibarra
Profesional (PTAR Salitre)</t>
  </si>
  <si>
    <t>* Informes Pre Report en archivos excel
* Formatos de reporte de información ambiental</t>
  </si>
  <si>
    <t>Clara Katherine Hurtado Avila - Auxiliar D. Ambiental
Martha Patricia Cruz Moreno - Profesional Especializada 20</t>
  </si>
  <si>
    <t>Talleres de mantenimiento y laboratorio de aguas</t>
  </si>
  <si>
    <r>
      <t xml:space="preserve">Manual:
</t>
    </r>
    <r>
      <rPr>
        <sz val="10"/>
        <color theme="1"/>
        <rFont val="Calibri"/>
        <family val="2"/>
        <scheme val="minor"/>
      </rPr>
      <t>* Actas de pago
* Reporte a tráves del proyecto trasversal "Reporte de Información Ambiental", en la herramienta Acuerdos de Gestión</t>
    </r>
    <r>
      <rPr>
        <b/>
        <sz val="10"/>
        <color theme="1"/>
        <rFont val="Calibri"/>
        <family val="2"/>
        <scheme val="minor"/>
      </rPr>
      <t xml:space="preserve">
</t>
    </r>
  </si>
  <si>
    <t>* Actas de pago parcial del contrato de suministro del gas
* Formatos de reporte de información ambiental</t>
  </si>
  <si>
    <t>Chiller
Incubadoras
Nevecon
Refrigeradores</t>
  </si>
  <si>
    <r>
      <t xml:space="preserve">Manual:
</t>
    </r>
    <r>
      <rPr>
        <sz val="10"/>
        <color theme="1"/>
        <rFont val="Calibri"/>
        <family val="2"/>
        <scheme val="minor"/>
      </rPr>
      <t>* Reporte a tráves del proyecto trasversal "Reporte de Información Ambiental", en la herramienta Acuerdos de Gestión</t>
    </r>
    <r>
      <rPr>
        <b/>
        <sz val="10"/>
        <color theme="1"/>
        <rFont val="Calibri"/>
        <family val="2"/>
        <scheme val="minor"/>
      </rPr>
      <t xml:space="preserve">
</t>
    </r>
  </si>
  <si>
    <t>Héctor Bernal
Profesional (DST)</t>
  </si>
  <si>
    <t>* Formatos de mantenimiento de equipos
* Actas de pago del contrato de mantenimiento
* Formatos de reporte de información ambiental</t>
  </si>
  <si>
    <t>Incubadoras
Refrigeradores</t>
  </si>
  <si>
    <t>Aires acondicionados</t>
  </si>
  <si>
    <t>* Formatos de mantenimiento
* Actas de pago parcial del contrato de mantenimiento
* Formatos de reporte de información ambiental</t>
  </si>
  <si>
    <t>Extintores Solkaflam</t>
  </si>
  <si>
    <r>
      <t xml:space="preserve">Manual:
</t>
    </r>
    <r>
      <rPr>
        <sz val="10"/>
        <color theme="1"/>
        <rFont val="Calibri"/>
        <family val="2"/>
        <scheme val="minor"/>
      </rPr>
      <t>* Reporte a tráves del proyecto trasversal "Reporte de Información Ambiental", en la herramienta Acuerdos de Gestión</t>
    </r>
  </si>
  <si>
    <t>* Actas de pago del contrato de mantenimiento de equipos contra incendio
* Formatos de reporte de información ambiental</t>
  </si>
  <si>
    <r>
      <t>Extintores CO</t>
    </r>
    <r>
      <rPr>
        <vertAlign val="subscript"/>
        <sz val="11"/>
        <color theme="1"/>
        <rFont val="Calibri"/>
        <family val="2"/>
        <scheme val="minor"/>
      </rPr>
      <t>2</t>
    </r>
  </si>
  <si>
    <t>Embalses</t>
  </si>
  <si>
    <r>
      <t xml:space="preserve">Manual:
</t>
    </r>
    <r>
      <rPr>
        <sz val="10"/>
        <color theme="1"/>
        <rFont val="Calibri"/>
        <family val="2"/>
        <scheme val="minor"/>
      </rPr>
      <t>* Batimetrías de EMGESA S.A.
* Plan Maestro de Abastecimiento (PMA)
* Sistema de Información Geográfica Empresarial
* Comunicados</t>
    </r>
  </si>
  <si>
    <t>German García Marrugo
Profesional Especializado (Abastecimiento)</t>
  </si>
  <si>
    <t>* Archivo Excel con resultados de batimetrías de EMGESA S.A. (aplica para embalses Chuza y San Rafael)
* Documentos del Plan Maestro de Abastecimiento
* Planos de área de espejo de agua por embalse.
* Reporte de información del área del embalse por comunicado.</t>
  </si>
  <si>
    <t>Subestaciones eléctricas</t>
  </si>
  <si>
    <r>
      <t xml:space="preserve">Manual:
</t>
    </r>
    <r>
      <rPr>
        <sz val="10"/>
        <color theme="1"/>
        <rFont val="Calibri"/>
        <family val="2"/>
        <scheme val="minor"/>
      </rPr>
      <t>* Información técnica 
* Comunicados</t>
    </r>
  </si>
  <si>
    <r>
      <t>* Fichas técnicas de equipos con presencia de SF</t>
    </r>
    <r>
      <rPr>
        <vertAlign val="subscript"/>
        <sz val="10"/>
        <color theme="1"/>
        <rFont val="Calibri"/>
        <family val="2"/>
        <scheme val="minor"/>
      </rPr>
      <t xml:space="preserve">6 </t>
    </r>
    <r>
      <rPr>
        <sz val="10"/>
        <color theme="1"/>
        <rFont val="Calibri"/>
        <family val="2"/>
        <scheme val="minor"/>
      </rPr>
      <t>de las subestaciones eléctricas</t>
    </r>
    <r>
      <rPr>
        <vertAlign val="subscript"/>
        <sz val="10"/>
        <color theme="1"/>
        <rFont val="Calibri"/>
        <family val="2"/>
        <scheme val="minor"/>
      </rPr>
      <t xml:space="preserve">
</t>
    </r>
    <r>
      <rPr>
        <sz val="10"/>
        <color theme="1"/>
        <rFont val="Calibri"/>
        <family val="2"/>
        <scheme val="minor"/>
      </rPr>
      <t>* Reporte técnico de información por comunicado</t>
    </r>
  </si>
  <si>
    <t>Lodos de alcantarillado</t>
  </si>
  <si>
    <r>
      <t xml:space="preserve">Manual:
</t>
    </r>
    <r>
      <rPr>
        <sz val="10"/>
        <color theme="1"/>
        <rFont val="Calibri"/>
        <family val="2"/>
        <scheme val="minor"/>
      </rPr>
      <t>* Archivo excel
* Planillas del predio Gibraltar.
* Reporte a tráves del proyecto trasversal "Reporte de Información Ambiental", en la herramienta Acuerdos de Gestión</t>
    </r>
  </si>
  <si>
    <t>Lina María Ojeda - Profesional (DSA)</t>
  </si>
  <si>
    <t>* Resultados de DQO del laboratorio de la EAB en excel
* Planillas de control de lodos que ingresan a disposición del predio Gibraltar
* Formatos de reporte de información ambiental</t>
  </si>
  <si>
    <r>
      <t>mg/L
m</t>
    </r>
    <r>
      <rPr>
        <vertAlign val="superscript"/>
        <sz val="11"/>
        <color theme="1"/>
        <rFont val="Calibri"/>
        <family val="2"/>
        <scheme val="minor"/>
      </rPr>
      <t>3</t>
    </r>
    <r>
      <rPr>
        <sz val="11"/>
        <color theme="1"/>
        <rFont val="Calibri"/>
        <family val="2"/>
        <scheme val="minor"/>
      </rPr>
      <t>/mes</t>
    </r>
  </si>
  <si>
    <t>Kg DQO</t>
  </si>
  <si>
    <t>Liliana García - Profesional (DSA)
Martha Patricia Cruz Moreno - Profesional Especializada 20</t>
  </si>
  <si>
    <t>Sedes e Instalaciones</t>
  </si>
  <si>
    <t>Jesús Alberto Bernal - Profesional Especializado DSE</t>
  </si>
  <si>
    <t>* Facturas de consumo de energía eléctrica
* Matriz de costos y consumo de energía eléctrica
*Formatos de reporte de información ambiental</t>
  </si>
  <si>
    <t>kWh</t>
  </si>
  <si>
    <t>Área  Facturación</t>
  </si>
  <si>
    <r>
      <t xml:space="preserve">Manual:
</t>
    </r>
    <r>
      <rPr>
        <sz val="10"/>
        <color theme="1"/>
        <rFont val="Calibri"/>
        <family val="2"/>
        <scheme val="minor"/>
      </rPr>
      <t>* Facturaciónes
* Reporte a tráves del proyecto trasversal "Reporte de Información Ambiental", en la herramienta Acuerdos de Gestión</t>
    </r>
  </si>
  <si>
    <t>Natalia Inés Ayala Blandon
Profesional Especializado DAC</t>
  </si>
  <si>
    <t>* Actas de pago del contrato de facturación.
* Formatos de reporte de información ambiental</t>
  </si>
  <si>
    <t># Resmas</t>
  </si>
  <si>
    <t>Kg</t>
  </si>
  <si>
    <t>Clara Katherine Hurtado Avila
Auxiliar D. Ambiental
Martha Patricia Cruz Moreno
Profesional Especializada 20</t>
  </si>
  <si>
    <t>Área administrativa</t>
  </si>
  <si>
    <t>Camilo Andrés Sanchez Barrera
Profesional (DSA)</t>
  </si>
  <si>
    <t>* Solicitudes de suministro en línea al proveedor
* Matriz de costos y consumos de papel
* Formatos de reporte de información ambiental</t>
  </si>
  <si>
    <t>Viajes aéreos nacionales e internacionales</t>
  </si>
  <si>
    <t>Mayerly Jerez Herreno
Auxiliar Administrativo (DC)</t>
  </si>
  <si>
    <t>* Comisiones de servicio
* Matriz de comisiones de servicio
* Formatos de reporte de información ambiental</t>
  </si>
  <si>
    <t># Viajes</t>
  </si>
  <si>
    <t>DIRECCIÓN GESTIÓN DE CALIDAD Y PROCESOS</t>
  </si>
  <si>
    <t>DIRECCIONES</t>
  </si>
  <si>
    <t>DIRECCIÓN PLANEACIÓN Y CONTROL DE INVERSIONES</t>
  </si>
  <si>
    <t>DIRECCIÓN TESORERÍA</t>
  </si>
  <si>
    <t>DIRECCIÓN CONTABILIDAD</t>
  </si>
  <si>
    <t>DIRECCIÓN PRESUPUESTO</t>
  </si>
  <si>
    <t>DIRECCIÓN TRIBUTARIA</t>
  </si>
  <si>
    <t>DIRECCIÓN JURISDICCIÓN COACTIVA</t>
  </si>
  <si>
    <t>DIRECCIÓN ANÁLISIS DE RIESGOS FINANCIEROS</t>
  </si>
  <si>
    <t>DIRECCIÓN SERVICIOS ADMINISTRATIVOS</t>
  </si>
  <si>
    <t>DIRECCIÓN SALUD</t>
  </si>
  <si>
    <t>DIRECCIÓN GESTIÓN DE COMPENSACIONES</t>
  </si>
  <si>
    <t>DIRECCIÓN DESARROLLO ORGANIZACIONAL</t>
  </si>
  <si>
    <t>DIRECCIÓN ABASTECIMIENTO</t>
  </si>
  <si>
    <t>DIRECCIÓN RED MATRIZ ACUEDUCTO</t>
  </si>
  <si>
    <t>DIRECCIÓN RED TRONCAL ALCANTARILLADO</t>
  </si>
  <si>
    <t>DIRECCIÓN BIENS RAÍCES</t>
  </si>
  <si>
    <t>DIRECCIÓN GESTIÓN COMUNITARIA</t>
  </si>
  <si>
    <t>DIRECCIÓN APOYO COMERCIAL</t>
  </si>
  <si>
    <t>DIRECCIÓN APOYO TÉCNICO</t>
  </si>
  <si>
    <t>DIRECCIÓN INGENIERÍA ESPECIALIZADA</t>
  </si>
  <si>
    <t>DIRECCIÓN SERVICIOS DE ELECTROMECÁNICA</t>
  </si>
  <si>
    <t>DIRECCIÓN SERVICIOS TÉCNICOS</t>
  </si>
  <si>
    <t>DIRECCIÓN SERVICIOS DE INFORMÁTICA</t>
  </si>
  <si>
    <t>DIRECCIÓN INFORMACIÓN TÉCNICA Y GEOGRÁFICA</t>
  </si>
  <si>
    <t>DIRECCIÓN SISTEMA DE INFORM. EMPRESARIAL</t>
  </si>
  <si>
    <t>DIRECCIÓN SANEAMIENTO AMBIENTAL</t>
  </si>
  <si>
    <t>PERIODICIDAD REGISTRO</t>
  </si>
  <si>
    <t>PERIODICIDAD REPORTE</t>
  </si>
  <si>
    <t>Mensual</t>
  </si>
  <si>
    <t>Bimensual</t>
  </si>
  <si>
    <t>Trimestral</t>
  </si>
  <si>
    <t>Bimestral</t>
  </si>
  <si>
    <t>Talleres de mantenimiento</t>
  </si>
  <si>
    <t>Holman Melo - Profesional (DSE)</t>
  </si>
  <si>
    <t>Alexander Galindo - Profesional (PTAR Salitre)</t>
  </si>
  <si>
    <t>Martha Patricia Cruz Moreno - Profesional Especializada 20</t>
  </si>
  <si>
    <t>Héctor Bernal - Profesional (DST)</t>
  </si>
  <si>
    <t>Nayid Carvajal - Técnico (DS)</t>
  </si>
  <si>
    <t>DIRECCIÓN ADMINISTRACIÓN ACTIVOS FIJOS</t>
  </si>
  <si>
    <t>DIRECCIÓN GESTIÓN AMBIENTAL DEL SISTEMA HÍDRICO</t>
  </si>
  <si>
    <t>DIRECCIÓN MEJORAMIENTO CALIDAD DE VIDA</t>
  </si>
  <si>
    <t>DIRECCIÓN PLANE. Y CONTROL DE RESULTADOS CORP.</t>
  </si>
  <si>
    <t>DIRECCIÓN PLANE. Y CONTROL RENT. GASTOS Y COSTOS</t>
  </si>
  <si>
    <t>Ricardo Gamboa Bernal - Profesional Especializado (DA)
William Moreno - Profesional Especializado (DA Planta El Dorado)</t>
  </si>
  <si>
    <t>Alexander Galindo - Profesional (PTAR Salitre)
Juan Carlos Sánchez - Profesional Especializado (DSE)
Jairo Robayo - Profesional Especializado (DSE)</t>
  </si>
  <si>
    <t>Juan Carlos Sánchez - Profesional Especializado (DSE)
Jairo Robayo - Profesional Especializado (DSE)</t>
  </si>
  <si>
    <t>EMPRESA DE ACUEDUCTO Y ALCANTARILLADO DE BOGOTÁ - EAB-ESP</t>
  </si>
  <si>
    <t>AC 24 37 15</t>
  </si>
  <si>
    <t>BOGOTÁ</t>
  </si>
  <si>
    <t xml:space="preserve">Jorge Enrique Bautista Arias  - Profesional Especializado DSA
</t>
  </si>
  <si>
    <t>Javier Orlando Rodriguez Bermudez
Dirección Servicios de Informática (DSI)</t>
  </si>
  <si>
    <t>01/01/2016 - 31/12/2016</t>
  </si>
  <si>
    <t>(571) 344 7000</t>
  </si>
  <si>
    <t>Energía eléctrica adquirida (Factor emisión UPME-FECOC 2016)</t>
  </si>
  <si>
    <t>https://www.ipcc-nggip.iges.or.jp/public/2006gl/spanish/pdf/4_Volume4/V4_p_Ap3_WetlandsCH4.pdf</t>
  </si>
  <si>
    <t>MARTHA PATRICIA CRUZ MORENO</t>
  </si>
  <si>
    <t>PROFESIONAL ESPECIALIZADO NIVEL 20</t>
  </si>
  <si>
    <t>mpcruz@acueducto.com.co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</si>
</sst>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_(* \(#,##0.00\);_(* &quot;-&quot;??_);_(@_)"/>
    <numFmt numFmtId="165" formatCode="_ [$€-2]\ * #,##0.00_ ;_ [$€-2]\ * \-#,##0.00_ ;_ [$€-2]\ * &quot;-&quot;??_ "/>
    <numFmt numFmtId="166" formatCode="&quot;+/- &quot;0.0%"/>
    <numFmt numFmtId="167" formatCode="_(* #,##0.0_);_(* \(#,##0.0\);_(* &quot;-&quot;??_);_(@_)"/>
    <numFmt numFmtId="168" formatCode="0.000000"/>
    <numFmt numFmtId="169" formatCode="0.00000"/>
    <numFmt numFmtId="170" formatCode="0.000"/>
    <numFmt numFmtId="171" formatCode="&quot;+/- &quot;0.00%"/>
    <numFmt numFmtId="172" formatCode="0.0000"/>
    <numFmt numFmtId="173" formatCode="0.0000000"/>
    <numFmt numFmtId="174" formatCode="0.00000000"/>
  </numFmts>
  <fonts count="71"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4"/>
      <color theme="0"/>
      <name val="Calibri"/>
      <family val="2"/>
      <scheme val="minor"/>
    </font>
    <font>
      <sz val="10"/>
      <color theme="1"/>
      <name val="Calibri"/>
      <family val="2"/>
      <scheme val="minor"/>
    </font>
    <font>
      <b/>
      <sz val="14"/>
      <color theme="0"/>
      <name val="Calibri"/>
      <family val="2"/>
      <scheme val="minor"/>
    </font>
    <font>
      <b/>
      <sz val="12"/>
      <color theme="0"/>
      <name val="Calibri"/>
      <family val="2"/>
      <scheme val="minor"/>
    </font>
    <font>
      <b/>
      <sz val="12"/>
      <name val="Calibri"/>
      <family val="2"/>
      <scheme val="minor"/>
    </font>
    <font>
      <u/>
      <sz val="11"/>
      <color theme="10"/>
      <name val="Calibri"/>
      <family val="2"/>
    </font>
    <font>
      <b/>
      <sz val="10"/>
      <color theme="1"/>
      <name val="Calibri"/>
      <family val="2"/>
      <scheme val="minor"/>
    </font>
    <font>
      <b/>
      <sz val="11"/>
      <color rgb="FF446A0F"/>
      <name val="Arial"/>
      <family val="2"/>
    </font>
    <font>
      <sz val="6.85"/>
      <color rgb="FF0066CC"/>
      <name val="Verdana"/>
      <family val="2"/>
    </font>
    <font>
      <b/>
      <sz val="14"/>
      <color theme="1"/>
      <name val="Calibri"/>
      <family val="2"/>
      <scheme val="minor"/>
    </font>
    <font>
      <b/>
      <sz val="10"/>
      <name val="Calibri"/>
      <family val="2"/>
      <scheme val="minor"/>
    </font>
    <font>
      <b/>
      <sz val="28"/>
      <color theme="0"/>
      <name val="Calibri"/>
      <family val="2"/>
      <scheme val="minor"/>
    </font>
    <font>
      <b/>
      <sz val="12"/>
      <color theme="1"/>
      <name val="Calibri"/>
      <family val="2"/>
      <scheme val="minor"/>
    </font>
    <font>
      <b/>
      <sz val="11"/>
      <name val="Calibri"/>
      <family val="2"/>
    </font>
    <font>
      <b/>
      <sz val="14"/>
      <color theme="0"/>
      <name val="Calibri"/>
      <family val="2"/>
    </font>
    <font>
      <sz val="11"/>
      <color indexed="8"/>
      <name val="Calibri"/>
      <family val="2"/>
    </font>
    <font>
      <sz val="10"/>
      <name val="Arial"/>
      <family val="2"/>
    </font>
    <font>
      <u/>
      <sz val="10"/>
      <color indexed="12"/>
      <name val="MS Sans Serif"/>
      <family val="2"/>
    </font>
    <font>
      <sz val="10"/>
      <name val="MS Sans Serif"/>
      <family val="2"/>
    </font>
    <font>
      <sz val="11"/>
      <name val="Calibri"/>
      <family val="2"/>
      <scheme val="minor"/>
    </font>
    <font>
      <sz val="9"/>
      <color indexed="81"/>
      <name val="Tahoma"/>
      <family val="2"/>
    </font>
    <font>
      <b/>
      <sz val="9"/>
      <color indexed="81"/>
      <name val="Tahoma"/>
      <family val="2"/>
    </font>
    <font>
      <sz val="11"/>
      <color theme="0"/>
      <name val="Calibri"/>
      <family val="2"/>
      <scheme val="minor"/>
    </font>
    <font>
      <b/>
      <sz val="11"/>
      <name val="Calibri"/>
      <family val="2"/>
      <scheme val="minor"/>
    </font>
    <font>
      <sz val="11"/>
      <name val="Calibri"/>
      <family val="2"/>
    </font>
    <font>
      <b/>
      <sz val="16"/>
      <color theme="0"/>
      <name val="Calibri"/>
      <family val="2"/>
      <scheme val="minor"/>
    </font>
    <font>
      <i/>
      <sz val="11"/>
      <name val="Calibri"/>
      <family val="2"/>
      <scheme val="minor"/>
    </font>
    <font>
      <b/>
      <sz val="18"/>
      <color theme="2"/>
      <name val="Calibri"/>
      <family val="2"/>
      <scheme val="minor"/>
    </font>
    <font>
      <b/>
      <sz val="16"/>
      <name val="Calibri"/>
      <family val="2"/>
      <scheme val="minor"/>
    </font>
    <font>
      <b/>
      <sz val="18"/>
      <color theme="0"/>
      <name val="Calibri"/>
      <family val="2"/>
      <scheme val="minor"/>
    </font>
    <font>
      <sz val="12"/>
      <color theme="1"/>
      <name val="Calibri"/>
      <family val="2"/>
      <scheme val="minor"/>
    </font>
    <font>
      <u/>
      <sz val="18"/>
      <color theme="10"/>
      <name val="Calibri"/>
      <family val="2"/>
    </font>
    <font>
      <sz val="24"/>
      <color theme="0"/>
      <name val="Calibri"/>
      <family val="2"/>
    </font>
    <font>
      <b/>
      <u/>
      <sz val="12"/>
      <color theme="10"/>
      <name val="Calibri"/>
      <family val="2"/>
    </font>
    <font>
      <vertAlign val="subscript"/>
      <sz val="11"/>
      <color theme="1"/>
      <name val="Calibri"/>
      <family val="2"/>
      <scheme val="minor"/>
    </font>
    <font>
      <b/>
      <vertAlign val="subscript"/>
      <sz val="11"/>
      <color theme="1"/>
      <name val="Calibri"/>
      <family val="2"/>
      <scheme val="minor"/>
    </font>
    <font>
      <b/>
      <sz val="11"/>
      <color theme="0"/>
      <name val="Calibri"/>
      <family val="2"/>
      <scheme val="minor"/>
    </font>
    <font>
      <b/>
      <vertAlign val="subscript"/>
      <sz val="11"/>
      <color theme="0"/>
      <name val="Calibri"/>
      <family val="2"/>
      <scheme val="minor"/>
    </font>
    <font>
      <sz val="10"/>
      <color rgb="FF000000"/>
      <name val="Arial Narrow"/>
      <family val="2"/>
    </font>
    <font>
      <sz val="10"/>
      <color theme="1"/>
      <name val="Arial Narrow"/>
      <family val="2"/>
    </font>
    <font>
      <b/>
      <sz val="12"/>
      <color theme="2"/>
      <name val="Calibri"/>
      <family val="2"/>
      <scheme val="minor"/>
    </font>
    <font>
      <b/>
      <sz val="22"/>
      <color rgb="FFFF0000"/>
      <name val="Calibri"/>
      <family val="2"/>
      <scheme val="minor"/>
    </font>
    <font>
      <b/>
      <sz val="9"/>
      <color theme="1"/>
      <name val="Calibri"/>
      <family val="2"/>
      <scheme val="minor"/>
    </font>
    <font>
      <b/>
      <vertAlign val="subscript"/>
      <sz val="18"/>
      <color theme="0"/>
      <name val="Calibri"/>
      <family val="2"/>
      <scheme val="minor"/>
    </font>
    <font>
      <sz val="10"/>
      <color theme="0"/>
      <name val="Arial Narrow"/>
      <family val="2"/>
    </font>
    <font>
      <vertAlign val="subscript"/>
      <sz val="11"/>
      <color theme="0"/>
      <name val="Calibri"/>
      <family val="2"/>
      <scheme val="minor"/>
    </font>
    <font>
      <b/>
      <sz val="12"/>
      <color indexed="9"/>
      <name val="Calibri"/>
      <family val="2"/>
    </font>
    <font>
      <sz val="11"/>
      <color indexed="9"/>
      <name val="Calibri"/>
      <family val="2"/>
    </font>
    <font>
      <sz val="12"/>
      <color indexed="9"/>
      <name val="Calibri"/>
      <family val="2"/>
    </font>
    <font>
      <b/>
      <sz val="10"/>
      <name val="Arial Narrow"/>
      <family val="2"/>
    </font>
    <font>
      <sz val="10"/>
      <name val="Arial Narrow"/>
      <family val="2"/>
    </font>
    <font>
      <vertAlign val="subscript"/>
      <sz val="10"/>
      <name val="Arial Narrow"/>
      <family val="2"/>
    </font>
    <font>
      <vertAlign val="superscript"/>
      <sz val="10"/>
      <name val="Arial Narrow"/>
      <family val="2"/>
    </font>
    <font>
      <vertAlign val="subscript"/>
      <sz val="11"/>
      <name val="Calibri"/>
      <family val="2"/>
      <scheme val="minor"/>
    </font>
    <font>
      <sz val="12"/>
      <name val="Calibri"/>
      <family val="2"/>
      <scheme val="minor"/>
    </font>
    <font>
      <u/>
      <sz val="11"/>
      <name val="Calibri"/>
      <family val="2"/>
    </font>
    <font>
      <sz val="10"/>
      <color rgb="FFFF0000"/>
      <name val="Arial Narrow"/>
      <family val="2"/>
    </font>
    <font>
      <b/>
      <sz val="11"/>
      <color theme="3"/>
      <name val="Calibri"/>
      <family val="2"/>
      <scheme val="minor"/>
    </font>
    <font>
      <b/>
      <sz val="11"/>
      <color rgb="FFFF0000"/>
      <name val="Calibri"/>
      <family val="2"/>
      <scheme val="minor"/>
    </font>
    <font>
      <sz val="11"/>
      <color theme="3"/>
      <name val="Calibri"/>
      <family val="2"/>
      <scheme val="minor"/>
    </font>
    <font>
      <b/>
      <sz val="11"/>
      <color rgb="FF0070C0"/>
      <name val="Calibri"/>
      <family val="2"/>
      <scheme val="minor"/>
    </font>
    <font>
      <sz val="11"/>
      <color rgb="FF0070C0"/>
      <name val="Calibri"/>
      <family val="2"/>
      <scheme val="minor"/>
    </font>
    <font>
      <b/>
      <sz val="11"/>
      <color rgb="FF00B050"/>
      <name val="Calibri"/>
      <family val="2"/>
      <scheme val="minor"/>
    </font>
    <font>
      <sz val="11"/>
      <color rgb="FF00B050"/>
      <name val="Calibri"/>
      <family val="2"/>
      <scheme val="minor"/>
    </font>
    <font>
      <vertAlign val="superscript"/>
      <sz val="11"/>
      <color theme="1"/>
      <name val="Calibri"/>
      <family val="2"/>
      <scheme val="minor"/>
    </font>
    <font>
      <vertAlign val="subscript"/>
      <sz val="10"/>
      <color theme="1"/>
      <name val="Calibri"/>
      <family val="2"/>
      <scheme val="minor"/>
    </font>
    <font>
      <b/>
      <sz val="11"/>
      <color rgb="FF2E74B5"/>
      <name val="Arial Narrow"/>
      <family val="2"/>
    </font>
  </fonts>
  <fills count="21">
    <fill>
      <patternFill patternType="none"/>
    </fill>
    <fill>
      <patternFill patternType="gray125"/>
    </fill>
    <fill>
      <patternFill patternType="solid">
        <fgColor rgb="FF007C3E"/>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2" tint="-0.749961851863155"/>
        <bgColor indexed="64"/>
      </patternFill>
    </fill>
    <fill>
      <patternFill patternType="solid">
        <fgColor theme="2" tint="-0.24994659260841701"/>
        <bgColor indexed="64"/>
      </patternFill>
    </fill>
    <fill>
      <patternFill patternType="solid">
        <fgColor theme="0"/>
        <bgColor indexed="64"/>
      </patternFill>
    </fill>
    <fill>
      <patternFill patternType="solid">
        <fgColor theme="0" tint="-0.499984740745262"/>
        <bgColor indexed="64"/>
      </patternFill>
    </fill>
    <fill>
      <patternFill patternType="solid">
        <fgColor theme="2" tint="-0.499984740745262"/>
        <bgColor indexed="64"/>
      </patternFill>
    </fill>
    <fill>
      <patternFill patternType="solid">
        <fgColor theme="1" tint="0.499984740745262"/>
        <bgColor indexed="64"/>
      </patternFill>
    </fill>
    <fill>
      <patternFill patternType="solid">
        <fgColor theme="2"/>
        <bgColor indexed="64"/>
      </patternFill>
    </fill>
    <fill>
      <patternFill patternType="solid">
        <fgColor theme="2" tint="-0.749992370372631"/>
        <bgColor indexed="64"/>
      </patternFill>
    </fill>
    <fill>
      <patternFill patternType="solid">
        <fgColor theme="6" tint="-0.249977111117893"/>
        <bgColor indexed="64"/>
      </patternFill>
    </fill>
    <fill>
      <patternFill patternType="solid">
        <fgColor rgb="FFFFFF00"/>
        <bgColor indexed="64"/>
      </patternFill>
    </fill>
    <fill>
      <patternFill patternType="solid">
        <fgColor theme="3" tint="0.39994506668294322"/>
        <bgColor indexed="64"/>
      </patternFill>
    </fill>
    <fill>
      <patternFill patternType="solid">
        <fgColor theme="3" tint="0.59996337778862885"/>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3" tint="0.79998168889431442"/>
        <bgColor indexed="64"/>
      </patternFill>
    </fill>
    <fill>
      <patternFill patternType="solid">
        <fgColor theme="0" tint="-0.249977111117893"/>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rgb="FF007C3E"/>
      </left>
      <right style="thin">
        <color rgb="FF007C3E"/>
      </right>
      <top style="thin">
        <color theme="0"/>
      </top>
      <bottom style="thin">
        <color theme="0"/>
      </bottom>
      <diagonal/>
    </border>
    <border>
      <left style="thin">
        <color rgb="FF007C3E"/>
      </left>
      <right style="thin">
        <color rgb="FF007C3E"/>
      </right>
      <top style="thin">
        <color theme="0"/>
      </top>
      <bottom style="thin">
        <color theme="0"/>
      </bottom>
      <diagonal/>
    </border>
    <border>
      <left style="double">
        <color rgb="FF007C3E"/>
      </left>
      <right style="thin">
        <color rgb="FF007C3E"/>
      </right>
      <top style="thin">
        <color theme="0"/>
      </top>
      <bottom style="double">
        <color rgb="FF007C3E"/>
      </bottom>
      <diagonal/>
    </border>
    <border>
      <left style="thin">
        <color rgb="FF007C3E"/>
      </left>
      <right style="thin">
        <color rgb="FF007C3E"/>
      </right>
      <top style="thin">
        <color theme="0"/>
      </top>
      <bottom style="double">
        <color rgb="FF007C3E"/>
      </bottom>
      <diagonal/>
    </border>
    <border>
      <left style="medium">
        <color theme="2" tint="-0.749961851863155"/>
      </left>
      <right/>
      <top style="medium">
        <color theme="2" tint="-0.749961851863155"/>
      </top>
      <bottom style="medium">
        <color theme="2" tint="-0.749961851863155"/>
      </bottom>
      <diagonal/>
    </border>
    <border>
      <left/>
      <right style="medium">
        <color theme="2" tint="-0.749961851863155"/>
      </right>
      <top style="medium">
        <color theme="2" tint="-0.749961851863155"/>
      </top>
      <bottom style="medium">
        <color theme="2" tint="-0.749961851863155"/>
      </bottom>
      <diagonal/>
    </border>
    <border>
      <left style="thin">
        <color indexed="64"/>
      </left>
      <right style="thin">
        <color rgb="FFCE053C"/>
      </right>
      <top style="thin">
        <color indexed="64"/>
      </top>
      <bottom style="thin">
        <color indexed="64"/>
      </bottom>
      <diagonal/>
    </border>
    <border>
      <left/>
      <right style="thin">
        <color rgb="FFCE053C"/>
      </right>
      <top style="thin">
        <color indexed="64"/>
      </top>
      <bottom style="thin">
        <color indexed="64"/>
      </bottom>
      <diagonal/>
    </border>
    <border>
      <left style="thin">
        <color rgb="FFCE053C"/>
      </left>
      <right style="thin">
        <color rgb="FFCE053C"/>
      </right>
      <top style="thin">
        <color indexed="64"/>
      </top>
      <bottom style="thin">
        <color indexed="64"/>
      </bottom>
      <diagonal/>
    </border>
    <border>
      <left style="thin">
        <color rgb="FFCE053C"/>
      </left>
      <right style="thin">
        <color indexed="64"/>
      </right>
      <top style="thin">
        <color indexed="64"/>
      </top>
      <bottom style="thin">
        <color indexed="64"/>
      </bottom>
      <diagonal/>
    </border>
    <border>
      <left style="double">
        <color rgb="FF007C3E"/>
      </left>
      <right/>
      <top style="double">
        <color rgb="FF007C3E"/>
      </top>
      <bottom style="double">
        <color rgb="FF007C3E"/>
      </bottom>
      <diagonal/>
    </border>
    <border>
      <left/>
      <right/>
      <top style="double">
        <color rgb="FF007C3E"/>
      </top>
      <bottom style="double">
        <color rgb="FF007C3E"/>
      </bottom>
      <diagonal/>
    </border>
    <border>
      <left/>
      <right style="thin">
        <color rgb="FF007C3E"/>
      </right>
      <top style="double">
        <color rgb="FF007C3E"/>
      </top>
      <bottom style="double">
        <color rgb="FF007C3E"/>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right/>
      <top style="double">
        <color rgb="FF007C3E"/>
      </top>
      <bottom style="medium">
        <color rgb="FF007C3E"/>
      </bottom>
      <diagonal/>
    </border>
    <border>
      <left/>
      <right style="double">
        <color rgb="FF007C3E"/>
      </right>
      <top style="double">
        <color rgb="FF007C3E"/>
      </top>
      <bottom style="medium">
        <color rgb="FF007C3E"/>
      </bottom>
      <diagonal/>
    </border>
    <border>
      <left style="double">
        <color rgb="FF007C3E"/>
      </left>
      <right/>
      <top style="thin">
        <color theme="0"/>
      </top>
      <bottom style="thin">
        <color theme="0"/>
      </bottom>
      <diagonal/>
    </border>
    <border>
      <left/>
      <right style="thin">
        <color rgb="FF007C3E"/>
      </right>
      <top style="thin">
        <color theme="0"/>
      </top>
      <bottom style="thin">
        <color theme="0"/>
      </bottom>
      <diagonal/>
    </border>
    <border>
      <left style="thin">
        <color rgb="FF007C3E"/>
      </left>
      <right/>
      <top/>
      <bottom/>
      <diagonal/>
    </border>
    <border>
      <left style="thin">
        <color rgb="FF007C3E"/>
      </left>
      <right/>
      <top style="double">
        <color rgb="FF007C3E"/>
      </top>
      <bottom style="double">
        <color rgb="FF007C3E"/>
      </bottom>
      <diagonal/>
    </border>
    <border>
      <left style="double">
        <color rgb="FF007C3E"/>
      </left>
      <right/>
      <top style="thin">
        <color theme="0"/>
      </top>
      <bottom/>
      <diagonal/>
    </border>
    <border>
      <left/>
      <right style="thin">
        <color rgb="FF007C3E"/>
      </right>
      <top style="thin">
        <color theme="0"/>
      </top>
      <bottom/>
      <diagonal/>
    </border>
    <border>
      <left style="double">
        <color rgb="FF007C3E"/>
      </left>
      <right/>
      <top/>
      <bottom/>
      <diagonal/>
    </border>
    <border>
      <left style="double">
        <color rgb="FF007C3E"/>
      </left>
      <right/>
      <top/>
      <bottom style="thin">
        <color theme="0"/>
      </bottom>
      <diagonal/>
    </border>
    <border>
      <left/>
      <right style="thin">
        <color rgb="FF007C3E"/>
      </right>
      <top/>
      <bottom style="thin">
        <color theme="0"/>
      </bottom>
      <diagonal/>
    </border>
    <border>
      <left/>
      <right style="double">
        <color rgb="FF007C3E"/>
      </right>
      <top style="double">
        <color rgb="FF007C3E"/>
      </top>
      <bottom style="double">
        <color rgb="FF007C3E"/>
      </bottom>
      <diagonal/>
    </border>
    <border>
      <left style="thin">
        <color rgb="FF007C3E"/>
      </left>
      <right/>
      <top/>
      <bottom style="double">
        <color rgb="FF007C3E"/>
      </bottom>
      <diagonal/>
    </border>
    <border>
      <left/>
      <right/>
      <top/>
      <bottom style="double">
        <color rgb="FF007C3E"/>
      </bottom>
      <diagonal/>
    </border>
    <border>
      <left/>
      <right style="double">
        <color rgb="FF007C3E"/>
      </right>
      <top/>
      <bottom style="double">
        <color rgb="FF007C3E"/>
      </bottom>
      <diagonal/>
    </border>
    <border>
      <left style="thin">
        <color rgb="FF007C3E"/>
      </left>
      <right/>
      <top style="double">
        <color rgb="FF007C3E"/>
      </top>
      <bottom/>
      <diagonal/>
    </border>
    <border>
      <left/>
      <right/>
      <top style="double">
        <color rgb="FF007C3E"/>
      </top>
      <bottom/>
      <diagonal/>
    </border>
    <border>
      <left/>
      <right style="double">
        <color rgb="FF007C3E"/>
      </right>
      <top style="double">
        <color rgb="FF007C3E"/>
      </top>
      <bottom/>
      <diagonal/>
    </border>
    <border>
      <left/>
      <right style="thin">
        <color rgb="FF007C3E"/>
      </right>
      <top/>
      <bottom/>
      <diagonal/>
    </border>
    <border>
      <left style="double">
        <color rgb="FF007C3E"/>
      </left>
      <right/>
      <top style="double">
        <color rgb="FF007C3E"/>
      </top>
      <bottom style="thin">
        <color theme="0"/>
      </bottom>
      <diagonal/>
    </border>
    <border>
      <left/>
      <right style="thin">
        <color rgb="FF007C3E"/>
      </right>
      <top style="double">
        <color rgb="FF007C3E"/>
      </top>
      <bottom style="thin">
        <color theme="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uble">
        <color theme="6" tint="-0.24994659260841701"/>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thin">
        <color theme="2" tint="-0.89996032593768116"/>
      </left>
      <right/>
      <top style="thin">
        <color theme="2" tint="-0.89996032593768116"/>
      </top>
      <bottom style="thin">
        <color theme="2" tint="-0.89996032593768116"/>
      </bottom>
      <diagonal/>
    </border>
    <border>
      <left style="thin">
        <color theme="2" tint="-0.89996032593768116"/>
      </left>
      <right style="thin">
        <color theme="2" tint="-0.89996032593768116"/>
      </right>
      <top style="thin">
        <color theme="2" tint="-0.89996032593768116"/>
      </top>
      <bottom style="thin">
        <color theme="2" tint="-0.89996032593768116"/>
      </bottom>
      <diagonal/>
    </border>
    <border>
      <left style="thin">
        <color auto="1"/>
      </left>
      <right style="thin">
        <color auto="1"/>
      </right>
      <top style="thin">
        <color auto="1"/>
      </top>
      <bottom style="thin">
        <color auto="1"/>
      </bottom>
      <diagonal/>
    </border>
    <border>
      <left style="medium">
        <color theme="2" tint="-0.749961851863155"/>
      </left>
      <right/>
      <top/>
      <bottom style="medium">
        <color indexed="64"/>
      </bottom>
      <diagonal/>
    </border>
    <border>
      <left/>
      <right style="medium">
        <color indexed="64"/>
      </right>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indexed="59"/>
      </left>
      <right style="thin">
        <color indexed="59"/>
      </right>
      <top style="thin">
        <color indexed="59"/>
      </top>
      <bottom style="thin">
        <color indexed="59"/>
      </bottom>
      <diagonal/>
    </border>
    <border>
      <left style="thin">
        <color indexed="64"/>
      </left>
      <right style="thin">
        <color indexed="64"/>
      </right>
      <top style="thin">
        <color indexed="64"/>
      </top>
      <bottom/>
      <diagonal/>
    </border>
    <border>
      <left style="medium">
        <color indexed="64"/>
      </left>
      <right/>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s>
  <cellStyleXfs count="17">
    <xf numFmtId="0" fontId="0" fillId="0" borderId="0"/>
    <xf numFmtId="0" fontId="9" fillId="0" borderId="0" applyNumberFormat="0" applyFill="0" applyBorder="0" applyAlignment="0" applyProtection="0">
      <alignment vertical="top"/>
      <protection locked="0"/>
    </xf>
    <xf numFmtId="165" fontId="20" fillId="0" borderId="0" applyFont="0" applyFill="0" applyBorder="0" applyAlignment="0" applyProtection="0"/>
    <xf numFmtId="0" fontId="21" fillId="0" borderId="0" applyNumberFormat="0" applyFill="0" applyBorder="0" applyAlignment="0" applyProtection="0"/>
    <xf numFmtId="164" fontId="20" fillId="0" borderId="0" applyFont="0" applyFill="0" applyBorder="0" applyAlignment="0" applyProtection="0"/>
    <xf numFmtId="0" fontId="22" fillId="0" borderId="0"/>
    <xf numFmtId="0" fontId="20" fillId="0" borderId="0"/>
    <xf numFmtId="0" fontId="1" fillId="0" borderId="0"/>
    <xf numFmtId="0" fontId="20" fillId="0" borderId="0"/>
    <xf numFmtId="0" fontId="20" fillId="0" borderId="0"/>
    <xf numFmtId="0" fontId="20" fillId="0" borderId="0"/>
    <xf numFmtId="0" fontId="20" fillId="0" borderId="0"/>
    <xf numFmtId="9" fontId="19"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9" fillId="0" borderId="0"/>
    <xf numFmtId="164" fontId="19" fillId="0" borderId="0" applyFont="0" applyFill="0" applyBorder="0" applyAlignment="0" applyProtection="0"/>
  </cellStyleXfs>
  <cellXfs count="838">
    <xf numFmtId="0" fontId="0" fillId="0" borderId="0" xfId="0"/>
    <xf numFmtId="0" fontId="0" fillId="0" borderId="0" xfId="0"/>
    <xf numFmtId="0" fontId="0" fillId="8" borderId="0" xfId="0" applyFill="1"/>
    <xf numFmtId="0" fontId="0" fillId="7" borderId="2" xfId="0" applyFill="1" applyBorder="1"/>
    <xf numFmtId="0" fontId="0" fillId="7" borderId="3" xfId="0" applyFill="1" applyBorder="1"/>
    <xf numFmtId="0" fontId="0" fillId="7" borderId="4" xfId="0" applyFill="1" applyBorder="1"/>
    <xf numFmtId="0" fontId="0" fillId="7" borderId="5" xfId="0" applyFill="1" applyBorder="1"/>
    <xf numFmtId="0" fontId="0" fillId="7" borderId="6" xfId="0" applyFill="1" applyBorder="1"/>
    <xf numFmtId="0" fontId="0" fillId="7" borderId="0" xfId="0" applyFill="1" applyBorder="1"/>
    <xf numFmtId="49" fontId="0" fillId="7" borderId="0" xfId="0" applyNumberFormat="1" applyFill="1" applyBorder="1" applyAlignment="1">
      <alignment vertical="center" wrapText="1"/>
    </xf>
    <xf numFmtId="0" fontId="0" fillId="3" borderId="2" xfId="0" applyFill="1" applyBorder="1"/>
    <xf numFmtId="49" fontId="0" fillId="3" borderId="8" xfId="0" applyNumberFormat="1" applyFill="1" applyBorder="1" applyAlignment="1">
      <alignment vertical="center" wrapText="1"/>
    </xf>
    <xf numFmtId="49" fontId="0" fillId="3" borderId="8" xfId="0" applyNumberFormat="1" applyFill="1" applyBorder="1" applyAlignment="1">
      <alignment horizontal="right" vertical="center" wrapText="1"/>
    </xf>
    <xf numFmtId="0" fontId="0" fillId="3" borderId="8" xfId="0" applyFill="1" applyBorder="1"/>
    <xf numFmtId="0" fontId="0" fillId="3" borderId="3" xfId="0" applyFill="1" applyBorder="1"/>
    <xf numFmtId="0" fontId="0" fillId="3" borderId="4" xfId="0" applyFill="1" applyBorder="1"/>
    <xf numFmtId="0" fontId="4" fillId="2" borderId="0" xfId="0" applyFont="1" applyFill="1" applyBorder="1" applyAlignment="1">
      <alignment vertical="center" wrapText="1"/>
    </xf>
    <xf numFmtId="0" fontId="0" fillId="3" borderId="5" xfId="0" applyNumberFormat="1" applyFill="1" applyBorder="1" applyAlignment="1">
      <alignment horizontal="justify" vertical="top" wrapText="1"/>
    </xf>
    <xf numFmtId="0" fontId="5" fillId="4" borderId="0" xfId="0" applyNumberFormat="1" applyFont="1" applyFill="1" applyBorder="1" applyAlignment="1">
      <alignment vertical="top" wrapText="1"/>
    </xf>
    <xf numFmtId="0" fontId="0" fillId="3" borderId="4" xfId="0" applyFill="1" applyBorder="1" applyAlignment="1">
      <alignment horizontal="center" vertical="center"/>
    </xf>
    <xf numFmtId="0" fontId="0" fillId="3" borderId="5" xfId="0" applyNumberFormat="1" applyFill="1" applyBorder="1" applyAlignment="1">
      <alignment horizontal="center" vertical="center" wrapText="1"/>
    </xf>
    <xf numFmtId="0" fontId="7" fillId="3" borderId="0" xfId="0" applyFont="1" applyFill="1" applyBorder="1" applyAlignment="1">
      <alignment vertical="center" wrapText="1"/>
    </xf>
    <xf numFmtId="0" fontId="5" fillId="3" borderId="0" xfId="0" applyNumberFormat="1" applyFont="1" applyFill="1" applyBorder="1" applyAlignment="1">
      <alignment horizontal="center" vertical="center" wrapText="1"/>
    </xf>
    <xf numFmtId="0" fontId="7" fillId="0" borderId="0" xfId="0" applyFont="1" applyFill="1" applyBorder="1" applyAlignment="1">
      <alignment vertical="center" wrapText="1"/>
    </xf>
    <xf numFmtId="0" fontId="7" fillId="2" borderId="0" xfId="0" applyFont="1" applyFill="1" applyBorder="1" applyAlignment="1">
      <alignment vertical="center" wrapText="1"/>
    </xf>
    <xf numFmtId="0" fontId="5" fillId="2" borderId="0" xfId="0" applyNumberFormat="1" applyFont="1" applyFill="1" applyBorder="1" applyAlignment="1">
      <alignment horizontal="center" vertical="center" wrapText="1"/>
    </xf>
    <xf numFmtId="0" fontId="0" fillId="2" borderId="0" xfId="0" applyFill="1" applyBorder="1"/>
    <xf numFmtId="0" fontId="7" fillId="2" borderId="0" xfId="0" applyFont="1" applyFill="1" applyBorder="1" applyAlignment="1">
      <alignment horizontal="left" vertical="center" wrapText="1"/>
    </xf>
    <xf numFmtId="0" fontId="0" fillId="3" borderId="6" xfId="0" applyFill="1" applyBorder="1" applyAlignment="1">
      <alignment horizontal="center" vertical="center"/>
    </xf>
    <xf numFmtId="0" fontId="10" fillId="3" borderId="9" xfId="0" applyNumberFormat="1" applyFont="1" applyFill="1" applyBorder="1" applyAlignment="1">
      <alignment horizontal="center" vertical="center" wrapText="1"/>
    </xf>
    <xf numFmtId="0" fontId="5" fillId="3" borderId="9" xfId="0" applyNumberFormat="1" applyFont="1" applyFill="1" applyBorder="1" applyAlignment="1">
      <alignment horizontal="center" vertical="center" wrapText="1"/>
    </xf>
    <xf numFmtId="0" fontId="0" fillId="3" borderId="7" xfId="0" applyNumberFormat="1" applyFill="1" applyBorder="1" applyAlignment="1">
      <alignment horizontal="center" vertical="center" wrapText="1"/>
    </xf>
    <xf numFmtId="0" fontId="0" fillId="7" borderId="8" xfId="0" applyFill="1" applyBorder="1"/>
    <xf numFmtId="0" fontId="0" fillId="7" borderId="8" xfId="0" applyFill="1" applyBorder="1" applyAlignment="1">
      <alignment horizontal="right"/>
    </xf>
    <xf numFmtId="49" fontId="0" fillId="7" borderId="8" xfId="0" applyNumberFormat="1" applyFill="1" applyBorder="1" applyAlignment="1">
      <alignment vertical="center" wrapText="1"/>
    </xf>
    <xf numFmtId="0" fontId="0" fillId="7" borderId="0" xfId="0" applyFill="1" applyBorder="1" applyAlignment="1">
      <alignment horizontal="right"/>
    </xf>
    <xf numFmtId="0" fontId="11" fillId="7" borderId="0" xfId="0" applyFont="1" applyFill="1" applyBorder="1"/>
    <xf numFmtId="0" fontId="12" fillId="7" borderId="0" xfId="0" applyFont="1" applyFill="1" applyBorder="1"/>
    <xf numFmtId="0" fontId="13" fillId="7" borderId="0" xfId="0" applyFont="1" applyFill="1" applyBorder="1" applyAlignment="1">
      <alignment vertical="center"/>
    </xf>
    <xf numFmtId="0" fontId="13" fillId="7" borderId="0" xfId="0" applyFont="1" applyFill="1" applyBorder="1" applyAlignment="1">
      <alignment horizontal="center" vertical="center"/>
    </xf>
    <xf numFmtId="49" fontId="0" fillId="7" borderId="0" xfId="0" applyNumberFormat="1" applyFill="1" applyBorder="1" applyAlignment="1">
      <alignment horizontal="right"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0" fillId="7" borderId="0" xfId="0" applyFill="1" applyBorder="1" applyAlignment="1">
      <alignment horizontal="center" vertical="center"/>
    </xf>
    <xf numFmtId="49" fontId="0" fillId="7" borderId="0" xfId="0" applyNumberFormat="1" applyFill="1" applyBorder="1" applyAlignment="1">
      <alignment horizontal="center" vertical="center" wrapText="1"/>
    </xf>
    <xf numFmtId="0" fontId="9" fillId="7" borderId="0" xfId="1" applyFill="1" applyBorder="1" applyAlignment="1" applyProtection="1">
      <alignment horizontal="center" vertical="center"/>
    </xf>
    <xf numFmtId="0" fontId="0" fillId="7" borderId="9" xfId="0" applyFill="1" applyBorder="1"/>
    <xf numFmtId="0" fontId="0" fillId="7" borderId="7" xfId="0" applyFill="1" applyBorder="1"/>
    <xf numFmtId="0" fontId="16" fillId="7" borderId="0" xfId="0" applyFont="1" applyFill="1" applyBorder="1" applyAlignment="1">
      <alignment horizontal="center" wrapText="1"/>
    </xf>
    <xf numFmtId="0" fontId="0" fillId="10" borderId="0" xfId="0" applyFill="1"/>
    <xf numFmtId="0" fontId="0" fillId="0" borderId="0" xfId="0"/>
    <xf numFmtId="0" fontId="0" fillId="0" borderId="0" xfId="0" applyProtection="1"/>
    <xf numFmtId="0" fontId="0" fillId="7" borderId="0" xfId="0" applyFill="1" applyProtection="1"/>
    <xf numFmtId="0" fontId="0" fillId="7" borderId="0" xfId="0" applyFill="1"/>
    <xf numFmtId="0" fontId="0" fillId="7" borderId="0" xfId="0" applyFont="1" applyFill="1" applyProtection="1"/>
    <xf numFmtId="0" fontId="3" fillId="7" borderId="0" xfId="0" applyFont="1" applyFill="1" applyAlignment="1" applyProtection="1">
      <alignment horizontal="center" vertical="center" wrapText="1"/>
    </xf>
    <xf numFmtId="0" fontId="16" fillId="7" borderId="0" xfId="0" applyFont="1" applyFill="1" applyAlignment="1" applyProtection="1">
      <alignment vertical="center" wrapText="1"/>
    </xf>
    <xf numFmtId="0" fontId="13" fillId="7" borderId="0" xfId="0" applyFont="1" applyFill="1" applyAlignment="1" applyProtection="1">
      <alignment horizontal="center" vertical="center" wrapText="1"/>
    </xf>
    <xf numFmtId="0" fontId="0" fillId="9" borderId="25" xfId="0" applyFill="1" applyBorder="1" applyProtection="1"/>
    <xf numFmtId="0" fontId="0" fillId="9" borderId="27" xfId="0" applyFill="1" applyBorder="1" applyProtection="1"/>
    <xf numFmtId="0" fontId="0" fillId="7" borderId="2" xfId="0" applyFill="1" applyBorder="1" applyProtection="1"/>
    <xf numFmtId="0" fontId="0" fillId="7" borderId="3" xfId="0" applyFill="1" applyBorder="1" applyProtection="1"/>
    <xf numFmtId="0" fontId="0" fillId="7" borderId="4" xfId="0" applyFill="1" applyBorder="1" applyProtection="1"/>
    <xf numFmtId="0" fontId="0" fillId="7" borderId="0" xfId="0" applyFill="1" applyBorder="1" applyAlignment="1" applyProtection="1">
      <alignment horizontal="justify" vertical="center" wrapText="1"/>
    </xf>
    <xf numFmtId="0" fontId="0" fillId="7" borderId="5" xfId="0" applyFill="1" applyBorder="1" applyProtection="1"/>
    <xf numFmtId="0" fontId="0" fillId="7" borderId="6" xfId="0" applyFill="1" applyBorder="1" applyProtection="1"/>
    <xf numFmtId="0" fontId="0" fillId="7" borderId="9" xfId="0" applyFill="1" applyBorder="1" applyAlignment="1" applyProtection="1">
      <alignment horizontal="justify" vertical="center" wrapText="1"/>
    </xf>
    <xf numFmtId="0" fontId="0" fillId="7" borderId="7" xfId="0" applyFill="1" applyBorder="1" applyProtection="1"/>
    <xf numFmtId="0" fontId="3" fillId="7" borderId="0" xfId="0" applyFont="1" applyFill="1" applyAlignment="1" applyProtection="1">
      <alignment wrapText="1"/>
    </xf>
    <xf numFmtId="0" fontId="0" fillId="9" borderId="25" xfId="0" applyFill="1" applyBorder="1" applyAlignment="1" applyProtection="1">
      <alignment wrapText="1"/>
    </xf>
    <xf numFmtId="0" fontId="0" fillId="7" borderId="0" xfId="0" applyFill="1" applyProtection="1"/>
    <xf numFmtId="0" fontId="0" fillId="7" borderId="0" xfId="0" applyFill="1"/>
    <xf numFmtId="0" fontId="16" fillId="7" borderId="0" xfId="0" applyFont="1" applyFill="1" applyAlignment="1" applyProtection="1">
      <alignment vertical="center" wrapText="1"/>
    </xf>
    <xf numFmtId="0" fontId="13" fillId="7" borderId="0" xfId="0" applyFont="1" applyFill="1" applyAlignment="1" applyProtection="1">
      <alignment horizontal="center" vertical="center" wrapText="1"/>
    </xf>
    <xf numFmtId="0" fontId="0" fillId="11" borderId="0" xfId="0" applyFill="1"/>
    <xf numFmtId="0" fontId="17" fillId="11" borderId="0" xfId="1" applyFont="1" applyFill="1" applyBorder="1" applyAlignment="1" applyProtection="1">
      <alignment horizontal="center" vertical="center" wrapText="1"/>
    </xf>
    <xf numFmtId="0" fontId="0" fillId="11" borderId="0" xfId="0" applyFill="1" applyBorder="1" applyAlignment="1" applyProtection="1">
      <alignment horizontal="left" vertical="center" wrapText="1"/>
    </xf>
    <xf numFmtId="0" fontId="0" fillId="7" borderId="52" xfId="0" applyFill="1" applyBorder="1" applyProtection="1"/>
    <xf numFmtId="0" fontId="3" fillId="7" borderId="0" xfId="0" applyFont="1" applyFill="1" applyAlignment="1" applyProtection="1">
      <alignment horizontal="center" vertical="center" wrapText="1"/>
    </xf>
    <xf numFmtId="0" fontId="0" fillId="7" borderId="0" xfId="0" applyFill="1" applyBorder="1" applyProtection="1">
      <protection locked="0"/>
    </xf>
    <xf numFmtId="0" fontId="0" fillId="7" borderId="0" xfId="0" applyFill="1" applyBorder="1" applyAlignment="1" applyProtection="1">
      <alignment horizontal="right"/>
      <protection locked="0"/>
    </xf>
    <xf numFmtId="0" fontId="0" fillId="0" borderId="0" xfId="0"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2" fontId="0" fillId="0" borderId="0" xfId="0" applyNumberFormat="1"/>
    <xf numFmtId="164" fontId="0" fillId="0" borderId="0" xfId="13" applyFont="1"/>
    <xf numFmtId="167" fontId="0" fillId="0" borderId="0" xfId="0" applyNumberFormat="1"/>
    <xf numFmtId="10" fontId="0" fillId="0" borderId="0" xfId="0" applyNumberFormat="1" applyProtection="1"/>
    <xf numFmtId="0" fontId="3" fillId="0" borderId="0" xfId="0" applyFont="1" applyProtection="1"/>
    <xf numFmtId="4" fontId="0" fillId="0" borderId="0" xfId="0" applyNumberFormat="1" applyProtection="1"/>
    <xf numFmtId="4" fontId="28" fillId="7" borderId="1" xfId="0" applyNumberFormat="1" applyFont="1" applyFill="1" applyBorder="1" applyAlignment="1" applyProtection="1">
      <alignment horizontal="center" vertical="center" wrapText="1"/>
      <protection locked="0"/>
    </xf>
    <xf numFmtId="10" fontId="28" fillId="7" borderId="1" xfId="0" applyNumberFormat="1" applyFont="1" applyFill="1" applyBorder="1" applyAlignment="1" applyProtection="1">
      <alignment horizontal="center" vertical="center" wrapText="1"/>
      <protection locked="0"/>
    </xf>
    <xf numFmtId="0" fontId="0" fillId="17" borderId="51" xfId="0" applyFill="1" applyBorder="1" applyAlignment="1" applyProtection="1">
      <alignment vertical="center"/>
    </xf>
    <xf numFmtId="4" fontId="0" fillId="17" borderId="51" xfId="0" applyNumberFormat="1" applyFill="1" applyBorder="1" applyAlignment="1" applyProtection="1">
      <alignment horizontal="center" vertical="center"/>
    </xf>
    <xf numFmtId="10" fontId="0" fillId="17" borderId="51" xfId="0" applyNumberFormat="1" applyFill="1" applyBorder="1" applyAlignment="1" applyProtection="1">
      <alignment horizontal="center" vertical="center"/>
    </xf>
    <xf numFmtId="171" fontId="0" fillId="17" borderId="74" xfId="14" applyNumberFormat="1" applyFont="1" applyFill="1" applyBorder="1" applyAlignment="1" applyProtection="1">
      <alignment horizontal="center" vertical="center"/>
    </xf>
    <xf numFmtId="0" fontId="0" fillId="17" borderId="1" xfId="0" applyFill="1" applyBorder="1" applyAlignment="1" applyProtection="1">
      <alignment vertical="center"/>
    </xf>
    <xf numFmtId="4" fontId="0" fillId="17" borderId="1" xfId="0" applyNumberFormat="1" applyFill="1" applyBorder="1" applyAlignment="1" applyProtection="1">
      <alignment horizontal="center" vertical="center"/>
    </xf>
    <xf numFmtId="10" fontId="0" fillId="17" borderId="1" xfId="0" applyNumberFormat="1" applyFill="1" applyBorder="1" applyAlignment="1" applyProtection="1">
      <alignment horizontal="center" vertical="center"/>
    </xf>
    <xf numFmtId="171" fontId="0" fillId="17" borderId="65" xfId="14" applyNumberFormat="1" applyFont="1" applyFill="1" applyBorder="1" applyAlignment="1" applyProtection="1">
      <alignment horizontal="center" vertical="center"/>
    </xf>
    <xf numFmtId="4" fontId="0" fillId="17" borderId="50" xfId="0" applyNumberFormat="1" applyFill="1" applyBorder="1" applyAlignment="1" applyProtection="1">
      <alignment horizontal="center" vertical="center"/>
    </xf>
    <xf numFmtId="10" fontId="0" fillId="17" borderId="50" xfId="0" applyNumberFormat="1" applyFill="1" applyBorder="1" applyAlignment="1" applyProtection="1">
      <alignment horizontal="center" vertical="center"/>
    </xf>
    <xf numFmtId="171" fontId="0" fillId="17" borderId="71" xfId="14" applyNumberFormat="1" applyFont="1" applyFill="1" applyBorder="1" applyAlignment="1" applyProtection="1">
      <alignment horizontal="center" vertical="center"/>
    </xf>
    <xf numFmtId="4" fontId="3" fillId="17" borderId="67" xfId="0" applyNumberFormat="1" applyFont="1" applyFill="1" applyBorder="1" applyAlignment="1" applyProtection="1">
      <alignment horizontal="center" vertical="center"/>
    </xf>
    <xf numFmtId="4" fontId="0" fillId="17" borderId="65" xfId="0" applyNumberFormat="1" applyFill="1" applyBorder="1" applyAlignment="1" applyProtection="1">
      <alignment horizontal="center" vertical="center"/>
    </xf>
    <xf numFmtId="4" fontId="3" fillId="17" borderId="73" xfId="0" applyNumberFormat="1" applyFont="1" applyFill="1" applyBorder="1" applyAlignment="1" applyProtection="1">
      <alignment horizontal="center" vertical="center"/>
    </xf>
    <xf numFmtId="4" fontId="0" fillId="17" borderId="74" xfId="0" applyNumberFormat="1" applyFill="1" applyBorder="1" applyAlignment="1" applyProtection="1">
      <alignment horizontal="center" vertical="center"/>
    </xf>
    <xf numFmtId="4" fontId="3" fillId="17" borderId="72" xfId="0" applyNumberFormat="1" applyFont="1" applyFill="1" applyBorder="1" applyAlignment="1" applyProtection="1">
      <alignment horizontal="center" vertical="center"/>
    </xf>
    <xf numFmtId="4" fontId="0" fillId="17" borderId="71" xfId="0" applyNumberFormat="1" applyFill="1" applyBorder="1" applyAlignment="1" applyProtection="1">
      <alignment horizontal="center" vertical="center"/>
    </xf>
    <xf numFmtId="10" fontId="0" fillId="17" borderId="74" xfId="0" applyNumberFormat="1" applyFill="1" applyBorder="1" applyAlignment="1" applyProtection="1">
      <alignment horizontal="center" vertical="center"/>
    </xf>
    <xf numFmtId="0" fontId="23" fillId="0" borderId="1" xfId="0" applyFont="1" applyFill="1" applyBorder="1" applyAlignment="1" applyProtection="1">
      <alignment horizontal="center" vertical="center" wrapText="1"/>
      <protection locked="0"/>
    </xf>
    <xf numFmtId="0" fontId="0" fillId="17" borderId="1" xfId="0" applyFill="1" applyBorder="1" applyAlignment="1" applyProtection="1">
      <alignment horizontal="center" vertical="center" wrapText="1"/>
    </xf>
    <xf numFmtId="4" fontId="0" fillId="17" borderId="1" xfId="0" applyNumberFormat="1" applyFill="1" applyBorder="1" applyAlignment="1" applyProtection="1">
      <alignment horizontal="center" vertical="center" wrapText="1"/>
    </xf>
    <xf numFmtId="2" fontId="3" fillId="15" borderId="1" xfId="0" applyNumberFormat="1" applyFont="1" applyFill="1" applyBorder="1" applyAlignment="1" applyProtection="1">
      <alignment horizontal="center" vertical="center"/>
    </xf>
    <xf numFmtId="171" fontId="3" fillId="15" borderId="1" xfId="0" applyNumberFormat="1" applyFont="1" applyFill="1" applyBorder="1" applyAlignment="1" applyProtection="1">
      <alignment horizontal="center" vertical="center"/>
    </xf>
    <xf numFmtId="171" fontId="3" fillId="15" borderId="65" xfId="0" applyNumberFormat="1" applyFont="1" applyFill="1" applyBorder="1" applyAlignment="1" applyProtection="1">
      <alignment horizontal="center" vertical="center"/>
    </xf>
    <xf numFmtId="0" fontId="0" fillId="17" borderId="67" xfId="0" applyFill="1" applyBorder="1" applyAlignment="1" applyProtection="1">
      <alignment vertical="center" wrapText="1"/>
    </xf>
    <xf numFmtId="2" fontId="40" fillId="18" borderId="83" xfId="0" applyNumberFormat="1" applyFont="1" applyFill="1" applyBorder="1" applyAlignment="1" applyProtection="1">
      <alignment horizontal="center" vertical="center"/>
    </xf>
    <xf numFmtId="171" fontId="40" fillId="18" borderId="83" xfId="0" applyNumberFormat="1" applyFont="1" applyFill="1" applyBorder="1" applyAlignment="1" applyProtection="1">
      <alignment horizontal="center" vertical="center"/>
    </xf>
    <xf numFmtId="171" fontId="40" fillId="18" borderId="84" xfId="0" applyNumberFormat="1" applyFont="1" applyFill="1" applyBorder="1" applyAlignment="1" applyProtection="1">
      <alignment horizontal="center" vertical="center"/>
    </xf>
    <xf numFmtId="2" fontId="3" fillId="15" borderId="69" xfId="0" applyNumberFormat="1" applyFont="1" applyFill="1" applyBorder="1" applyAlignment="1" applyProtection="1">
      <alignment horizontal="center" vertical="center"/>
    </xf>
    <xf numFmtId="171" fontId="3" fillId="15" borderId="69" xfId="0" applyNumberFormat="1" applyFont="1" applyFill="1" applyBorder="1" applyAlignment="1" applyProtection="1">
      <alignment horizontal="center" vertical="center"/>
    </xf>
    <xf numFmtId="171" fontId="3" fillId="15" borderId="66" xfId="0" applyNumberFormat="1" applyFont="1" applyFill="1" applyBorder="1" applyAlignment="1" applyProtection="1">
      <alignment horizontal="center" vertical="center"/>
    </xf>
    <xf numFmtId="0" fontId="0" fillId="16" borderId="75" xfId="0" applyFill="1" applyBorder="1" applyAlignment="1" applyProtection="1">
      <alignment horizontal="center" vertical="center"/>
    </xf>
    <xf numFmtId="0" fontId="0" fillId="16" borderId="53" xfId="0" applyFill="1" applyBorder="1" applyAlignment="1" applyProtection="1">
      <alignment horizontal="center" vertical="center"/>
    </xf>
    <xf numFmtId="0" fontId="40" fillId="15" borderId="1" xfId="0" applyFont="1" applyFill="1" applyBorder="1" applyAlignment="1" applyProtection="1">
      <alignment vertical="center"/>
    </xf>
    <xf numFmtId="4" fontId="40" fillId="15" borderId="1" xfId="0" applyNumberFormat="1" applyFont="1" applyFill="1" applyBorder="1" applyAlignment="1" applyProtection="1">
      <alignment horizontal="center" vertical="center"/>
    </xf>
    <xf numFmtId="10" fontId="40" fillId="15" borderId="1" xfId="0" applyNumberFormat="1" applyFont="1" applyFill="1" applyBorder="1" applyAlignment="1" applyProtection="1">
      <alignment horizontal="center" vertical="center"/>
    </xf>
    <xf numFmtId="0" fontId="40" fillId="15" borderId="50" xfId="0" applyFont="1" applyFill="1" applyBorder="1" applyAlignment="1" applyProtection="1">
      <alignment vertical="center"/>
    </xf>
    <xf numFmtId="4" fontId="40" fillId="15" borderId="50" xfId="0" applyNumberFormat="1" applyFont="1" applyFill="1" applyBorder="1" applyAlignment="1" applyProtection="1">
      <alignment horizontal="center" vertical="center"/>
    </xf>
    <xf numFmtId="10" fontId="40" fillId="15" borderId="50" xfId="0" applyNumberFormat="1" applyFont="1" applyFill="1" applyBorder="1" applyAlignment="1" applyProtection="1">
      <alignment horizontal="center" vertical="center"/>
    </xf>
    <xf numFmtId="0" fontId="26" fillId="0" borderId="0" xfId="0" applyFont="1" applyProtection="1"/>
    <xf numFmtId="0" fontId="40" fillId="18" borderId="59" xfId="0" applyFont="1" applyFill="1" applyBorder="1" applyAlignment="1" applyProtection="1">
      <alignment vertical="center"/>
    </xf>
    <xf numFmtId="0" fontId="40" fillId="18" borderId="58" xfId="0" applyFont="1" applyFill="1" applyBorder="1" applyAlignment="1" applyProtection="1">
      <alignment vertical="center"/>
    </xf>
    <xf numFmtId="0" fontId="40" fillId="18" borderId="54" xfId="0" applyFont="1" applyFill="1" applyBorder="1" applyAlignment="1" applyProtection="1">
      <alignment vertical="center"/>
    </xf>
    <xf numFmtId="10" fontId="28" fillId="0" borderId="1" xfId="0" applyNumberFormat="1" applyFont="1" applyFill="1" applyBorder="1" applyAlignment="1" applyProtection="1">
      <alignment horizontal="center" vertical="center" wrapText="1"/>
      <protection locked="0"/>
    </xf>
    <xf numFmtId="0" fontId="46" fillId="16" borderId="67" xfId="0" applyNumberFormat="1" applyFont="1" applyFill="1" applyBorder="1" applyAlignment="1" applyProtection="1">
      <alignment horizontal="left" vertical="center" wrapText="1"/>
    </xf>
    <xf numFmtId="0" fontId="46" fillId="16" borderId="68" xfId="0" applyNumberFormat="1" applyFont="1" applyFill="1" applyBorder="1" applyAlignment="1" applyProtection="1">
      <alignment horizontal="left" vertical="center" wrapText="1"/>
    </xf>
    <xf numFmtId="0" fontId="46" fillId="16" borderId="69" xfId="0" applyNumberFormat="1" applyFont="1" applyFill="1" applyBorder="1" applyAlignment="1" applyProtection="1">
      <alignment horizontal="left" vertical="center" wrapText="1"/>
    </xf>
    <xf numFmtId="0" fontId="46" fillId="16" borderId="73" xfId="0" applyNumberFormat="1" applyFont="1" applyFill="1" applyBorder="1" applyAlignment="1" applyProtection="1">
      <alignment horizontal="left" vertical="center" wrapText="1"/>
    </xf>
    <xf numFmtId="0" fontId="46" fillId="16" borderId="51" xfId="0" applyNumberFormat="1" applyFont="1" applyFill="1" applyBorder="1" applyAlignment="1" applyProtection="1">
      <alignment horizontal="left" vertical="center" wrapText="1"/>
    </xf>
    <xf numFmtId="4" fontId="23" fillId="0" borderId="1" xfId="0" applyNumberFormat="1" applyFont="1" applyFill="1" applyBorder="1" applyAlignment="1" applyProtection="1">
      <alignment horizontal="center" vertical="center"/>
      <protection locked="0"/>
    </xf>
    <xf numFmtId="4" fontId="23" fillId="0" borderId="1" xfId="0" applyNumberFormat="1" applyFont="1" applyFill="1" applyBorder="1" applyAlignment="1" applyProtection="1">
      <alignment horizontal="center" vertical="center" wrapText="1"/>
      <protection locked="0"/>
    </xf>
    <xf numFmtId="0" fontId="46" fillId="16" borderId="1" xfId="0" applyNumberFormat="1" applyFont="1" applyFill="1" applyBorder="1" applyAlignment="1" applyProtection="1">
      <alignment horizontal="center" vertical="center" wrapText="1"/>
    </xf>
    <xf numFmtId="0" fontId="17" fillId="16" borderId="1" xfId="1" applyFont="1" applyFill="1" applyBorder="1" applyAlignment="1" applyProtection="1">
      <alignment horizontal="center" vertical="center" wrapText="1"/>
    </xf>
    <xf numFmtId="0" fontId="0" fillId="7" borderId="0" xfId="0" applyFill="1" applyBorder="1" applyProtection="1"/>
    <xf numFmtId="0" fontId="0" fillId="0" borderId="0" xfId="0" applyBorder="1" applyProtection="1"/>
    <xf numFmtId="0" fontId="2" fillId="0" borderId="0" xfId="0" applyFont="1" applyProtection="1"/>
    <xf numFmtId="0" fontId="2" fillId="7" borderId="0" xfId="0" applyFont="1" applyFill="1" applyProtection="1"/>
    <xf numFmtId="0" fontId="2" fillId="7" borderId="0" xfId="0" applyFont="1" applyFill="1" applyAlignment="1" applyProtection="1">
      <alignment horizontal="center" vertical="center"/>
    </xf>
    <xf numFmtId="0" fontId="2" fillId="7" borderId="0" xfId="0" applyFont="1" applyFill="1" applyAlignment="1" applyProtection="1">
      <alignment horizontal="center" vertical="center" wrapText="1"/>
    </xf>
    <xf numFmtId="0" fontId="2" fillId="7" borderId="0" xfId="0" applyFont="1" applyFill="1" applyAlignment="1" applyProtection="1">
      <alignment wrapText="1"/>
    </xf>
    <xf numFmtId="0" fontId="2" fillId="0" borderId="0" xfId="0" applyFont="1" applyAlignment="1" applyProtection="1">
      <alignment wrapText="1"/>
    </xf>
    <xf numFmtId="4" fontId="0" fillId="7" borderId="0" xfId="0" applyNumberFormat="1" applyFill="1" applyBorder="1" applyProtection="1"/>
    <xf numFmtId="1" fontId="0" fillId="7" borderId="0" xfId="0" applyNumberFormat="1" applyFill="1" applyBorder="1" applyProtection="1"/>
    <xf numFmtId="10" fontId="0" fillId="7" borderId="0" xfId="0" applyNumberFormat="1" applyFill="1" applyBorder="1" applyProtection="1"/>
    <xf numFmtId="2" fontId="0" fillId="7" borderId="0" xfId="0" applyNumberFormat="1" applyFill="1" applyBorder="1" applyProtection="1"/>
    <xf numFmtId="169" fontId="0" fillId="7" borderId="0" xfId="0" applyNumberFormat="1" applyFill="1" applyBorder="1" applyProtection="1"/>
    <xf numFmtId="168" fontId="0" fillId="7" borderId="0" xfId="0" applyNumberFormat="1" applyFill="1" applyBorder="1" applyProtection="1"/>
    <xf numFmtId="0" fontId="26" fillId="7" borderId="0" xfId="0" applyFont="1" applyFill="1" applyBorder="1" applyProtection="1"/>
    <xf numFmtId="0" fontId="2" fillId="7" borderId="0" xfId="0" applyFont="1" applyFill="1" applyBorder="1" applyProtection="1"/>
    <xf numFmtId="0" fontId="6" fillId="7" borderId="0" xfId="0" applyFont="1" applyFill="1" applyBorder="1" applyAlignment="1" applyProtection="1">
      <alignment horizontal="center" vertical="center" wrapText="1"/>
    </xf>
    <xf numFmtId="0" fontId="13" fillId="7" borderId="0" xfId="0" applyFont="1" applyFill="1" applyBorder="1" applyAlignment="1" applyProtection="1">
      <alignment horizontal="center" vertical="center" wrapText="1"/>
    </xf>
    <xf numFmtId="10" fontId="13" fillId="7" borderId="0" xfId="0" applyNumberFormat="1" applyFont="1" applyFill="1" applyBorder="1" applyAlignment="1" applyProtection="1">
      <alignment horizontal="center" vertical="center" wrapText="1"/>
    </xf>
    <xf numFmtId="2" fontId="13" fillId="7" borderId="0" xfId="0" applyNumberFormat="1" applyFont="1" applyFill="1" applyBorder="1" applyAlignment="1" applyProtection="1">
      <alignment horizontal="center" vertical="center" wrapText="1"/>
    </xf>
    <xf numFmtId="169" fontId="6" fillId="7" borderId="0" xfId="0" applyNumberFormat="1" applyFont="1" applyFill="1" applyBorder="1" applyAlignment="1" applyProtection="1">
      <alignment horizontal="center" vertical="center" wrapText="1"/>
    </xf>
    <xf numFmtId="168" fontId="13" fillId="7" borderId="0" xfId="0" applyNumberFormat="1" applyFont="1" applyFill="1" applyBorder="1" applyAlignment="1" applyProtection="1">
      <alignment horizontal="center" vertical="center" wrapText="1"/>
    </xf>
    <xf numFmtId="4" fontId="16" fillId="7" borderId="0" xfId="0" applyNumberFormat="1" applyFont="1" applyFill="1" applyBorder="1" applyAlignment="1" applyProtection="1">
      <alignment vertical="center" wrapText="1"/>
    </xf>
    <xf numFmtId="10" fontId="16" fillId="7" borderId="0" xfId="0" applyNumberFormat="1" applyFont="1" applyFill="1" applyBorder="1" applyAlignment="1" applyProtection="1">
      <alignment vertical="center" wrapText="1"/>
    </xf>
    <xf numFmtId="0" fontId="2" fillId="0" borderId="0" xfId="0" applyFont="1" applyBorder="1" applyProtection="1"/>
    <xf numFmtId="0" fontId="26" fillId="0" borderId="0" xfId="0" applyFont="1" applyBorder="1" applyProtection="1"/>
    <xf numFmtId="0" fontId="7" fillId="7" borderId="0" xfId="0" applyFont="1" applyFill="1" applyBorder="1" applyAlignment="1" applyProtection="1">
      <alignment horizontal="center" vertical="center" wrapText="1"/>
    </xf>
    <xf numFmtId="0" fontId="16" fillId="7" borderId="0" xfId="0" applyFont="1" applyFill="1" applyBorder="1" applyAlignment="1" applyProtection="1">
      <alignment horizontal="center" vertical="center" wrapText="1"/>
    </xf>
    <xf numFmtId="10" fontId="16" fillId="7" borderId="0" xfId="0" applyNumberFormat="1" applyFont="1" applyFill="1" applyBorder="1" applyAlignment="1" applyProtection="1">
      <alignment horizontal="center" vertical="center" wrapText="1"/>
    </xf>
    <xf numFmtId="2" fontId="16" fillId="7" borderId="0" xfId="0" applyNumberFormat="1" applyFont="1" applyFill="1" applyBorder="1" applyAlignment="1" applyProtection="1">
      <alignment horizontal="center" vertical="center" wrapText="1"/>
    </xf>
    <xf numFmtId="169" fontId="7" fillId="7" borderId="0" xfId="0" applyNumberFormat="1" applyFont="1" applyFill="1" applyBorder="1" applyAlignment="1" applyProtection="1">
      <alignment horizontal="center" vertical="center" wrapText="1"/>
    </xf>
    <xf numFmtId="168" fontId="16" fillId="7" borderId="0" xfId="0" applyNumberFormat="1" applyFont="1" applyFill="1" applyBorder="1" applyAlignment="1" applyProtection="1">
      <alignment horizontal="center" vertical="center" wrapText="1"/>
    </xf>
    <xf numFmtId="4" fontId="13" fillId="7" borderId="0" xfId="0" applyNumberFormat="1" applyFont="1" applyFill="1" applyBorder="1" applyAlignment="1" applyProtection="1">
      <alignment horizontal="center" vertical="center" wrapText="1"/>
    </xf>
    <xf numFmtId="0" fontId="0" fillId="7" borderId="0" xfId="0" applyFont="1" applyFill="1" applyBorder="1" applyProtection="1"/>
    <xf numFmtId="4" fontId="0" fillId="7" borderId="0" xfId="0" applyNumberFormat="1" applyFont="1" applyFill="1" applyBorder="1" applyProtection="1"/>
    <xf numFmtId="1" fontId="0" fillId="7" borderId="0" xfId="0" applyNumberFormat="1" applyFont="1" applyFill="1" applyBorder="1" applyProtection="1"/>
    <xf numFmtId="10" fontId="0" fillId="7" borderId="0" xfId="0" applyNumberFormat="1" applyFont="1" applyFill="1" applyBorder="1" applyProtection="1"/>
    <xf numFmtId="2" fontId="0" fillId="7" borderId="0" xfId="0" applyNumberFormat="1" applyFont="1" applyFill="1" applyBorder="1" applyProtection="1"/>
    <xf numFmtId="169" fontId="0" fillId="7" borderId="0" xfId="0" applyNumberFormat="1" applyFont="1" applyFill="1" applyBorder="1" applyProtection="1"/>
    <xf numFmtId="168" fontId="0" fillId="7" borderId="0" xfId="0" applyNumberFormat="1" applyFont="1" applyFill="1" applyBorder="1" applyProtection="1"/>
    <xf numFmtId="4" fontId="3" fillId="7" borderId="0" xfId="0" applyNumberFormat="1" applyFont="1" applyFill="1" applyBorder="1" applyAlignment="1" applyProtection="1">
      <alignment horizontal="center" vertical="center" wrapText="1"/>
    </xf>
    <xf numFmtId="10" fontId="3" fillId="7" borderId="0" xfId="0" applyNumberFormat="1" applyFont="1" applyFill="1" applyBorder="1" applyAlignment="1" applyProtection="1">
      <alignment horizontal="center" vertical="center" wrapText="1"/>
    </xf>
    <xf numFmtId="0" fontId="3" fillId="7" borderId="0" xfId="0" applyFont="1" applyFill="1" applyBorder="1" applyAlignment="1" applyProtection="1">
      <alignment vertical="center"/>
    </xf>
    <xf numFmtId="0" fontId="0" fillId="7" borderId="0" xfId="0" applyFont="1" applyFill="1" applyBorder="1" applyAlignment="1" applyProtection="1">
      <alignment horizontal="justify" vertical="center"/>
    </xf>
    <xf numFmtId="4" fontId="0" fillId="7" borderId="0" xfId="0" applyNumberFormat="1" applyFont="1" applyFill="1" applyBorder="1" applyAlignment="1" applyProtection="1">
      <alignment horizontal="justify" vertical="center"/>
    </xf>
    <xf numFmtId="1" fontId="0" fillId="7" borderId="0" xfId="0" applyNumberFormat="1" applyFont="1" applyFill="1" applyBorder="1" applyAlignment="1" applyProtection="1">
      <alignment horizontal="justify" vertical="center"/>
    </xf>
    <xf numFmtId="10" fontId="0" fillId="7" borderId="0" xfId="0" applyNumberFormat="1" applyFont="1" applyFill="1" applyBorder="1" applyAlignment="1" applyProtection="1">
      <alignment horizontal="justify" vertical="center"/>
    </xf>
    <xf numFmtId="14" fontId="27" fillId="7" borderId="0" xfId="0" applyNumberFormat="1" applyFont="1" applyFill="1" applyBorder="1" applyAlignment="1" applyProtection="1">
      <alignment horizontal="left" vertical="center"/>
    </xf>
    <xf numFmtId="10" fontId="27" fillId="7" borderId="0" xfId="0" applyNumberFormat="1" applyFont="1" applyFill="1" applyBorder="1" applyAlignment="1" applyProtection="1">
      <alignment horizontal="left" vertical="center"/>
    </xf>
    <xf numFmtId="2" fontId="27" fillId="7" borderId="0" xfId="0" applyNumberFormat="1" applyFont="1" applyFill="1" applyBorder="1" applyAlignment="1" applyProtection="1">
      <alignment horizontal="left" vertical="center"/>
    </xf>
    <xf numFmtId="169" fontId="0" fillId="7" borderId="0" xfId="0" applyNumberFormat="1" applyFont="1" applyFill="1" applyBorder="1" applyAlignment="1" applyProtection="1">
      <alignment horizontal="justify" vertical="center"/>
    </xf>
    <xf numFmtId="168" fontId="27" fillId="7" borderId="0" xfId="0" applyNumberFormat="1" applyFont="1" applyFill="1" applyBorder="1" applyAlignment="1" applyProtection="1">
      <alignment horizontal="left" vertical="center"/>
    </xf>
    <xf numFmtId="4" fontId="23" fillId="7" borderId="0" xfId="0" applyNumberFormat="1" applyFont="1" applyFill="1" applyBorder="1" applyAlignment="1" applyProtection="1">
      <alignment horizontal="center" vertical="center"/>
    </xf>
    <xf numFmtId="10" fontId="23" fillId="7" borderId="0" xfId="0" applyNumberFormat="1" applyFont="1" applyFill="1" applyBorder="1" applyAlignment="1" applyProtection="1">
      <alignment horizontal="center" vertical="center"/>
    </xf>
    <xf numFmtId="0" fontId="23" fillId="0" borderId="0" xfId="0" applyFont="1" applyBorder="1" applyProtection="1"/>
    <xf numFmtId="4" fontId="27" fillId="16" borderId="1" xfId="0" applyNumberFormat="1" applyFont="1" applyFill="1" applyBorder="1" applyAlignment="1" applyProtection="1">
      <alignment horizontal="center" vertical="center" wrapText="1"/>
    </xf>
    <xf numFmtId="10" fontId="27" fillId="16" borderId="1" xfId="0" applyNumberFormat="1" applyFont="1" applyFill="1" applyBorder="1" applyAlignment="1" applyProtection="1">
      <alignment horizontal="center" vertical="center" wrapText="1"/>
    </xf>
    <xf numFmtId="2" fontId="27" fillId="16" borderId="1" xfId="0" applyNumberFormat="1" applyFont="1" applyFill="1" applyBorder="1" applyAlignment="1" applyProtection="1">
      <alignment horizontal="center" vertical="center" wrapText="1"/>
    </xf>
    <xf numFmtId="168" fontId="27" fillId="16" borderId="1" xfId="0" applyNumberFormat="1" applyFont="1" applyFill="1" applyBorder="1" applyAlignment="1" applyProtection="1">
      <alignment horizontal="center" vertical="center" wrapText="1"/>
    </xf>
    <xf numFmtId="0" fontId="23" fillId="19" borderId="1" xfId="0" applyFont="1" applyFill="1" applyBorder="1" applyAlignment="1" applyProtection="1">
      <alignment horizontal="center" vertical="center" wrapText="1"/>
    </xf>
    <xf numFmtId="4" fontId="23" fillId="19" borderId="1" xfId="0" applyNumberFormat="1" applyFont="1" applyFill="1" applyBorder="1" applyAlignment="1" applyProtection="1">
      <alignment horizontal="center" vertical="center" wrapText="1"/>
    </xf>
    <xf numFmtId="166" fontId="0" fillId="19" borderId="1" xfId="0" applyNumberFormat="1" applyFont="1" applyFill="1" applyBorder="1" applyAlignment="1" applyProtection="1">
      <alignment horizontal="center" vertical="center" wrapText="1"/>
    </xf>
    <xf numFmtId="170" fontId="23" fillId="19" borderId="1" xfId="0" applyNumberFormat="1" applyFont="1" applyFill="1" applyBorder="1" applyAlignment="1" applyProtection="1">
      <alignment horizontal="center" vertical="center" wrapText="1"/>
    </xf>
    <xf numFmtId="1" fontId="23" fillId="19" borderId="1" xfId="0" applyNumberFormat="1" applyFont="1" applyFill="1" applyBorder="1" applyAlignment="1" applyProtection="1">
      <alignment horizontal="center" vertical="center" wrapText="1"/>
    </xf>
    <xf numFmtId="2" fontId="0" fillId="19" borderId="1" xfId="0" applyNumberFormat="1" applyFont="1" applyFill="1" applyBorder="1" applyAlignment="1" applyProtection="1">
      <alignment horizontal="center" vertical="center" wrapText="1"/>
    </xf>
    <xf numFmtId="169" fontId="23" fillId="19" borderId="1" xfId="0" applyNumberFormat="1" applyFont="1" applyFill="1" applyBorder="1" applyAlignment="1" applyProtection="1">
      <alignment horizontal="center" vertical="center" wrapText="1"/>
    </xf>
    <xf numFmtId="168" fontId="0" fillId="19" borderId="1" xfId="0" applyNumberFormat="1" applyFont="1" applyFill="1" applyBorder="1" applyAlignment="1" applyProtection="1">
      <alignment horizontal="center" vertical="center" wrapText="1"/>
    </xf>
    <xf numFmtId="2" fontId="23" fillId="19" borderId="1" xfId="0" applyNumberFormat="1" applyFont="1" applyFill="1" applyBorder="1" applyAlignment="1" applyProtection="1">
      <alignment horizontal="center" vertical="center" wrapText="1"/>
    </xf>
    <xf numFmtId="166" fontId="0" fillId="19" borderId="65" xfId="0" applyNumberFormat="1" applyFont="1" applyFill="1" applyBorder="1" applyAlignment="1" applyProtection="1">
      <alignment horizontal="center" vertical="center" wrapText="1"/>
    </xf>
    <xf numFmtId="0" fontId="27" fillId="16" borderId="67" xfId="0" applyFont="1" applyFill="1" applyBorder="1" applyAlignment="1" applyProtection="1">
      <alignment vertical="center"/>
    </xf>
    <xf numFmtId="0" fontId="27" fillId="16" borderId="1" xfId="0" applyFont="1" applyFill="1" applyBorder="1" applyAlignment="1" applyProtection="1">
      <alignment vertical="center"/>
    </xf>
    <xf numFmtId="170" fontId="27" fillId="16" borderId="1" xfId="0" applyNumberFormat="1" applyFont="1" applyFill="1" applyBorder="1" applyAlignment="1" applyProtection="1">
      <alignment vertical="center"/>
    </xf>
    <xf numFmtId="2" fontId="27" fillId="16" borderId="1" xfId="0" applyNumberFormat="1" applyFont="1" applyFill="1" applyBorder="1" applyAlignment="1" applyProtection="1">
      <alignment vertical="center"/>
    </xf>
    <xf numFmtId="4" fontId="27" fillId="16" borderId="1" xfId="0" applyNumberFormat="1" applyFont="1" applyFill="1" applyBorder="1" applyAlignment="1" applyProtection="1">
      <alignment horizontal="center" vertical="center"/>
    </xf>
    <xf numFmtId="166" fontId="3" fillId="16" borderId="1" xfId="0" applyNumberFormat="1" applyFont="1" applyFill="1" applyBorder="1" applyAlignment="1" applyProtection="1">
      <alignment horizontal="center" vertical="center" wrapText="1"/>
    </xf>
    <xf numFmtId="169" fontId="27" fillId="16" borderId="1" xfId="0" applyNumberFormat="1" applyFont="1" applyFill="1" applyBorder="1" applyAlignment="1" applyProtection="1">
      <alignment vertical="center"/>
    </xf>
    <xf numFmtId="168" fontId="27" fillId="16" borderId="1" xfId="0" applyNumberFormat="1" applyFont="1" applyFill="1" applyBorder="1" applyAlignment="1" applyProtection="1">
      <alignment vertical="center"/>
    </xf>
    <xf numFmtId="10" fontId="27" fillId="16" borderId="1" xfId="0" applyNumberFormat="1" applyFont="1" applyFill="1" applyBorder="1" applyAlignment="1" applyProtection="1">
      <alignment horizontal="center" vertical="center"/>
    </xf>
    <xf numFmtId="2" fontId="27" fillId="16" borderId="1" xfId="0" applyNumberFormat="1" applyFont="1" applyFill="1" applyBorder="1" applyAlignment="1" applyProtection="1">
      <alignment horizontal="center" vertical="center"/>
    </xf>
    <xf numFmtId="166" fontId="3" fillId="16" borderId="65" xfId="0" applyNumberFormat="1" applyFont="1" applyFill="1" applyBorder="1" applyAlignment="1" applyProtection="1">
      <alignment horizontal="center" vertical="center" wrapText="1"/>
    </xf>
    <xf numFmtId="0" fontId="8" fillId="15" borderId="67" xfId="0" applyFont="1" applyFill="1" applyBorder="1" applyAlignment="1" applyProtection="1">
      <alignment vertical="center"/>
    </xf>
    <xf numFmtId="0" fontId="8" fillId="15" borderId="1" xfId="0" applyFont="1" applyFill="1" applyBorder="1" applyAlignment="1" applyProtection="1">
      <alignment vertical="center" wrapText="1"/>
    </xf>
    <xf numFmtId="2" fontId="8" fillId="15" borderId="1" xfId="0" applyNumberFormat="1" applyFont="1" applyFill="1" applyBorder="1" applyAlignment="1" applyProtection="1">
      <alignment vertical="center" wrapText="1"/>
    </xf>
    <xf numFmtId="4" fontId="8" fillId="15" borderId="1" xfId="0" applyNumberFormat="1" applyFont="1" applyFill="1" applyBorder="1" applyAlignment="1" applyProtection="1">
      <alignment horizontal="center" vertical="center" wrapText="1"/>
    </xf>
    <xf numFmtId="166" fontId="16" fillId="15" borderId="1" xfId="0" applyNumberFormat="1" applyFont="1" applyFill="1" applyBorder="1" applyAlignment="1" applyProtection="1">
      <alignment horizontal="center" vertical="center" wrapText="1"/>
    </xf>
    <xf numFmtId="169" fontId="8" fillId="15" borderId="1" xfId="0" applyNumberFormat="1" applyFont="1" applyFill="1" applyBorder="1" applyAlignment="1" applyProtection="1">
      <alignment vertical="center" wrapText="1"/>
    </xf>
    <xf numFmtId="168" fontId="8" fillId="15" borderId="1" xfId="0" applyNumberFormat="1" applyFont="1" applyFill="1" applyBorder="1" applyAlignment="1" applyProtection="1">
      <alignment vertical="center" wrapText="1"/>
    </xf>
    <xf numFmtId="10" fontId="8" fillId="15" borderId="1" xfId="0" applyNumberFormat="1" applyFont="1" applyFill="1" applyBorder="1" applyAlignment="1" applyProtection="1">
      <alignment horizontal="center" vertical="center" wrapText="1"/>
    </xf>
    <xf numFmtId="2" fontId="8" fillId="15" borderId="1" xfId="0" applyNumberFormat="1" applyFont="1" applyFill="1" applyBorder="1" applyAlignment="1" applyProtection="1">
      <alignment horizontal="center" vertical="center" wrapText="1"/>
    </xf>
    <xf numFmtId="166" fontId="16" fillId="15" borderId="65" xfId="0" applyNumberFormat="1" applyFont="1" applyFill="1" applyBorder="1" applyAlignment="1" applyProtection="1">
      <alignment horizontal="center" vertical="center" wrapText="1"/>
    </xf>
    <xf numFmtId="0" fontId="8" fillId="17" borderId="89" xfId="0" applyFont="1" applyFill="1" applyBorder="1" applyAlignment="1" applyProtection="1">
      <alignment vertical="center"/>
    </xf>
    <xf numFmtId="0" fontId="8" fillId="17" borderId="10" xfId="0" applyFont="1" applyFill="1" applyBorder="1" applyAlignment="1" applyProtection="1">
      <alignment vertical="center" wrapText="1"/>
    </xf>
    <xf numFmtId="2" fontId="8" fillId="17" borderId="10" xfId="0" applyNumberFormat="1" applyFont="1" applyFill="1" applyBorder="1" applyAlignment="1" applyProtection="1">
      <alignment vertical="center" wrapText="1"/>
    </xf>
    <xf numFmtId="4" fontId="8" fillId="17" borderId="10" xfId="0" applyNumberFormat="1" applyFont="1" applyFill="1" applyBorder="1" applyAlignment="1" applyProtection="1">
      <alignment horizontal="center" vertical="center" wrapText="1"/>
    </xf>
    <xf numFmtId="166" fontId="16" fillId="17" borderId="10" xfId="0" applyNumberFormat="1" applyFont="1" applyFill="1" applyBorder="1" applyAlignment="1" applyProtection="1">
      <alignment horizontal="center" vertical="center" wrapText="1"/>
    </xf>
    <xf numFmtId="169" fontId="8" fillId="17" borderId="10" xfId="0" applyNumberFormat="1" applyFont="1" applyFill="1" applyBorder="1" applyAlignment="1" applyProtection="1">
      <alignment vertical="center" wrapText="1"/>
    </xf>
    <xf numFmtId="168" fontId="8" fillId="17" borderId="10" xfId="0" applyNumberFormat="1" applyFont="1" applyFill="1" applyBorder="1" applyAlignment="1" applyProtection="1">
      <alignment vertical="center" wrapText="1"/>
    </xf>
    <xf numFmtId="10" fontId="8" fillId="17" borderId="10" xfId="0" applyNumberFormat="1" applyFont="1" applyFill="1" applyBorder="1" applyAlignment="1" applyProtection="1">
      <alignment horizontal="center" vertical="center" wrapText="1"/>
    </xf>
    <xf numFmtId="2" fontId="8" fillId="17" borderId="10" xfId="0" applyNumberFormat="1" applyFont="1" applyFill="1" applyBorder="1" applyAlignment="1" applyProtection="1">
      <alignment horizontal="center" vertical="center" wrapText="1"/>
    </xf>
    <xf numFmtId="166" fontId="16" fillId="17" borderId="70" xfId="0" applyNumberFormat="1" applyFont="1" applyFill="1" applyBorder="1" applyAlignment="1" applyProtection="1">
      <alignment horizontal="center" vertical="center" wrapText="1"/>
    </xf>
    <xf numFmtId="0" fontId="23" fillId="19" borderId="67" xfId="0" applyFont="1" applyFill="1" applyBorder="1" applyAlignment="1" applyProtection="1">
      <alignment horizontal="left" vertical="center"/>
    </xf>
    <xf numFmtId="0" fontId="8" fillId="16" borderId="67" xfId="0" applyFont="1" applyFill="1" applyBorder="1" applyAlignment="1" applyProtection="1">
      <alignment vertical="center" wrapText="1"/>
    </xf>
    <xf numFmtId="0" fontId="23" fillId="19" borderId="72" xfId="0" applyFont="1" applyFill="1" applyBorder="1" applyAlignment="1" applyProtection="1">
      <alignment vertical="center" wrapText="1"/>
    </xf>
    <xf numFmtId="0" fontId="8" fillId="17" borderId="72" xfId="0" applyFont="1" applyFill="1" applyBorder="1" applyAlignment="1" applyProtection="1">
      <alignment vertical="center" wrapText="1"/>
    </xf>
    <xf numFmtId="0" fontId="8" fillId="17" borderId="50" xfId="0" applyFont="1" applyFill="1" applyBorder="1" applyAlignment="1" applyProtection="1">
      <alignment vertical="center" wrapText="1"/>
    </xf>
    <xf numFmtId="2" fontId="8" fillId="17" borderId="50" xfId="0" applyNumberFormat="1" applyFont="1" applyFill="1" applyBorder="1" applyAlignment="1" applyProtection="1">
      <alignment vertical="center" wrapText="1"/>
    </xf>
    <xf numFmtId="4" fontId="8" fillId="17" borderId="50" xfId="0" applyNumberFormat="1" applyFont="1" applyFill="1" applyBorder="1" applyAlignment="1" applyProtection="1">
      <alignment horizontal="center" vertical="center" wrapText="1"/>
    </xf>
    <xf numFmtId="166" fontId="16" fillId="17" borderId="50" xfId="0" applyNumberFormat="1" applyFont="1" applyFill="1" applyBorder="1" applyAlignment="1" applyProtection="1">
      <alignment horizontal="center" vertical="center" wrapText="1"/>
    </xf>
    <xf numFmtId="169" fontId="8" fillId="17" borderId="50" xfId="0" applyNumberFormat="1" applyFont="1" applyFill="1" applyBorder="1" applyAlignment="1" applyProtection="1">
      <alignment vertical="center" wrapText="1"/>
    </xf>
    <xf numFmtId="168" fontId="8" fillId="17" borderId="50" xfId="0" applyNumberFormat="1" applyFont="1" applyFill="1" applyBorder="1" applyAlignment="1" applyProtection="1">
      <alignment vertical="center" wrapText="1"/>
    </xf>
    <xf numFmtId="10" fontId="8" fillId="17" borderId="50" xfId="0" applyNumberFormat="1" applyFont="1" applyFill="1" applyBorder="1" applyAlignment="1" applyProtection="1">
      <alignment horizontal="center" vertical="center" wrapText="1"/>
    </xf>
    <xf numFmtId="2" fontId="8" fillId="17" borderId="50" xfId="0" applyNumberFormat="1" applyFont="1" applyFill="1" applyBorder="1" applyAlignment="1" applyProtection="1">
      <alignment horizontal="center" vertical="center" wrapText="1"/>
    </xf>
    <xf numFmtId="166" fontId="16" fillId="17" borderId="71" xfId="0" applyNumberFormat="1" applyFont="1" applyFill="1" applyBorder="1" applyAlignment="1" applyProtection="1">
      <alignment horizontal="center" vertical="center" wrapText="1"/>
    </xf>
    <xf numFmtId="0" fontId="4" fillId="18" borderId="68" xfId="0" applyFont="1" applyFill="1" applyBorder="1" applyAlignment="1" applyProtection="1">
      <alignment vertical="center"/>
    </xf>
    <xf numFmtId="0" fontId="29" fillId="18" borderId="69" xfId="0" applyFont="1" applyFill="1" applyBorder="1" applyAlignment="1" applyProtection="1">
      <alignment vertical="center"/>
    </xf>
    <xf numFmtId="2" fontId="29" fillId="18" borderId="69" xfId="0" applyNumberFormat="1" applyFont="1" applyFill="1" applyBorder="1" applyAlignment="1" applyProtection="1">
      <alignment vertical="center"/>
    </xf>
    <xf numFmtId="4" fontId="7" fillId="18" borderId="69" xfId="0" applyNumberFormat="1" applyFont="1" applyFill="1" applyBorder="1" applyAlignment="1" applyProtection="1">
      <alignment horizontal="center" vertical="center"/>
    </xf>
    <xf numFmtId="166" fontId="44" fillId="18" borderId="69" xfId="0" applyNumberFormat="1" applyFont="1" applyFill="1" applyBorder="1" applyAlignment="1" applyProtection="1">
      <alignment horizontal="center" vertical="center" wrapText="1"/>
    </xf>
    <xf numFmtId="169" fontId="29" fillId="18" borderId="69" xfId="0" applyNumberFormat="1" applyFont="1" applyFill="1" applyBorder="1" applyAlignment="1" applyProtection="1">
      <alignment vertical="center"/>
    </xf>
    <xf numFmtId="168" fontId="29" fillId="18" borderId="69" xfId="0" applyNumberFormat="1" applyFont="1" applyFill="1" applyBorder="1" applyAlignment="1" applyProtection="1">
      <alignment vertical="center"/>
    </xf>
    <xf numFmtId="10" fontId="29" fillId="18" borderId="69" xfId="0" applyNumberFormat="1" applyFont="1" applyFill="1" applyBorder="1" applyAlignment="1" applyProtection="1">
      <alignment horizontal="center" vertical="center"/>
    </xf>
    <xf numFmtId="2" fontId="29" fillId="18" borderId="69" xfId="0" applyNumberFormat="1" applyFont="1" applyFill="1" applyBorder="1" applyAlignment="1" applyProtection="1">
      <alignment horizontal="center" vertical="center"/>
    </xf>
    <xf numFmtId="4" fontId="29" fillId="18" borderId="69" xfId="0" applyNumberFormat="1" applyFont="1" applyFill="1" applyBorder="1" applyAlignment="1" applyProtection="1">
      <alignment horizontal="center" vertical="center"/>
    </xf>
    <xf numFmtId="166" fontId="31" fillId="18" borderId="66" xfId="0" applyNumberFormat="1" applyFont="1" applyFill="1" applyBorder="1" applyAlignment="1" applyProtection="1">
      <alignment horizontal="center" vertical="center" wrapText="1"/>
    </xf>
    <xf numFmtId="0" fontId="2" fillId="0" borderId="0" xfId="0" applyFont="1" applyFill="1" applyBorder="1" applyProtection="1"/>
    <xf numFmtId="0" fontId="26" fillId="0" borderId="0" xfId="0" applyFont="1" applyFill="1" applyBorder="1" applyProtection="1"/>
    <xf numFmtId="0" fontId="0" fillId="0" borderId="0" xfId="0" applyFill="1" applyBorder="1" applyProtection="1"/>
    <xf numFmtId="0" fontId="32" fillId="7" borderId="91" xfId="0" applyFont="1" applyFill="1" applyBorder="1" applyAlignment="1" applyProtection="1">
      <alignment horizontal="center" vertical="center"/>
    </xf>
    <xf numFmtId="4" fontId="32" fillId="7" borderId="91" xfId="0" applyNumberFormat="1" applyFont="1" applyFill="1" applyBorder="1" applyAlignment="1" applyProtection="1">
      <alignment horizontal="center" vertical="center"/>
    </xf>
    <xf numFmtId="1" fontId="32" fillId="7" borderId="91" xfId="0" applyNumberFormat="1" applyFont="1" applyFill="1" applyBorder="1" applyAlignment="1" applyProtection="1">
      <alignment horizontal="center" vertical="center"/>
    </xf>
    <xf numFmtId="10" fontId="32" fillId="7" borderId="91" xfId="0" applyNumberFormat="1" applyFont="1" applyFill="1" applyBorder="1" applyAlignment="1" applyProtection="1">
      <alignment horizontal="center" vertical="center"/>
    </xf>
    <xf numFmtId="2" fontId="32" fillId="7" borderId="91" xfId="0" applyNumberFormat="1" applyFont="1" applyFill="1" applyBorder="1" applyAlignment="1" applyProtection="1">
      <alignment horizontal="center" vertical="center"/>
    </xf>
    <xf numFmtId="169" fontId="32" fillId="7" borderId="91" xfId="0" applyNumberFormat="1" applyFont="1" applyFill="1" applyBorder="1" applyAlignment="1" applyProtection="1">
      <alignment horizontal="center" vertical="center"/>
    </xf>
    <xf numFmtId="168" fontId="32" fillId="7" borderId="91" xfId="0" applyNumberFormat="1" applyFont="1" applyFill="1" applyBorder="1" applyAlignment="1" applyProtection="1">
      <alignment horizontal="center" vertical="center"/>
    </xf>
    <xf numFmtId="0" fontId="23" fillId="19" borderId="67" xfId="0" applyFont="1" applyFill="1" applyBorder="1" applyAlignment="1" applyProtection="1">
      <alignment vertical="center" wrapText="1"/>
    </xf>
    <xf numFmtId="0" fontId="29" fillId="18" borderId="68" xfId="0" applyFont="1" applyFill="1" applyBorder="1" applyAlignment="1" applyProtection="1">
      <alignment vertical="center"/>
    </xf>
    <xf numFmtId="2" fontId="7" fillId="18" borderId="69" xfId="0" applyNumberFormat="1" applyFont="1" applyFill="1" applyBorder="1" applyAlignment="1" applyProtection="1">
      <alignment horizontal="center" vertical="center"/>
    </xf>
    <xf numFmtId="10" fontId="7" fillId="18" borderId="69" xfId="0" applyNumberFormat="1" applyFont="1" applyFill="1" applyBorder="1" applyAlignment="1" applyProtection="1">
      <alignment horizontal="center" vertical="center"/>
    </xf>
    <xf numFmtId="0" fontId="7" fillId="18" borderId="69" xfId="0" applyFont="1" applyFill="1" applyBorder="1" applyAlignment="1" applyProtection="1">
      <alignment vertical="center"/>
    </xf>
    <xf numFmtId="2" fontId="7" fillId="18" borderId="69" xfId="0" applyNumberFormat="1" applyFont="1" applyFill="1" applyBorder="1" applyAlignment="1" applyProtection="1">
      <alignment vertical="center"/>
    </xf>
    <xf numFmtId="0" fontId="27" fillId="7" borderId="51" xfId="0" applyFont="1" applyFill="1" applyBorder="1" applyAlignment="1" applyProtection="1">
      <alignment horizontal="center" vertical="center"/>
    </xf>
    <xf numFmtId="4" fontId="27" fillId="7" borderId="51" xfId="0" applyNumberFormat="1" applyFont="1" applyFill="1" applyBorder="1" applyAlignment="1" applyProtection="1">
      <alignment horizontal="center" vertical="center"/>
    </xf>
    <xf numFmtId="1" fontId="27" fillId="7" borderId="51" xfId="0" applyNumberFormat="1" applyFont="1" applyFill="1" applyBorder="1" applyAlignment="1" applyProtection="1">
      <alignment horizontal="center" vertical="center"/>
    </xf>
    <xf numFmtId="10" fontId="27" fillId="7" borderId="51" xfId="0" applyNumberFormat="1" applyFont="1" applyFill="1" applyBorder="1" applyAlignment="1" applyProtection="1">
      <alignment horizontal="center" vertical="center"/>
    </xf>
    <xf numFmtId="2" fontId="27" fillId="7" borderId="51" xfId="0" applyNumberFormat="1" applyFont="1" applyFill="1" applyBorder="1" applyAlignment="1" applyProtection="1">
      <alignment horizontal="center" vertical="center"/>
    </xf>
    <xf numFmtId="169" fontId="27" fillId="7" borderId="51" xfId="0" applyNumberFormat="1" applyFont="1" applyFill="1" applyBorder="1" applyAlignment="1" applyProtection="1">
      <alignment horizontal="center" vertical="center"/>
    </xf>
    <xf numFmtId="168" fontId="27" fillId="7" borderId="51" xfId="0" applyNumberFormat="1" applyFont="1" applyFill="1" applyBorder="1" applyAlignment="1" applyProtection="1">
      <alignment horizontal="center" vertical="center"/>
    </xf>
    <xf numFmtId="0" fontId="8" fillId="15" borderId="1" xfId="0" applyFont="1" applyFill="1" applyBorder="1" applyAlignment="1" applyProtection="1">
      <alignment vertical="center"/>
    </xf>
    <xf numFmtId="2" fontId="8" fillId="15" borderId="1" xfId="0" applyNumberFormat="1" applyFont="1" applyFill="1" applyBorder="1" applyAlignment="1" applyProtection="1">
      <alignment vertical="center"/>
    </xf>
    <xf numFmtId="4" fontId="8" fillId="15" borderId="1" xfId="0" applyNumberFormat="1" applyFont="1" applyFill="1" applyBorder="1" applyAlignment="1" applyProtection="1">
      <alignment horizontal="center" vertical="center"/>
    </xf>
    <xf numFmtId="166" fontId="16" fillId="15" borderId="1" xfId="0" applyNumberFormat="1" applyFont="1" applyFill="1" applyBorder="1" applyAlignment="1" applyProtection="1">
      <alignment horizontal="center" vertical="center"/>
    </xf>
    <xf numFmtId="169" fontId="8" fillId="15" borderId="1" xfId="0" applyNumberFormat="1" applyFont="1" applyFill="1" applyBorder="1" applyAlignment="1" applyProtection="1">
      <alignment vertical="center"/>
    </xf>
    <xf numFmtId="168" fontId="8" fillId="15" borderId="1" xfId="0" applyNumberFormat="1" applyFont="1" applyFill="1" applyBorder="1" applyAlignment="1" applyProtection="1">
      <alignment vertical="center"/>
    </xf>
    <xf numFmtId="10" fontId="8" fillId="15" borderId="1" xfId="0" applyNumberFormat="1" applyFont="1" applyFill="1" applyBorder="1" applyAlignment="1" applyProtection="1">
      <alignment horizontal="center" vertical="center"/>
    </xf>
    <xf numFmtId="2" fontId="8" fillId="15" borderId="1" xfId="0" applyNumberFormat="1" applyFont="1" applyFill="1" applyBorder="1" applyAlignment="1" applyProtection="1">
      <alignment horizontal="center" vertical="center"/>
    </xf>
    <xf numFmtId="0" fontId="8" fillId="17" borderId="1" xfId="0" applyFont="1" applyFill="1" applyBorder="1" applyAlignment="1" applyProtection="1">
      <alignment vertical="center" wrapText="1"/>
    </xf>
    <xf numFmtId="2" fontId="8" fillId="17" borderId="1" xfId="0" applyNumberFormat="1" applyFont="1" applyFill="1" applyBorder="1" applyAlignment="1" applyProtection="1">
      <alignment vertical="center" wrapText="1"/>
    </xf>
    <xf numFmtId="4" fontId="8" fillId="17" borderId="1" xfId="0" applyNumberFormat="1" applyFont="1" applyFill="1" applyBorder="1" applyAlignment="1" applyProtection="1">
      <alignment horizontal="center" vertical="center" wrapText="1"/>
    </xf>
    <xf numFmtId="166" fontId="16" fillId="17" borderId="1" xfId="0" applyNumberFormat="1" applyFont="1" applyFill="1" applyBorder="1" applyAlignment="1" applyProtection="1">
      <alignment horizontal="center" vertical="center" wrapText="1"/>
    </xf>
    <xf numFmtId="169" fontId="8" fillId="17" borderId="1" xfId="0" applyNumberFormat="1" applyFont="1" applyFill="1" applyBorder="1" applyAlignment="1" applyProtection="1">
      <alignment vertical="center" wrapText="1"/>
    </xf>
    <xf numFmtId="168" fontId="8" fillId="17" borderId="1" xfId="0" applyNumberFormat="1" applyFont="1" applyFill="1" applyBorder="1" applyAlignment="1" applyProtection="1">
      <alignment vertical="center" wrapText="1"/>
    </xf>
    <xf numFmtId="10" fontId="8" fillId="17" borderId="1" xfId="0" applyNumberFormat="1" applyFont="1" applyFill="1" applyBorder="1" applyAlignment="1" applyProtection="1">
      <alignment horizontal="center" vertical="center" wrapText="1"/>
    </xf>
    <xf numFmtId="2" fontId="8" fillId="17" borderId="1" xfId="0" applyNumberFormat="1" applyFont="1" applyFill="1" applyBorder="1" applyAlignment="1" applyProtection="1">
      <alignment horizontal="center" vertical="center" wrapText="1"/>
    </xf>
    <xf numFmtId="0" fontId="27" fillId="16" borderId="1" xfId="0" applyFont="1" applyFill="1" applyBorder="1" applyAlignment="1" applyProtection="1">
      <alignment vertical="center" wrapText="1"/>
    </xf>
    <xf numFmtId="4" fontId="27" fillId="16" borderId="1" xfId="0" applyNumberFormat="1" applyFont="1" applyFill="1" applyBorder="1" applyAlignment="1" applyProtection="1">
      <alignment vertical="center" wrapText="1"/>
    </xf>
    <xf numFmtId="0" fontId="8" fillId="15" borderId="1" xfId="0" applyFont="1" applyFill="1" applyBorder="1" applyAlignment="1" applyProtection="1">
      <alignment horizontal="left" vertical="center"/>
    </xf>
    <xf numFmtId="4" fontId="27" fillId="15" borderId="1" xfId="0" applyNumberFormat="1" applyFont="1" applyFill="1" applyBorder="1" applyAlignment="1" applyProtection="1">
      <alignment horizontal="center" vertical="center"/>
    </xf>
    <xf numFmtId="0" fontId="8" fillId="17" borderId="1" xfId="0" applyFont="1" applyFill="1" applyBorder="1" applyAlignment="1" applyProtection="1">
      <alignment horizontal="left" vertical="center"/>
    </xf>
    <xf numFmtId="4" fontId="27" fillId="17" borderId="1" xfId="0" applyNumberFormat="1" applyFont="1" applyFill="1" applyBorder="1" applyAlignment="1" applyProtection="1">
      <alignment horizontal="center" vertical="center"/>
    </xf>
    <xf numFmtId="2" fontId="8" fillId="17" borderId="1" xfId="0" applyNumberFormat="1" applyFont="1" applyFill="1" applyBorder="1" applyAlignment="1" applyProtection="1">
      <alignment horizontal="center" vertical="center"/>
    </xf>
    <xf numFmtId="0" fontId="4" fillId="18" borderId="1" xfId="0" applyFont="1" applyFill="1" applyBorder="1" applyAlignment="1" applyProtection="1">
      <alignment vertical="center"/>
    </xf>
    <xf numFmtId="0" fontId="29" fillId="18" borderId="1" xfId="0" applyFont="1" applyFill="1" applyBorder="1" applyAlignment="1" applyProtection="1">
      <alignment vertical="center"/>
    </xf>
    <xf numFmtId="4" fontId="7" fillId="18" borderId="1" xfId="0" applyNumberFormat="1" applyFont="1" applyFill="1" applyBorder="1" applyAlignment="1" applyProtection="1">
      <alignment horizontal="center" vertical="center"/>
    </xf>
    <xf numFmtId="166" fontId="44" fillId="18" borderId="1" xfId="0" applyNumberFormat="1" applyFont="1" applyFill="1" applyBorder="1" applyAlignment="1" applyProtection="1">
      <alignment horizontal="center" vertical="center" wrapText="1"/>
    </xf>
    <xf numFmtId="2" fontId="29" fillId="18" borderId="1" xfId="0" applyNumberFormat="1" applyFont="1" applyFill="1" applyBorder="1" applyAlignment="1" applyProtection="1">
      <alignment horizontal="center" vertical="center"/>
    </xf>
    <xf numFmtId="4" fontId="29" fillId="18" borderId="1" xfId="0" applyNumberFormat="1" applyFont="1" applyFill="1" applyBorder="1" applyAlignment="1" applyProtection="1">
      <alignment horizontal="center" vertical="center"/>
    </xf>
    <xf numFmtId="166" fontId="31" fillId="18" borderId="1" xfId="0" applyNumberFormat="1" applyFont="1" applyFill="1" applyBorder="1" applyAlignment="1" applyProtection="1">
      <alignment horizontal="center" vertical="center" wrapText="1"/>
    </xf>
    <xf numFmtId="0" fontId="29" fillId="7" borderId="1" xfId="0" applyFont="1" applyFill="1" applyBorder="1" applyAlignment="1" applyProtection="1">
      <alignment horizontal="center" vertical="center"/>
    </xf>
    <xf numFmtId="4" fontId="29" fillId="7" borderId="1" xfId="0" applyNumberFormat="1" applyFont="1" applyFill="1" applyBorder="1" applyAlignment="1" applyProtection="1">
      <alignment horizontal="center" vertical="center"/>
    </xf>
    <xf numFmtId="1" fontId="29" fillId="7" borderId="1" xfId="0" applyNumberFormat="1" applyFont="1" applyFill="1" applyBorder="1" applyAlignment="1" applyProtection="1">
      <alignment horizontal="center" vertical="center"/>
    </xf>
    <xf numFmtId="10" fontId="29" fillId="7" borderId="1" xfId="0" applyNumberFormat="1" applyFont="1" applyFill="1" applyBorder="1" applyAlignment="1" applyProtection="1">
      <alignment horizontal="center" vertical="center"/>
    </xf>
    <xf numFmtId="2" fontId="29" fillId="7" borderId="1" xfId="0" applyNumberFormat="1" applyFont="1" applyFill="1" applyBorder="1" applyAlignment="1" applyProtection="1">
      <alignment horizontal="center" vertical="center"/>
    </xf>
    <xf numFmtId="169" fontId="29" fillId="7" borderId="1" xfId="0" applyNumberFormat="1" applyFont="1" applyFill="1" applyBorder="1" applyAlignment="1" applyProtection="1">
      <alignment horizontal="center" vertical="center"/>
    </xf>
    <xf numFmtId="168" fontId="29" fillId="7" borderId="1" xfId="0" applyNumberFormat="1" applyFont="1" applyFill="1" applyBorder="1" applyAlignment="1" applyProtection="1">
      <alignment horizontal="center" vertical="center"/>
    </xf>
    <xf numFmtId="0" fontId="33" fillId="18" borderId="1" xfId="0" applyFont="1" applyFill="1" applyBorder="1" applyAlignment="1" applyProtection="1">
      <alignment vertical="center"/>
    </xf>
    <xf numFmtId="2" fontId="33" fillId="18" borderId="1" xfId="0" applyNumberFormat="1" applyFont="1" applyFill="1" applyBorder="1" applyAlignment="1" applyProtection="1">
      <alignment horizontal="center" vertical="center"/>
    </xf>
    <xf numFmtId="4" fontId="45" fillId="18" borderId="1" xfId="0" applyNumberFormat="1" applyFont="1" applyFill="1" applyBorder="1" applyAlignment="1" applyProtection="1">
      <alignment horizontal="center" vertical="center"/>
    </xf>
    <xf numFmtId="166" fontId="45" fillId="18" borderId="1" xfId="0" applyNumberFormat="1" applyFont="1" applyFill="1" applyBorder="1" applyAlignment="1" applyProtection="1">
      <alignment horizontal="center" vertical="center" wrapText="1"/>
    </xf>
    <xf numFmtId="4" fontId="0" fillId="0" borderId="0" xfId="0" applyNumberFormat="1" applyBorder="1" applyProtection="1"/>
    <xf numFmtId="1" fontId="0" fillId="0" borderId="0" xfId="0" applyNumberFormat="1" applyBorder="1" applyProtection="1"/>
    <xf numFmtId="10" fontId="0" fillId="0" borderId="0" xfId="0" applyNumberFormat="1" applyBorder="1" applyProtection="1"/>
    <xf numFmtId="2" fontId="0" fillId="0" borderId="0" xfId="0" applyNumberFormat="1" applyBorder="1" applyProtection="1"/>
    <xf numFmtId="169" fontId="0" fillId="0" borderId="0" xfId="0" applyNumberFormat="1" applyBorder="1" applyProtection="1"/>
    <xf numFmtId="168" fontId="0" fillId="0" borderId="0" xfId="0" applyNumberFormat="1" applyBorder="1" applyProtection="1"/>
    <xf numFmtId="0" fontId="0" fillId="7" borderId="0" xfId="0" applyNumberFormat="1" applyFill="1" applyBorder="1" applyProtection="1"/>
    <xf numFmtId="0" fontId="0" fillId="0" borderId="0" xfId="0" applyNumberFormat="1" applyBorder="1" applyProtection="1"/>
    <xf numFmtId="0" fontId="26" fillId="7" borderId="0" xfId="0" applyNumberFormat="1" applyFont="1" applyFill="1" applyBorder="1" applyProtection="1"/>
    <xf numFmtId="0" fontId="2" fillId="0" borderId="0" xfId="0" applyNumberFormat="1" applyFont="1" applyBorder="1" applyProtection="1"/>
    <xf numFmtId="0" fontId="26" fillId="0" borderId="0" xfId="0" applyNumberFormat="1" applyFont="1" applyBorder="1" applyProtection="1"/>
    <xf numFmtId="0" fontId="23" fillId="0" borderId="0" xfId="0" applyNumberFormat="1" applyFont="1" applyBorder="1" applyProtection="1"/>
    <xf numFmtId="10" fontId="26" fillId="0" borderId="0" xfId="0" applyNumberFormat="1" applyFont="1" applyBorder="1" applyProtection="1"/>
    <xf numFmtId="2" fontId="26" fillId="0" borderId="0" xfId="0" applyNumberFormat="1" applyFont="1" applyBorder="1" applyProtection="1"/>
    <xf numFmtId="169" fontId="26" fillId="0" borderId="0" xfId="0" applyNumberFormat="1" applyFont="1" applyBorder="1" applyProtection="1"/>
    <xf numFmtId="168" fontId="26" fillId="0" borderId="0" xfId="0" applyNumberFormat="1" applyFont="1" applyBorder="1" applyProtection="1"/>
    <xf numFmtId="0" fontId="26" fillId="0" borderId="0" xfId="0" applyNumberFormat="1" applyFont="1" applyBorder="1" applyAlignment="1" applyProtection="1">
      <alignment vertical="center"/>
    </xf>
    <xf numFmtId="0" fontId="26" fillId="0" borderId="0" xfId="0" applyNumberFormat="1" applyFont="1" applyBorder="1" applyAlignment="1" applyProtection="1">
      <alignment vertical="center" wrapText="1"/>
    </xf>
    <xf numFmtId="169" fontId="26" fillId="0" borderId="0" xfId="0" applyNumberFormat="1" applyFont="1" applyBorder="1" applyAlignment="1" applyProtection="1">
      <alignment vertical="center"/>
    </xf>
    <xf numFmtId="2" fontId="26" fillId="0" borderId="0" xfId="0" applyNumberFormat="1" applyFont="1" applyBorder="1" applyAlignment="1" applyProtection="1">
      <alignment vertical="center"/>
    </xf>
    <xf numFmtId="168" fontId="26" fillId="0" borderId="0" xfId="0" applyNumberFormat="1" applyFont="1" applyBorder="1" applyAlignment="1" applyProtection="1">
      <alignment vertical="center"/>
    </xf>
    <xf numFmtId="0" fontId="26" fillId="7" borderId="0" xfId="0" applyFont="1" applyFill="1" applyBorder="1" applyAlignment="1" applyProtection="1">
      <alignment horizontal="center" vertical="center"/>
    </xf>
    <xf numFmtId="0" fontId="26" fillId="0" borderId="0" xfId="0" applyFont="1" applyBorder="1" applyAlignment="1" applyProtection="1">
      <alignment horizontal="center"/>
    </xf>
    <xf numFmtId="0" fontId="26" fillId="0" borderId="0" xfId="0" applyFont="1" applyBorder="1" applyAlignment="1" applyProtection="1">
      <alignment horizontal="center" vertical="center"/>
    </xf>
    <xf numFmtId="0" fontId="26" fillId="0" borderId="0" xfId="0" applyFont="1" applyFill="1" applyBorder="1" applyAlignment="1" applyProtection="1">
      <alignment horizontal="center" vertical="center"/>
    </xf>
    <xf numFmtId="0" fontId="26" fillId="0" borderId="0" xfId="0" applyNumberFormat="1" applyFont="1" applyBorder="1" applyAlignment="1" applyProtection="1">
      <alignment horizontal="center"/>
    </xf>
    <xf numFmtId="0" fontId="26" fillId="0" borderId="0" xfId="0" applyNumberFormat="1" applyFont="1" applyBorder="1" applyAlignment="1" applyProtection="1">
      <alignment horizontal="center" vertical="center"/>
    </xf>
    <xf numFmtId="0" fontId="26" fillId="0" borderId="0" xfId="0" applyNumberFormat="1" applyFont="1" applyFill="1" applyBorder="1" applyAlignment="1" applyProtection="1">
      <alignment horizontal="center" vertical="center"/>
    </xf>
    <xf numFmtId="0" fontId="40" fillId="0" borderId="0" xfId="0" applyNumberFormat="1" applyFont="1" applyBorder="1" applyAlignment="1" applyProtection="1">
      <alignment horizontal="center" vertical="center"/>
    </xf>
    <xf numFmtId="0" fontId="48" fillId="0" borderId="0" xfId="0" applyFont="1" applyBorder="1" applyAlignment="1" applyProtection="1">
      <alignment horizontal="center" vertical="center" wrapText="1"/>
    </xf>
    <xf numFmtId="0" fontId="26" fillId="0" borderId="53" xfId="0" applyNumberFormat="1" applyFont="1" applyBorder="1" applyProtection="1"/>
    <xf numFmtId="0" fontId="26" fillId="0" borderId="0" xfId="0" applyFont="1" applyAlignment="1" applyProtection="1">
      <alignment horizontal="center" vertical="center"/>
    </xf>
    <xf numFmtId="2" fontId="26" fillId="0" borderId="0" xfId="0" applyNumberFormat="1" applyFont="1" applyAlignment="1" applyProtection="1">
      <alignment horizontal="center"/>
    </xf>
    <xf numFmtId="0" fontId="26" fillId="0" borderId="0" xfId="0" applyFont="1" applyAlignment="1" applyProtection="1">
      <alignment horizontal="center"/>
    </xf>
    <xf numFmtId="0" fontId="26" fillId="0" borderId="0" xfId="0" applyNumberFormat="1" applyFont="1" applyBorder="1" applyAlignment="1" applyProtection="1">
      <alignment horizontal="right"/>
    </xf>
    <xf numFmtId="0" fontId="0" fillId="7" borderId="0" xfId="0" applyNumberFormat="1" applyFill="1" applyBorder="1" applyAlignment="1" applyProtection="1">
      <alignment wrapText="1"/>
    </xf>
    <xf numFmtId="0" fontId="26" fillId="7" borderId="0" xfId="0" applyNumberFormat="1" applyFont="1" applyFill="1" applyBorder="1" applyAlignment="1" applyProtection="1">
      <alignment wrapText="1"/>
    </xf>
    <xf numFmtId="0" fontId="2" fillId="0" borderId="0" xfId="0" applyNumberFormat="1" applyFont="1" applyBorder="1" applyAlignment="1" applyProtection="1">
      <alignment wrapText="1"/>
    </xf>
    <xf numFmtId="0" fontId="26" fillId="0" borderId="0" xfId="0" applyNumberFormat="1" applyFont="1" applyBorder="1" applyAlignment="1" applyProtection="1">
      <alignment wrapText="1"/>
    </xf>
    <xf numFmtId="0" fontId="23" fillId="0" borderId="0" xfId="0" applyNumberFormat="1" applyFont="1" applyBorder="1" applyAlignment="1" applyProtection="1">
      <alignment wrapText="1"/>
    </xf>
    <xf numFmtId="166" fontId="0" fillId="17" borderId="1" xfId="0" applyNumberFormat="1" applyFont="1" applyFill="1" applyBorder="1" applyAlignment="1" applyProtection="1">
      <alignment horizontal="center" vertical="center" wrapText="1"/>
    </xf>
    <xf numFmtId="2" fontId="23" fillId="17" borderId="1" xfId="0" applyNumberFormat="1" applyFont="1" applyFill="1" applyBorder="1" applyAlignment="1" applyProtection="1">
      <alignment horizontal="center" vertical="center" wrapText="1"/>
    </xf>
    <xf numFmtId="1" fontId="23" fillId="17" borderId="1" xfId="0" applyNumberFormat="1" applyFont="1" applyFill="1" applyBorder="1" applyAlignment="1" applyProtection="1">
      <alignment horizontal="center" vertical="center" wrapText="1"/>
    </xf>
    <xf numFmtId="2" fontId="0" fillId="17" borderId="1" xfId="0" applyNumberFormat="1" applyFont="1" applyFill="1" applyBorder="1" applyAlignment="1" applyProtection="1">
      <alignment horizontal="center" vertical="center" wrapText="1"/>
    </xf>
    <xf numFmtId="4" fontId="23" fillId="17" borderId="1" xfId="0" applyNumberFormat="1" applyFont="1" applyFill="1" applyBorder="1" applyAlignment="1" applyProtection="1">
      <alignment horizontal="center" vertical="center" wrapText="1"/>
    </xf>
    <xf numFmtId="166" fontId="0" fillId="17" borderId="65" xfId="0" applyNumberFormat="1" applyFont="1" applyFill="1" applyBorder="1" applyAlignment="1" applyProtection="1">
      <alignment horizontal="center" vertical="center" wrapText="1"/>
    </xf>
    <xf numFmtId="0" fontId="32" fillId="7" borderId="0" xfId="0" applyFont="1" applyFill="1" applyBorder="1" applyAlignment="1" applyProtection="1">
      <alignment horizontal="center" vertical="center"/>
    </xf>
    <xf numFmtId="4" fontId="32" fillId="7" borderId="0" xfId="0" applyNumberFormat="1" applyFont="1" applyFill="1" applyBorder="1" applyAlignment="1" applyProtection="1">
      <alignment horizontal="center" vertical="center"/>
    </xf>
    <xf numFmtId="1" fontId="32" fillId="7" borderId="0" xfId="0" applyNumberFormat="1" applyFont="1" applyFill="1" applyBorder="1" applyAlignment="1" applyProtection="1">
      <alignment horizontal="center" vertical="center"/>
    </xf>
    <xf numFmtId="10" fontId="32" fillId="7" borderId="0" xfId="0" applyNumberFormat="1" applyFont="1" applyFill="1" applyBorder="1" applyAlignment="1" applyProtection="1">
      <alignment horizontal="center" vertical="center"/>
    </xf>
    <xf numFmtId="2" fontId="32" fillId="7" borderId="0" xfId="0" applyNumberFormat="1" applyFont="1" applyFill="1" applyBorder="1" applyAlignment="1" applyProtection="1">
      <alignment horizontal="center" vertical="center"/>
    </xf>
    <xf numFmtId="0" fontId="26" fillId="0" borderId="0" xfId="0" applyNumberFormat="1" applyFont="1" applyBorder="1" applyAlignment="1" applyProtection="1">
      <alignment horizontal="center" vertical="center" wrapText="1"/>
    </xf>
    <xf numFmtId="0" fontId="26" fillId="0" borderId="0" xfId="13" applyNumberFormat="1" applyFont="1" applyBorder="1" applyAlignment="1" applyProtection="1">
      <alignment horizontal="center"/>
    </xf>
    <xf numFmtId="2" fontId="26" fillId="0" borderId="0" xfId="0" applyNumberFormat="1" applyFont="1" applyProtection="1"/>
    <xf numFmtId="4" fontId="23" fillId="0" borderId="93" xfId="0" applyNumberFormat="1" applyFont="1" applyFill="1" applyBorder="1" applyAlignment="1" applyProtection="1">
      <alignment horizontal="center" vertical="center" wrapText="1"/>
      <protection locked="0"/>
    </xf>
    <xf numFmtId="4" fontId="23" fillId="7" borderId="93" xfId="0" applyNumberFormat="1" applyFont="1" applyFill="1" applyBorder="1" applyAlignment="1" applyProtection="1">
      <alignment horizontal="center" vertical="center" wrapText="1"/>
      <protection locked="0"/>
    </xf>
    <xf numFmtId="4" fontId="23" fillId="0" borderId="93" xfId="0" applyNumberFormat="1" applyFont="1" applyFill="1" applyBorder="1" applyAlignment="1" applyProtection="1">
      <alignment horizontal="center" vertical="center"/>
      <protection locked="0"/>
    </xf>
    <xf numFmtId="0" fontId="23" fillId="19" borderId="1" xfId="0" applyFont="1" applyFill="1" applyBorder="1" applyAlignment="1" applyProtection="1">
      <alignment horizontal="center" vertical="center" wrapText="1"/>
    </xf>
    <xf numFmtId="0" fontId="26" fillId="0" borderId="0" xfId="0" applyFont="1" applyAlignment="1" applyProtection="1">
      <alignment horizontal="center" vertical="center" wrapText="1"/>
    </xf>
    <xf numFmtId="0" fontId="3" fillId="7" borderId="0" xfId="0" applyFont="1" applyFill="1" applyBorder="1" applyAlignment="1" applyProtection="1">
      <alignment horizontal="right"/>
    </xf>
    <xf numFmtId="0" fontId="16" fillId="7" borderId="0" xfId="0" applyFont="1" applyFill="1" applyBorder="1" applyAlignment="1" applyProtection="1">
      <alignment vertical="center" wrapText="1"/>
    </xf>
    <xf numFmtId="0" fontId="23" fillId="7" borderId="1" xfId="0" applyFont="1" applyFill="1" applyBorder="1" applyAlignment="1" applyProtection="1">
      <alignment horizontal="center" vertical="center" wrapText="1"/>
      <protection locked="0"/>
    </xf>
    <xf numFmtId="10" fontId="26" fillId="7" borderId="0" xfId="0" applyNumberFormat="1" applyFont="1" applyFill="1" applyBorder="1" applyProtection="1"/>
    <xf numFmtId="2" fontId="26" fillId="7" borderId="0" xfId="0" applyNumberFormat="1" applyFont="1" applyFill="1" applyBorder="1" applyProtection="1"/>
    <xf numFmtId="0" fontId="2" fillId="7" borderId="0" xfId="0" applyNumberFormat="1" applyFont="1" applyFill="1" applyBorder="1" applyProtection="1"/>
    <xf numFmtId="0" fontId="26" fillId="7" borderId="0" xfId="0" applyNumberFormat="1" applyFont="1" applyFill="1" applyBorder="1" applyAlignment="1" applyProtection="1">
      <alignment horizontal="center"/>
    </xf>
    <xf numFmtId="0" fontId="23" fillId="7" borderId="0" xfId="0" applyNumberFormat="1" applyFont="1" applyFill="1" applyBorder="1" applyProtection="1"/>
    <xf numFmtId="2" fontId="23" fillId="7" borderId="0" xfId="0" applyNumberFormat="1" applyFont="1" applyFill="1" applyBorder="1" applyProtection="1"/>
    <xf numFmtId="0" fontId="26" fillId="7" borderId="0" xfId="0" applyNumberFormat="1" applyFont="1" applyFill="1" applyBorder="1" applyAlignment="1" applyProtection="1">
      <alignment vertical="center"/>
    </xf>
    <xf numFmtId="0" fontId="26" fillId="7" borderId="0" xfId="0" applyNumberFormat="1" applyFont="1" applyFill="1" applyBorder="1" applyAlignment="1" applyProtection="1">
      <alignment vertical="center" wrapText="1"/>
    </xf>
    <xf numFmtId="0" fontId="26" fillId="7" borderId="0" xfId="0" applyNumberFormat="1" applyFont="1" applyFill="1" applyBorder="1" applyAlignment="1" applyProtection="1">
      <alignment horizontal="center" vertical="center"/>
    </xf>
    <xf numFmtId="0" fontId="23" fillId="7" borderId="0" xfId="0" applyNumberFormat="1" applyFont="1" applyFill="1" applyBorder="1" applyAlignment="1" applyProtection="1">
      <alignment vertical="center"/>
    </xf>
    <xf numFmtId="2" fontId="23" fillId="7" borderId="0" xfId="0" applyNumberFormat="1" applyFont="1" applyFill="1" applyBorder="1" applyAlignment="1" applyProtection="1">
      <alignment vertical="center"/>
    </xf>
    <xf numFmtId="2" fontId="42" fillId="7" borderId="0" xfId="0" applyNumberFormat="1" applyFont="1" applyFill="1" applyBorder="1" applyAlignment="1" applyProtection="1">
      <alignment horizontal="center" vertical="center" wrapText="1"/>
    </xf>
    <xf numFmtId="0" fontId="43" fillId="7" borderId="0" xfId="0" applyFont="1" applyFill="1" applyBorder="1" applyAlignment="1" applyProtection="1">
      <alignment horizontal="center" vertical="center" wrapText="1"/>
    </xf>
    <xf numFmtId="0" fontId="2" fillId="7" borderId="0" xfId="0" applyNumberFormat="1" applyFont="1" applyFill="1" applyBorder="1" applyAlignment="1" applyProtection="1">
      <alignment horizontal="center" vertical="center"/>
    </xf>
    <xf numFmtId="167" fontId="2" fillId="7" borderId="0" xfId="0" applyNumberFormat="1" applyFont="1" applyFill="1" applyProtection="1"/>
    <xf numFmtId="2" fontId="26" fillId="7" borderId="0" xfId="0" applyNumberFormat="1" applyFont="1" applyFill="1" applyAlignment="1" applyProtection="1">
      <alignment horizontal="center"/>
    </xf>
    <xf numFmtId="0" fontId="26" fillId="7" borderId="0" xfId="0" applyFont="1" applyFill="1" applyAlignment="1" applyProtection="1">
      <alignment horizontal="center"/>
    </xf>
    <xf numFmtId="0" fontId="2" fillId="7" borderId="0" xfId="0" applyNumberFormat="1" applyFont="1" applyFill="1" applyBorder="1" applyAlignment="1" applyProtection="1">
      <alignment horizontal="center"/>
    </xf>
    <xf numFmtId="0" fontId="2" fillId="7" borderId="0" xfId="0" applyFont="1" applyFill="1" applyAlignment="1" applyProtection="1">
      <alignment horizontal="center"/>
    </xf>
    <xf numFmtId="2" fontId="2" fillId="7" borderId="0" xfId="0" applyNumberFormat="1" applyFont="1" applyFill="1" applyAlignment="1" applyProtection="1">
      <alignment horizontal="center"/>
    </xf>
    <xf numFmtId="0" fontId="26" fillId="7" borderId="0" xfId="0" applyNumberFormat="1" applyFont="1" applyFill="1" applyBorder="1" applyAlignment="1" applyProtection="1">
      <alignment horizontal="right"/>
    </xf>
    <xf numFmtId="2" fontId="48" fillId="0" borderId="0" xfId="0" applyNumberFormat="1" applyFont="1" applyBorder="1" applyAlignment="1" applyProtection="1">
      <alignment horizontal="center" vertical="center" wrapText="1"/>
    </xf>
    <xf numFmtId="164" fontId="26" fillId="0" borderId="0" xfId="13" applyFont="1" applyProtection="1"/>
    <xf numFmtId="167" fontId="26" fillId="0" borderId="0" xfId="0" applyNumberFormat="1" applyFont="1" applyProtection="1"/>
    <xf numFmtId="0" fontId="46" fillId="16" borderId="94" xfId="0" applyNumberFormat="1" applyFont="1" applyFill="1" applyBorder="1" applyAlignment="1" applyProtection="1">
      <alignment horizontal="left" vertical="center" wrapText="1"/>
    </xf>
    <xf numFmtId="0" fontId="0" fillId="7" borderId="64" xfId="0" applyFont="1" applyFill="1" applyBorder="1" applyAlignment="1" applyProtection="1">
      <alignment horizontal="center" vertical="center"/>
      <protection locked="0"/>
    </xf>
    <xf numFmtId="0" fontId="0" fillId="7" borderId="54" xfId="0" applyFont="1" applyFill="1" applyBorder="1" applyAlignment="1" applyProtection="1">
      <alignment horizontal="center" vertical="center"/>
      <protection locked="0"/>
    </xf>
    <xf numFmtId="0" fontId="0" fillId="7" borderId="96" xfId="0" applyFont="1" applyFill="1" applyBorder="1" applyAlignment="1" applyProtection="1">
      <alignment vertical="center"/>
      <protection locked="0"/>
    </xf>
    <xf numFmtId="0" fontId="28" fillId="0" borderId="10" xfId="0" applyFont="1" applyFill="1" applyBorder="1" applyAlignment="1" applyProtection="1">
      <alignment vertical="center"/>
    </xf>
    <xf numFmtId="0" fontId="40" fillId="18" borderId="10" xfId="0" applyFont="1" applyFill="1" applyBorder="1" applyAlignment="1" applyProtection="1">
      <alignment vertical="center"/>
    </xf>
    <xf numFmtId="0" fontId="40" fillId="18" borderId="75" xfId="0" applyFont="1" applyFill="1" applyBorder="1" applyAlignment="1" applyProtection="1">
      <alignment horizontal="center" vertical="center"/>
    </xf>
    <xf numFmtId="0" fontId="40" fillId="18" borderId="77" xfId="0" applyFont="1" applyFill="1" applyBorder="1" applyAlignment="1" applyProtection="1">
      <alignment horizontal="center" vertical="center" wrapText="1"/>
    </xf>
    <xf numFmtId="10" fontId="40" fillId="18" borderId="76" xfId="0" applyNumberFormat="1" applyFont="1" applyFill="1" applyBorder="1" applyAlignment="1" applyProtection="1">
      <alignment horizontal="center" vertical="center" wrapText="1"/>
    </xf>
    <xf numFmtId="0" fontId="40" fillId="18" borderId="76" xfId="0" applyFont="1" applyFill="1" applyBorder="1" applyAlignment="1" applyProtection="1">
      <alignment horizontal="center" vertical="center" wrapText="1"/>
    </xf>
    <xf numFmtId="0" fontId="40" fillId="18" borderId="76" xfId="0" applyFont="1" applyFill="1" applyBorder="1" applyAlignment="1" applyProtection="1">
      <alignment horizontal="center" vertical="center"/>
    </xf>
    <xf numFmtId="10" fontId="51" fillId="18" borderId="61" xfId="0" applyNumberFormat="1" applyFont="1" applyFill="1" applyBorder="1" applyProtection="1"/>
    <xf numFmtId="0" fontId="51" fillId="18" borderId="61" xfId="0" applyFont="1" applyFill="1" applyBorder="1" applyProtection="1"/>
    <xf numFmtId="0" fontId="50" fillId="18" borderId="60" xfId="0" applyFont="1" applyFill="1" applyBorder="1" applyAlignment="1" applyProtection="1">
      <alignment horizontal="left" vertical="center"/>
    </xf>
    <xf numFmtId="0" fontId="52" fillId="18" borderId="102" xfId="0" applyFont="1" applyFill="1" applyBorder="1" applyAlignment="1" applyProtection="1">
      <alignment horizontal="left" vertical="center"/>
    </xf>
    <xf numFmtId="10" fontId="51" fillId="18" borderId="0" xfId="0" applyNumberFormat="1" applyFont="1" applyFill="1" applyBorder="1" applyProtection="1"/>
    <xf numFmtId="0" fontId="51" fillId="18" borderId="0" xfId="0" applyFont="1" applyFill="1" applyBorder="1" applyProtection="1"/>
    <xf numFmtId="10" fontId="51" fillId="18" borderId="0" xfId="0" applyNumberFormat="1" applyFont="1" applyFill="1" applyBorder="1" applyAlignment="1" applyProtection="1">
      <alignment horizontal="center" vertical="center"/>
    </xf>
    <xf numFmtId="0" fontId="51" fillId="18" borderId="0" xfId="0" applyFont="1" applyFill="1" applyBorder="1" applyAlignment="1" applyProtection="1">
      <alignment horizontal="center" vertical="center"/>
    </xf>
    <xf numFmtId="0" fontId="50" fillId="18" borderId="102" xfId="0" applyFont="1" applyFill="1" applyBorder="1" applyAlignment="1" applyProtection="1">
      <alignment horizontal="left" vertical="center"/>
    </xf>
    <xf numFmtId="0" fontId="0" fillId="0" borderId="0" xfId="0" applyProtection="1"/>
    <xf numFmtId="4" fontId="28" fillId="0" borderId="100" xfId="0" applyNumberFormat="1" applyFont="1" applyFill="1" applyBorder="1" applyAlignment="1" applyProtection="1">
      <alignment horizontal="center" vertical="center" wrapText="1"/>
      <protection locked="0"/>
    </xf>
    <xf numFmtId="3" fontId="19" fillId="0" borderId="104" xfId="15" applyNumberFormat="1" applyFont="1" applyBorder="1" applyAlignment="1" applyProtection="1">
      <alignment horizontal="center" readingOrder="1"/>
      <protection locked="0"/>
    </xf>
    <xf numFmtId="4" fontId="40" fillId="18" borderId="76" xfId="0" applyNumberFormat="1" applyFont="1" applyFill="1" applyBorder="1" applyAlignment="1" applyProtection="1">
      <alignment horizontal="center" vertical="center"/>
    </xf>
    <xf numFmtId="10" fontId="40" fillId="18" borderId="76" xfId="0" applyNumberFormat="1" applyFont="1" applyFill="1" applyBorder="1" applyAlignment="1" applyProtection="1">
      <alignment horizontal="center" vertical="center"/>
    </xf>
    <xf numFmtId="171" fontId="40" fillId="18" borderId="77" xfId="14" applyNumberFormat="1" applyFont="1" applyFill="1" applyBorder="1" applyAlignment="1" applyProtection="1">
      <alignment horizontal="center" vertical="center"/>
    </xf>
    <xf numFmtId="0" fontId="40" fillId="18" borderId="75" xfId="0" applyFont="1" applyFill="1" applyBorder="1" applyAlignment="1" applyProtection="1">
      <alignment horizontal="center" vertical="center" wrapText="1"/>
    </xf>
    <xf numFmtId="4" fontId="40" fillId="18" borderId="75" xfId="0" applyNumberFormat="1" applyFont="1" applyFill="1" applyBorder="1" applyAlignment="1" applyProtection="1">
      <alignment horizontal="center" vertical="center" wrapText="1"/>
    </xf>
    <xf numFmtId="2" fontId="40" fillId="18" borderId="75" xfId="0" applyNumberFormat="1" applyFont="1" applyFill="1" applyBorder="1" applyAlignment="1" applyProtection="1">
      <alignment horizontal="center" vertical="center" wrapText="1"/>
    </xf>
    <xf numFmtId="10" fontId="40" fillId="18" borderId="75" xfId="0" applyNumberFormat="1" applyFont="1" applyFill="1" applyBorder="1" applyAlignment="1" applyProtection="1">
      <alignment horizontal="center" vertical="center" wrapText="1"/>
    </xf>
    <xf numFmtId="0" fontId="0" fillId="0" borderId="0" xfId="0" applyFill="1" applyProtection="1"/>
    <xf numFmtId="0" fontId="23" fillId="19" borderId="1" xfId="0" applyFont="1" applyFill="1" applyBorder="1" applyAlignment="1" applyProtection="1">
      <alignment horizontal="center" vertical="center" wrapText="1"/>
    </xf>
    <xf numFmtId="0" fontId="23" fillId="19" borderId="67" xfId="0" applyFont="1" applyFill="1" applyBorder="1" applyAlignment="1" applyProtection="1">
      <alignment horizontal="left" vertical="center"/>
    </xf>
    <xf numFmtId="0" fontId="23" fillId="19" borderId="107" xfId="0" applyFont="1" applyFill="1" applyBorder="1" applyAlignment="1" applyProtection="1">
      <alignment vertical="center" wrapText="1"/>
    </xf>
    <xf numFmtId="0" fontId="23" fillId="19" borderId="79" xfId="0" applyFont="1" applyFill="1" applyBorder="1" applyAlignment="1" applyProtection="1">
      <alignment vertical="center" wrapText="1"/>
    </xf>
    <xf numFmtId="0" fontId="23" fillId="19" borderId="73" xfId="0" applyFont="1" applyFill="1" applyBorder="1" applyAlignment="1" applyProtection="1">
      <alignment vertical="center" wrapText="1"/>
    </xf>
    <xf numFmtId="0" fontId="23" fillId="19" borderId="79" xfId="0" applyFont="1" applyFill="1" applyBorder="1" applyAlignment="1" applyProtection="1">
      <alignment vertical="center"/>
    </xf>
    <xf numFmtId="0" fontId="23" fillId="19" borderId="73" xfId="0" applyFont="1" applyFill="1" applyBorder="1" applyAlignment="1" applyProtection="1">
      <alignment vertical="center"/>
    </xf>
    <xf numFmtId="0" fontId="23" fillId="7" borderId="0" xfId="0" applyFont="1" applyFill="1" applyBorder="1" applyProtection="1"/>
    <xf numFmtId="0" fontId="23" fillId="7" borderId="0" xfId="0" applyFont="1" applyFill="1" applyBorder="1" applyAlignment="1" applyProtection="1">
      <alignment horizontal="center"/>
    </xf>
    <xf numFmtId="10" fontId="23" fillId="7" borderId="0" xfId="0" applyNumberFormat="1" applyFont="1" applyFill="1" applyBorder="1" applyAlignment="1" applyProtection="1">
      <alignment horizontal="center"/>
    </xf>
    <xf numFmtId="0" fontId="23" fillId="7" borderId="0" xfId="0" applyFont="1" applyFill="1" applyBorder="1" applyAlignment="1" applyProtection="1">
      <alignment horizontal="center" vertical="center"/>
    </xf>
    <xf numFmtId="0" fontId="23" fillId="0" borderId="0" xfId="0" applyFont="1" applyBorder="1" applyAlignment="1" applyProtection="1">
      <alignment horizontal="center"/>
    </xf>
    <xf numFmtId="10" fontId="23" fillId="0" borderId="0" xfId="0" applyNumberFormat="1" applyFont="1" applyBorder="1" applyAlignment="1" applyProtection="1">
      <alignment horizontal="center"/>
    </xf>
    <xf numFmtId="0" fontId="23" fillId="0" borderId="0" xfId="0" applyFont="1" applyBorder="1" applyAlignment="1" applyProtection="1">
      <alignment horizontal="center" vertical="center"/>
    </xf>
    <xf numFmtId="0" fontId="27" fillId="0" borderId="0" xfId="0" applyFont="1" applyFill="1" applyBorder="1" applyAlignment="1" applyProtection="1">
      <alignment horizontal="center" vertical="center"/>
    </xf>
    <xf numFmtId="0" fontId="27" fillId="7" borderId="0" xfId="0" applyFont="1" applyFill="1" applyBorder="1" applyAlignment="1" applyProtection="1">
      <alignment horizontal="center" vertical="center"/>
    </xf>
    <xf numFmtId="0" fontId="23" fillId="0" borderId="0" xfId="0" applyNumberFormat="1" applyFont="1" applyBorder="1" applyAlignment="1" applyProtection="1">
      <alignment horizontal="center" wrapText="1"/>
    </xf>
    <xf numFmtId="0" fontId="23" fillId="0" borderId="0" xfId="0" applyNumberFormat="1" applyFont="1" applyBorder="1" applyAlignment="1" applyProtection="1">
      <alignment horizontal="center" vertical="center" wrapText="1"/>
    </xf>
    <xf numFmtId="0" fontId="23" fillId="0" borderId="0" xfId="0" applyFont="1" applyFill="1" applyBorder="1" applyProtection="1"/>
    <xf numFmtId="0" fontId="23" fillId="0" borderId="0" xfId="0" applyFont="1" applyFill="1" applyBorder="1" applyAlignment="1" applyProtection="1">
      <alignment horizontal="center"/>
    </xf>
    <xf numFmtId="10" fontId="23" fillId="0" borderId="0" xfId="0" applyNumberFormat="1" applyFont="1" applyFill="1" applyBorder="1" applyAlignment="1" applyProtection="1">
      <alignment horizontal="center"/>
    </xf>
    <xf numFmtId="0" fontId="23" fillId="0" borderId="0" xfId="0" applyFont="1" applyFill="1" applyBorder="1" applyAlignment="1" applyProtection="1">
      <alignment horizontal="center" vertical="center"/>
    </xf>
    <xf numFmtId="0" fontId="23" fillId="0" borderId="0" xfId="0" applyNumberFormat="1" applyFont="1" applyBorder="1" applyAlignment="1" applyProtection="1">
      <alignment horizontal="center"/>
    </xf>
    <xf numFmtId="0" fontId="27" fillId="0" borderId="0" xfId="0" applyNumberFormat="1" applyFont="1" applyFill="1" applyBorder="1" applyAlignment="1" applyProtection="1">
      <alignment horizontal="center" vertical="center"/>
    </xf>
    <xf numFmtId="0" fontId="23" fillId="0" borderId="0" xfId="0" applyNumberFormat="1" applyFont="1" applyBorder="1" applyAlignment="1" applyProtection="1">
      <alignment horizontal="center" vertical="center"/>
    </xf>
    <xf numFmtId="0" fontId="23" fillId="7" borderId="0" xfId="0" applyNumberFormat="1" applyFont="1" applyFill="1" applyBorder="1" applyAlignment="1" applyProtection="1">
      <alignment horizontal="center"/>
    </xf>
    <xf numFmtId="0" fontId="53" fillId="7" borderId="57" xfId="0" applyFont="1" applyFill="1" applyBorder="1" applyAlignment="1" applyProtection="1">
      <alignment horizontal="center" vertical="center" wrapText="1"/>
    </xf>
    <xf numFmtId="0" fontId="53" fillId="7" borderId="55" xfId="0" applyFont="1" applyFill="1" applyBorder="1" applyAlignment="1" applyProtection="1">
      <alignment horizontal="center" vertical="center" wrapText="1"/>
    </xf>
    <xf numFmtId="0" fontId="53" fillId="7" borderId="53" xfId="0" applyFont="1" applyFill="1" applyBorder="1" applyAlignment="1" applyProtection="1">
      <alignment horizontal="center" vertical="center" wrapText="1"/>
    </xf>
    <xf numFmtId="0" fontId="54" fillId="7" borderId="55" xfId="0" applyFont="1" applyFill="1" applyBorder="1" applyAlignment="1" applyProtection="1">
      <alignment horizontal="left" vertical="center" wrapText="1"/>
    </xf>
    <xf numFmtId="0" fontId="54" fillId="7" borderId="54" xfId="0" applyFont="1" applyFill="1" applyBorder="1" applyAlignment="1" applyProtection="1">
      <alignment horizontal="center" vertical="center" wrapText="1"/>
    </xf>
    <xf numFmtId="0" fontId="54" fillId="0" borderId="56" xfId="0" applyFont="1" applyBorder="1" applyAlignment="1" applyProtection="1">
      <alignment horizontal="center" vertical="center" wrapText="1"/>
    </xf>
    <xf numFmtId="10" fontId="54" fillId="7" borderId="56" xfId="0" applyNumberFormat="1" applyFont="1" applyFill="1" applyBorder="1" applyAlignment="1" applyProtection="1">
      <alignment horizontal="center" vertical="center" wrapText="1"/>
    </xf>
    <xf numFmtId="10" fontId="54" fillId="7" borderId="54" xfId="0" applyNumberFormat="1" applyFont="1" applyFill="1" applyBorder="1" applyAlignment="1" applyProtection="1">
      <alignment horizontal="center" vertical="center" wrapText="1"/>
    </xf>
    <xf numFmtId="0" fontId="54" fillId="7" borderId="56" xfId="0" applyFont="1" applyFill="1" applyBorder="1" applyAlignment="1" applyProtection="1">
      <alignment horizontal="center" vertical="center"/>
    </xf>
    <xf numFmtId="0" fontId="54" fillId="7" borderId="56" xfId="0" applyFont="1" applyFill="1" applyBorder="1" applyAlignment="1" applyProtection="1">
      <alignment horizontal="center" vertical="center" wrapText="1"/>
    </xf>
    <xf numFmtId="0" fontId="54" fillId="7" borderId="56" xfId="0" applyFont="1" applyFill="1" applyBorder="1" applyAlignment="1" applyProtection="1">
      <alignment horizontal="left" vertical="center" wrapText="1"/>
    </xf>
    <xf numFmtId="0" fontId="23" fillId="7" borderId="0" xfId="13" applyNumberFormat="1" applyFont="1" applyFill="1" applyBorder="1" applyAlignment="1" applyProtection="1">
      <alignment horizontal="center" vertical="center"/>
      <protection hidden="1"/>
    </xf>
    <xf numFmtId="0" fontId="23" fillId="7" borderId="0" xfId="0" applyNumberFormat="1" applyFont="1" applyFill="1" applyBorder="1" applyAlignment="1" applyProtection="1">
      <alignment horizontal="center" vertical="center"/>
    </xf>
    <xf numFmtId="0" fontId="54" fillId="7" borderId="53" xfId="0" applyFont="1" applyFill="1" applyBorder="1" applyAlignment="1" applyProtection="1">
      <alignment horizontal="left" vertical="center" wrapText="1"/>
    </xf>
    <xf numFmtId="0" fontId="54" fillId="7" borderId="53" xfId="0" applyFont="1" applyFill="1" applyBorder="1" applyAlignment="1" applyProtection="1">
      <alignment horizontal="center" vertical="center" wrapText="1"/>
    </xf>
    <xf numFmtId="0" fontId="54" fillId="7" borderId="56" xfId="0" applyFont="1" applyFill="1" applyBorder="1" applyAlignment="1" applyProtection="1">
      <alignment horizontal="right" vertical="center"/>
    </xf>
    <xf numFmtId="2" fontId="23" fillId="7" borderId="0" xfId="0" applyNumberFormat="1" applyFont="1" applyFill="1" applyAlignment="1" applyProtection="1">
      <alignment horizontal="center"/>
    </xf>
    <xf numFmtId="0" fontId="23" fillId="7" borderId="0" xfId="0" applyFont="1" applyFill="1" applyAlignment="1" applyProtection="1">
      <alignment horizontal="center"/>
    </xf>
    <xf numFmtId="0" fontId="53" fillId="7" borderId="53" xfId="0" applyFont="1" applyFill="1" applyBorder="1" applyAlignment="1" applyProtection="1">
      <alignment horizontal="left" vertical="center" wrapText="1"/>
    </xf>
    <xf numFmtId="0" fontId="53" fillId="7" borderId="54" xfId="0" applyFont="1" applyFill="1" applyBorder="1" applyAlignment="1" applyProtection="1">
      <alignment horizontal="left" vertical="center" wrapText="1"/>
    </xf>
    <xf numFmtId="0" fontId="53" fillId="0" borderId="57" xfId="0" applyFont="1" applyBorder="1" applyAlignment="1" applyProtection="1">
      <alignment vertical="center" wrapText="1"/>
    </xf>
    <xf numFmtId="0" fontId="53" fillId="0" borderId="57" xfId="0" applyFont="1" applyBorder="1" applyAlignment="1" applyProtection="1">
      <alignment horizontal="center" vertical="center" wrapText="1"/>
    </xf>
    <xf numFmtId="0" fontId="53" fillId="0" borderId="55" xfId="0" applyFont="1" applyBorder="1" applyAlignment="1" applyProtection="1">
      <alignment horizontal="center" vertical="center" wrapText="1"/>
    </xf>
    <xf numFmtId="0" fontId="53" fillId="0" borderId="53" xfId="0" applyFont="1" applyBorder="1" applyAlignment="1" applyProtection="1">
      <alignment horizontal="center" vertical="center" wrapText="1"/>
    </xf>
    <xf numFmtId="0" fontId="54" fillId="0" borderId="53" xfId="0" applyFont="1" applyBorder="1" applyAlignment="1" applyProtection="1">
      <alignment horizontal="left" vertical="center" wrapText="1"/>
    </xf>
    <xf numFmtId="0" fontId="54" fillId="0" borderId="54" xfId="0" applyFont="1" applyBorder="1" applyAlignment="1" applyProtection="1">
      <alignment horizontal="center" vertical="center" wrapText="1"/>
    </xf>
    <xf numFmtId="10" fontId="54" fillId="0" borderId="54" xfId="0" applyNumberFormat="1" applyFont="1" applyBorder="1" applyAlignment="1" applyProtection="1">
      <alignment horizontal="center" vertical="center" wrapText="1"/>
    </xf>
    <xf numFmtId="10" fontId="54" fillId="0" borderId="56" xfId="0" applyNumberFormat="1" applyFont="1" applyBorder="1" applyAlignment="1" applyProtection="1">
      <alignment horizontal="center" vertical="center" wrapText="1"/>
    </xf>
    <xf numFmtId="0" fontId="54" fillId="0" borderId="55" xfId="0" applyFont="1" applyBorder="1" applyAlignment="1" applyProtection="1">
      <alignment horizontal="left" vertical="center" wrapText="1"/>
    </xf>
    <xf numFmtId="0" fontId="54" fillId="0" borderId="56" xfId="0" applyFont="1" applyBorder="1" applyAlignment="1" applyProtection="1">
      <alignment horizontal="center" vertical="center"/>
    </xf>
    <xf numFmtId="0" fontId="23" fillId="0" borderId="0" xfId="13" applyNumberFormat="1" applyFont="1" applyFill="1" applyBorder="1" applyAlignment="1" applyProtection="1">
      <alignment horizontal="center" vertical="center"/>
      <protection hidden="1"/>
    </xf>
    <xf numFmtId="0" fontId="54" fillId="14" borderId="56" xfId="0" applyFont="1" applyFill="1" applyBorder="1" applyAlignment="1" applyProtection="1">
      <alignment horizontal="center" vertical="center"/>
    </xf>
    <xf numFmtId="0" fontId="54" fillId="14" borderId="56" xfId="0" applyFont="1" applyFill="1" applyBorder="1" applyAlignment="1" applyProtection="1">
      <alignment horizontal="center" vertical="center" wrapText="1"/>
    </xf>
    <xf numFmtId="0" fontId="54" fillId="0" borderId="56" xfId="0" applyFont="1" applyBorder="1" applyAlignment="1" applyProtection="1">
      <alignment horizontal="right" vertical="center"/>
    </xf>
    <xf numFmtId="0" fontId="54" fillId="0" borderId="55" xfId="0" applyFont="1" applyBorder="1" applyAlignment="1" applyProtection="1">
      <alignment horizontal="center" vertical="center" wrapText="1"/>
    </xf>
    <xf numFmtId="0" fontId="23" fillId="0" borderId="0" xfId="0" applyNumberFormat="1" applyFont="1" applyFill="1" applyBorder="1" applyAlignment="1" applyProtection="1">
      <alignment horizontal="center" vertical="center"/>
    </xf>
    <xf numFmtId="10" fontId="59" fillId="0" borderId="54" xfId="1" applyNumberFormat="1" applyFont="1" applyBorder="1" applyAlignment="1" applyProtection="1">
      <alignment horizontal="center" vertical="center" wrapText="1"/>
    </xf>
    <xf numFmtId="0" fontId="27" fillId="0" borderId="0" xfId="0" applyNumberFormat="1" applyFont="1" applyBorder="1" applyAlignment="1" applyProtection="1">
      <alignment horizontal="center" vertical="center"/>
    </xf>
    <xf numFmtId="0" fontId="54" fillId="0" borderId="0" xfId="0" applyFont="1" applyBorder="1" applyAlignment="1" applyProtection="1">
      <alignment horizontal="left" vertical="center" wrapText="1"/>
    </xf>
    <xf numFmtId="0" fontId="54" fillId="0" borderId="0" xfId="0" applyFont="1" applyBorder="1" applyAlignment="1" applyProtection="1">
      <alignment horizontal="center" vertical="center" wrapText="1"/>
    </xf>
    <xf numFmtId="10" fontId="54" fillId="0" borderId="0" xfId="0" applyNumberFormat="1" applyFont="1" applyBorder="1" applyAlignment="1" applyProtection="1">
      <alignment horizontal="center" vertical="center" wrapText="1"/>
    </xf>
    <xf numFmtId="0" fontId="54" fillId="0" borderId="56" xfId="0" applyFont="1" applyBorder="1" applyAlignment="1" applyProtection="1">
      <alignment horizontal="left" vertical="center" wrapText="1"/>
    </xf>
    <xf numFmtId="0" fontId="23" fillId="0" borderId="0" xfId="0" applyFont="1" applyAlignment="1" applyProtection="1">
      <alignment horizontal="center" vertical="center" wrapText="1"/>
    </xf>
    <xf numFmtId="0" fontId="23" fillId="0" borderId="0" xfId="0" applyFont="1" applyAlignment="1" applyProtection="1">
      <alignment horizontal="center" vertical="center"/>
    </xf>
    <xf numFmtId="2" fontId="23" fillId="0" borderId="0" xfId="0" applyNumberFormat="1" applyFont="1" applyAlignment="1" applyProtection="1">
      <alignment horizontal="center"/>
    </xf>
    <xf numFmtId="0" fontId="23" fillId="0" borderId="0" xfId="0" applyFont="1" applyAlignment="1" applyProtection="1">
      <alignment horizontal="center"/>
    </xf>
    <xf numFmtId="10" fontId="54" fillId="14" borderId="56" xfId="0" applyNumberFormat="1" applyFont="1" applyFill="1" applyBorder="1" applyAlignment="1" applyProtection="1">
      <alignment horizontal="center" vertical="center" wrapText="1"/>
    </xf>
    <xf numFmtId="0" fontId="58" fillId="0" borderId="0" xfId="0" applyFont="1" applyProtection="1"/>
    <xf numFmtId="0" fontId="58" fillId="0" borderId="53" xfId="0" applyFont="1" applyBorder="1" applyProtection="1"/>
    <xf numFmtId="0" fontId="53" fillId="0" borderId="53" xfId="0" applyFont="1" applyBorder="1" applyAlignment="1" applyProtection="1">
      <alignment horizontal="left" vertical="center" wrapText="1"/>
    </xf>
    <xf numFmtId="0" fontId="53" fillId="0" borderId="54" xfId="0" applyFont="1" applyBorder="1" applyAlignment="1" applyProtection="1">
      <alignment horizontal="left" vertical="center" wrapText="1"/>
    </xf>
    <xf numFmtId="0" fontId="60" fillId="0" borderId="56" xfId="0" applyFont="1" applyBorder="1" applyAlignment="1" applyProtection="1">
      <alignment horizontal="center" vertical="center" wrapText="1"/>
    </xf>
    <xf numFmtId="0" fontId="60" fillId="0" borderId="53" xfId="0" applyFont="1" applyBorder="1" applyAlignment="1" applyProtection="1">
      <alignment horizontal="center" vertical="center" wrapText="1"/>
    </xf>
    <xf numFmtId="0" fontId="54" fillId="0" borderId="108" xfId="0" applyFont="1" applyBorder="1" applyAlignment="1" applyProtection="1">
      <alignment horizontal="left" vertical="center" wrapText="1"/>
    </xf>
    <xf numFmtId="0" fontId="54" fillId="0" borderId="108" xfId="0" applyFont="1" applyBorder="1" applyAlignment="1" applyProtection="1">
      <alignment horizontal="center" vertical="center" wrapText="1"/>
    </xf>
    <xf numFmtId="10" fontId="54" fillId="0" borderId="87" xfId="0" applyNumberFormat="1" applyFont="1" applyBorder="1" applyAlignment="1" applyProtection="1">
      <alignment horizontal="center" vertical="center" wrapText="1"/>
    </xf>
    <xf numFmtId="168" fontId="23" fillId="19" borderId="1" xfId="0" applyNumberFormat="1" applyFont="1" applyFill="1" applyBorder="1" applyAlignment="1" applyProtection="1">
      <alignment horizontal="center" vertical="center" wrapText="1"/>
    </xf>
    <xf numFmtId="10" fontId="2" fillId="0" borderId="0" xfId="0" applyNumberFormat="1" applyFont="1" applyBorder="1" applyProtection="1"/>
    <xf numFmtId="2" fontId="2" fillId="0" borderId="0" xfId="0" applyNumberFormat="1" applyFont="1" applyBorder="1" applyProtection="1"/>
    <xf numFmtId="169" fontId="2" fillId="0" borderId="0" xfId="0" applyNumberFormat="1" applyFont="1" applyBorder="1" applyProtection="1"/>
    <xf numFmtId="168" fontId="2" fillId="0" borderId="0" xfId="0" applyNumberFormat="1" applyFont="1" applyBorder="1" applyProtection="1"/>
    <xf numFmtId="0" fontId="60" fillId="0" borderId="55" xfId="0" applyFont="1" applyBorder="1" applyAlignment="1" applyProtection="1">
      <alignment horizontal="left" vertical="center" wrapText="1"/>
    </xf>
    <xf numFmtId="0" fontId="60" fillId="0" borderId="55" xfId="0" applyFont="1" applyBorder="1" applyAlignment="1" applyProtection="1">
      <alignment horizontal="center" vertical="center" wrapText="1"/>
    </xf>
    <xf numFmtId="0" fontId="2" fillId="0" borderId="0" xfId="0" applyNumberFormat="1" applyFont="1" applyBorder="1" applyAlignment="1" applyProtection="1">
      <alignment horizontal="center"/>
    </xf>
    <xf numFmtId="0" fontId="2" fillId="0" borderId="0" xfId="0" applyNumberFormat="1" applyFont="1" applyBorder="1" applyAlignment="1" applyProtection="1">
      <alignment horizontal="center" vertical="center"/>
    </xf>
    <xf numFmtId="0" fontId="2" fillId="0" borderId="0" xfId="0" applyNumberFormat="1" applyFont="1" applyBorder="1" applyAlignment="1" applyProtection="1">
      <alignment horizontal="left"/>
    </xf>
    <xf numFmtId="0" fontId="62" fillId="0" borderId="0" xfId="0" applyNumberFormat="1" applyFont="1" applyBorder="1" applyProtection="1"/>
    <xf numFmtId="0" fontId="62" fillId="0" borderId="0" xfId="0" applyNumberFormat="1" applyFont="1" applyBorder="1" applyAlignment="1" applyProtection="1">
      <alignment horizontal="left"/>
    </xf>
    <xf numFmtId="0" fontId="61" fillId="0" borderId="0" xfId="0" applyNumberFormat="1" applyFont="1" applyBorder="1" applyProtection="1"/>
    <xf numFmtId="2" fontId="61" fillId="0" borderId="0" xfId="0" applyNumberFormat="1" applyFont="1" applyBorder="1" applyProtection="1"/>
    <xf numFmtId="168" fontId="63" fillId="0" borderId="0" xfId="0" applyNumberFormat="1" applyFont="1" applyBorder="1" applyProtection="1"/>
    <xf numFmtId="10" fontId="63" fillId="0" borderId="0" xfId="0" applyNumberFormat="1" applyFont="1" applyBorder="1" applyProtection="1"/>
    <xf numFmtId="0" fontId="63" fillId="0" borderId="0" xfId="0" applyNumberFormat="1" applyFont="1" applyBorder="1" applyProtection="1"/>
    <xf numFmtId="169" fontId="63" fillId="0" borderId="0" xfId="0" applyNumberFormat="1" applyFont="1" applyBorder="1" applyProtection="1"/>
    <xf numFmtId="2" fontId="63" fillId="0" borderId="0" xfId="0" applyNumberFormat="1" applyFont="1" applyBorder="1" applyProtection="1"/>
    <xf numFmtId="169" fontId="0" fillId="19" borderId="1" xfId="0" applyNumberFormat="1" applyFont="1" applyFill="1" applyBorder="1" applyAlignment="1" applyProtection="1">
      <alignment horizontal="center" vertical="center" wrapText="1"/>
    </xf>
    <xf numFmtId="173" fontId="23" fillId="19" borderId="1" xfId="0" applyNumberFormat="1" applyFont="1" applyFill="1" applyBorder="1" applyAlignment="1" applyProtection="1">
      <alignment horizontal="center" vertical="center" wrapText="1"/>
    </xf>
    <xf numFmtId="173" fontId="0" fillId="19" borderId="1" xfId="0" applyNumberFormat="1" applyFont="1" applyFill="1" applyBorder="1" applyAlignment="1" applyProtection="1">
      <alignment horizontal="center" vertical="center" wrapText="1"/>
    </xf>
    <xf numFmtId="174" fontId="0" fillId="19" borderId="1" xfId="0" applyNumberFormat="1" applyFont="1" applyFill="1" applyBorder="1" applyAlignment="1" applyProtection="1">
      <alignment horizontal="center" vertical="center" wrapText="1"/>
    </xf>
    <xf numFmtId="0" fontId="2" fillId="0" borderId="0" xfId="0" applyNumberFormat="1" applyFont="1" applyBorder="1" applyAlignment="1" applyProtection="1"/>
    <xf numFmtId="9" fontId="23" fillId="0" borderId="0" xfId="0" applyNumberFormat="1" applyFont="1" applyBorder="1" applyProtection="1"/>
    <xf numFmtId="0" fontId="62" fillId="0" borderId="0" xfId="0" applyNumberFormat="1" applyFont="1" applyBorder="1" applyAlignment="1" applyProtection="1"/>
    <xf numFmtId="0" fontId="27" fillId="0" borderId="0" xfId="0" applyNumberFormat="1" applyFont="1" applyBorder="1" applyProtection="1"/>
    <xf numFmtId="0" fontId="64" fillId="0" borderId="0" xfId="0" applyNumberFormat="1" applyFont="1" applyBorder="1" applyProtection="1"/>
    <xf numFmtId="0" fontId="65" fillId="0" borderId="0" xfId="0" applyNumberFormat="1" applyFont="1" applyBorder="1" applyProtection="1"/>
    <xf numFmtId="0" fontId="66" fillId="0" borderId="0" xfId="0" applyNumberFormat="1" applyFont="1" applyBorder="1" applyProtection="1"/>
    <xf numFmtId="0" fontId="67" fillId="0" borderId="0" xfId="0" applyNumberFormat="1" applyFont="1" applyBorder="1" applyProtection="1"/>
    <xf numFmtId="0" fontId="66" fillId="0" borderId="0" xfId="0" applyNumberFormat="1" applyFont="1" applyBorder="1" applyAlignment="1" applyProtection="1"/>
    <xf numFmtId="2" fontId="67" fillId="0" borderId="0" xfId="0" applyNumberFormat="1" applyFont="1" applyBorder="1" applyProtection="1"/>
    <xf numFmtId="172" fontId="66" fillId="0" borderId="0" xfId="0" applyNumberFormat="1" applyFont="1" applyBorder="1" applyProtection="1"/>
    <xf numFmtId="172" fontId="64" fillId="0" borderId="0" xfId="0" applyNumberFormat="1" applyFont="1" applyBorder="1" applyProtection="1"/>
    <xf numFmtId="172" fontId="26" fillId="0" borderId="0" xfId="0" applyNumberFormat="1" applyFont="1" applyBorder="1" applyProtection="1"/>
    <xf numFmtId="0" fontId="23" fillId="0" borderId="53" xfId="0" applyNumberFormat="1" applyFont="1" applyBorder="1" applyProtection="1"/>
    <xf numFmtId="168" fontId="54" fillId="0" borderId="55" xfId="0" applyNumberFormat="1" applyFont="1" applyBorder="1" applyAlignment="1" applyProtection="1">
      <alignment horizontal="center" vertical="center" wrapText="1"/>
    </xf>
    <xf numFmtId="4" fontId="14" fillId="16" borderId="1" xfId="0" applyNumberFormat="1" applyFont="1" applyFill="1" applyBorder="1" applyAlignment="1" applyProtection="1">
      <alignment horizontal="center" vertical="center" wrapText="1"/>
    </xf>
    <xf numFmtId="0" fontId="23" fillId="19" borderId="67" xfId="0" applyFont="1" applyFill="1" applyBorder="1" applyAlignment="1" applyProtection="1">
      <alignment horizontal="left" vertical="center" wrapText="1"/>
    </xf>
    <xf numFmtId="0" fontId="67" fillId="0" borderId="0" xfId="0" applyFont="1" applyFill="1" applyAlignment="1" applyProtection="1">
      <alignment wrapText="1"/>
    </xf>
    <xf numFmtId="0" fontId="67" fillId="0" borderId="0" xfId="0" applyFont="1" applyFill="1" applyProtection="1"/>
    <xf numFmtId="0" fontId="2" fillId="0" borderId="0" xfId="0" applyFont="1" applyFill="1" applyProtection="1"/>
    <xf numFmtId="0" fontId="67" fillId="0" borderId="0" xfId="0" applyFont="1" applyFill="1" applyAlignment="1" applyProtection="1"/>
    <xf numFmtId="0" fontId="2" fillId="7" borderId="0" xfId="0" applyFont="1" applyFill="1" applyAlignment="1" applyProtection="1">
      <alignment vertical="center"/>
    </xf>
    <xf numFmtId="0" fontId="2" fillId="7" borderId="0" xfId="0" applyFont="1" applyFill="1" applyAlignment="1" applyProtection="1">
      <alignment horizontal="left" vertical="center"/>
    </xf>
    <xf numFmtId="0" fontId="2" fillId="7" borderId="0" xfId="0" applyFont="1" applyFill="1" applyAlignment="1" applyProtection="1">
      <alignment vertical="center" wrapText="1"/>
    </xf>
    <xf numFmtId="10" fontId="26" fillId="0" borderId="0" xfId="0" applyNumberFormat="1" applyFont="1" applyFill="1" applyBorder="1" applyProtection="1"/>
    <xf numFmtId="10" fontId="26" fillId="0" borderId="0" xfId="0" applyNumberFormat="1" applyFont="1" applyBorder="1" applyAlignment="1" applyProtection="1">
      <alignment horizontal="center"/>
    </xf>
    <xf numFmtId="10" fontId="26" fillId="0" borderId="0" xfId="0" applyNumberFormat="1" applyFont="1" applyBorder="1" applyAlignment="1" applyProtection="1">
      <alignment horizontal="center" vertical="center"/>
    </xf>
    <xf numFmtId="10" fontId="26" fillId="0" borderId="0" xfId="0" applyNumberFormat="1" applyFont="1" applyBorder="1" applyAlignment="1" applyProtection="1">
      <alignment horizontal="right"/>
    </xf>
    <xf numFmtId="0" fontId="54" fillId="14" borderId="55" xfId="0" applyFont="1" applyFill="1" applyBorder="1" applyAlignment="1" applyProtection="1">
      <alignment horizontal="left" vertical="center" wrapText="1"/>
    </xf>
    <xf numFmtId="0" fontId="54" fillId="14" borderId="53" xfId="0" applyFont="1" applyFill="1" applyBorder="1" applyAlignment="1" applyProtection="1">
      <alignment horizontal="left" vertical="center" wrapText="1"/>
    </xf>
    <xf numFmtId="0" fontId="54" fillId="14" borderId="56" xfId="0" applyFont="1" applyFill="1" applyBorder="1" applyAlignment="1" applyProtection="1">
      <alignment horizontal="left" vertical="center" wrapText="1"/>
    </xf>
    <xf numFmtId="0" fontId="43" fillId="0" borderId="55" xfId="0" applyFont="1" applyFill="1" applyBorder="1" applyAlignment="1" applyProtection="1">
      <alignment horizontal="left" vertical="center" wrapText="1"/>
    </xf>
    <xf numFmtId="0" fontId="54" fillId="0" borderId="56" xfId="0" applyFont="1" applyFill="1" applyBorder="1" applyAlignment="1" applyProtection="1">
      <alignment horizontal="left" vertical="center" wrapText="1"/>
    </xf>
    <xf numFmtId="0" fontId="0" fillId="0" borderId="0" xfId="0" applyFont="1" applyFill="1" applyAlignment="1" applyProtection="1">
      <alignment wrapText="1"/>
    </xf>
    <xf numFmtId="0" fontId="0" fillId="0" borderId="0" xfId="0" applyAlignment="1">
      <alignment wrapText="1"/>
    </xf>
    <xf numFmtId="0" fontId="3" fillId="0" borderId="0" xfId="0" applyFont="1"/>
    <xf numFmtId="0" fontId="0" fillId="0" borderId="106" xfId="0" applyFont="1" applyFill="1" applyBorder="1" applyAlignment="1" applyProtection="1">
      <alignment horizontal="center" vertical="center" wrapText="1"/>
      <protection locked="0"/>
    </xf>
    <xf numFmtId="0" fontId="0" fillId="0" borderId="106" xfId="0" applyFont="1" applyFill="1" applyBorder="1" applyAlignment="1" applyProtection="1">
      <alignment horizontal="center" vertical="center"/>
      <protection locked="0"/>
    </xf>
    <xf numFmtId="9" fontId="0" fillId="0" borderId="106" xfId="0" applyNumberFormat="1" applyFont="1" applyFill="1" applyBorder="1" applyAlignment="1" applyProtection="1">
      <alignment horizontal="center" vertical="center"/>
      <protection locked="0"/>
    </xf>
    <xf numFmtId="0" fontId="0" fillId="0" borderId="106" xfId="0" applyNumberFormat="1" applyFont="1" applyFill="1" applyBorder="1" applyAlignment="1" applyProtection="1">
      <alignment vertical="center" wrapText="1"/>
      <protection locked="0"/>
    </xf>
    <xf numFmtId="0" fontId="10" fillId="0" borderId="106" xfId="0" applyFont="1" applyFill="1" applyBorder="1" applyAlignment="1" applyProtection="1">
      <alignment vertical="center" wrapText="1"/>
      <protection locked="0"/>
    </xf>
    <xf numFmtId="0" fontId="0" fillId="0" borderId="106" xfId="0" applyFont="1" applyFill="1" applyBorder="1" applyAlignment="1" applyProtection="1">
      <alignment vertical="center" wrapText="1"/>
      <protection locked="0"/>
    </xf>
    <xf numFmtId="0" fontId="5" fillId="0" borderId="106" xfId="0" applyFont="1" applyFill="1" applyBorder="1" applyAlignment="1">
      <alignment vertical="center" wrapText="1"/>
    </xf>
    <xf numFmtId="0" fontId="0" fillId="0" borderId="106" xfId="0" applyFont="1" applyFill="1" applyBorder="1" applyAlignment="1" applyProtection="1">
      <alignment vertical="center"/>
      <protection locked="0"/>
    </xf>
    <xf numFmtId="0" fontId="0" fillId="0" borderId="91" xfId="0" applyFont="1" applyFill="1" applyBorder="1" applyAlignment="1" applyProtection="1">
      <alignment vertical="center" wrapText="1"/>
      <protection locked="0"/>
    </xf>
    <xf numFmtId="0" fontId="0" fillId="0" borderId="91" xfId="0" applyFont="1" applyFill="1" applyBorder="1" applyAlignment="1" applyProtection="1">
      <alignment horizontal="center" vertical="center" wrapText="1"/>
      <protection locked="0"/>
    </xf>
    <xf numFmtId="0" fontId="0" fillId="0" borderId="91" xfId="0" applyFont="1" applyFill="1" applyBorder="1" applyAlignment="1" applyProtection="1">
      <alignment horizontal="center" vertical="center"/>
      <protection locked="0"/>
    </xf>
    <xf numFmtId="0" fontId="0" fillId="0" borderId="101" xfId="0" applyFont="1" applyFill="1" applyBorder="1" applyAlignment="1" applyProtection="1">
      <alignment vertical="center" wrapText="1"/>
      <protection locked="0"/>
    </xf>
    <xf numFmtId="0" fontId="0" fillId="0" borderId="101" xfId="0" applyFont="1" applyFill="1" applyBorder="1" applyAlignment="1" applyProtection="1">
      <alignment horizontal="center" vertical="center" wrapText="1"/>
      <protection locked="0"/>
    </xf>
    <xf numFmtId="0" fontId="0" fillId="0" borderId="101" xfId="0" applyFont="1" applyFill="1" applyBorder="1" applyAlignment="1" applyProtection="1">
      <alignment horizontal="center" vertical="center"/>
      <protection locked="0"/>
    </xf>
    <xf numFmtId="0" fontId="0" fillId="0" borderId="101" xfId="0" applyNumberFormat="1" applyFont="1" applyFill="1" applyBorder="1" applyAlignment="1" applyProtection="1">
      <alignment vertical="center" wrapText="1"/>
      <protection locked="0"/>
    </xf>
    <xf numFmtId="0" fontId="10" fillId="0" borderId="101" xfId="0" applyFont="1" applyFill="1" applyBorder="1" applyAlignment="1" applyProtection="1">
      <alignment vertical="center" wrapText="1"/>
      <protection locked="0"/>
    </xf>
    <xf numFmtId="0" fontId="5" fillId="0" borderId="101" xfId="0" applyFont="1" applyFill="1" applyBorder="1" applyAlignment="1">
      <alignment vertical="center" wrapText="1"/>
    </xf>
    <xf numFmtId="0" fontId="0" fillId="0" borderId="101" xfId="0" applyFont="1" applyFill="1" applyBorder="1" applyAlignment="1" applyProtection="1">
      <alignment vertical="center"/>
      <protection locked="0"/>
    </xf>
    <xf numFmtId="0" fontId="0" fillId="0" borderId="106" xfId="0" applyNumberFormat="1" applyFont="1" applyFill="1" applyBorder="1" applyAlignment="1" applyProtection="1">
      <alignment horizontal="left" vertical="center" wrapText="1"/>
      <protection locked="0"/>
    </xf>
    <xf numFmtId="0" fontId="10" fillId="0" borderId="106" xfId="0" applyFont="1" applyFill="1" applyBorder="1" applyAlignment="1" applyProtection="1">
      <alignment horizontal="left" vertical="center" wrapText="1"/>
      <protection locked="0"/>
    </xf>
    <xf numFmtId="0" fontId="5" fillId="0" borderId="106" xfId="0" applyFont="1" applyFill="1" applyBorder="1" applyAlignment="1">
      <alignment horizontal="left" vertical="center" wrapText="1"/>
    </xf>
    <xf numFmtId="0" fontId="0" fillId="0" borderId="106" xfId="0" applyFont="1" applyFill="1" applyBorder="1" applyAlignment="1" applyProtection="1">
      <alignment horizontal="left" vertical="center" wrapText="1"/>
      <protection locked="0"/>
    </xf>
    <xf numFmtId="0" fontId="5" fillId="0" borderId="106" xfId="0" applyFont="1" applyFill="1" applyBorder="1" applyAlignment="1" applyProtection="1">
      <alignment horizontal="left" vertical="center" wrapText="1"/>
      <protection locked="0"/>
    </xf>
    <xf numFmtId="0" fontId="0" fillId="7" borderId="0" xfId="0" applyFill="1" applyAlignment="1" applyProtection="1">
      <alignment horizontal="center"/>
    </xf>
    <xf numFmtId="9" fontId="0" fillId="0" borderId="101" xfId="0" applyNumberFormat="1" applyFont="1" applyFill="1" applyBorder="1" applyAlignment="1" applyProtection="1">
      <alignment horizontal="center" vertical="center"/>
      <protection locked="0"/>
    </xf>
    <xf numFmtId="0" fontId="0" fillId="0" borderId="0" xfId="0" applyAlignment="1" applyProtection="1">
      <alignment horizontal="center"/>
    </xf>
    <xf numFmtId="0" fontId="2" fillId="7" borderId="0" xfId="0" applyFont="1" applyFill="1" applyAlignment="1" applyProtection="1">
      <alignment horizontal="center" wrapText="1"/>
    </xf>
    <xf numFmtId="0" fontId="2" fillId="0" borderId="0" xfId="0" applyFont="1" applyAlignment="1" applyProtection="1">
      <alignment horizontal="center"/>
    </xf>
    <xf numFmtId="0" fontId="67" fillId="0" borderId="0" xfId="0" applyFont="1" applyFill="1" applyAlignment="1" applyProtection="1">
      <alignment horizontal="center" wrapText="1"/>
    </xf>
    <xf numFmtId="0" fontId="67" fillId="0" borderId="0" xfId="0" applyFont="1" applyFill="1" applyAlignment="1" applyProtection="1">
      <alignment horizontal="center"/>
    </xf>
    <xf numFmtId="0" fontId="2" fillId="0" borderId="0" xfId="0" applyFont="1" applyFill="1" applyAlignment="1" applyProtection="1">
      <alignment horizontal="center"/>
    </xf>
    <xf numFmtId="0" fontId="0" fillId="0" borderId="51" xfId="0" applyFont="1" applyFill="1" applyBorder="1" applyAlignment="1" applyProtection="1">
      <alignment horizontal="center" vertical="center"/>
      <protection locked="0"/>
    </xf>
    <xf numFmtId="0" fontId="0" fillId="0" borderId="51" xfId="0" applyFont="1" applyFill="1" applyBorder="1" applyAlignment="1" applyProtection="1">
      <alignment horizontal="center" vertical="center" wrapText="1"/>
      <protection locked="0"/>
    </xf>
    <xf numFmtId="0" fontId="5" fillId="0" borderId="101" xfId="0" applyFont="1" applyFill="1" applyBorder="1" applyAlignment="1" applyProtection="1">
      <alignment vertical="center" wrapText="1"/>
      <protection locked="0"/>
    </xf>
    <xf numFmtId="0" fontId="5" fillId="0" borderId="106" xfId="0" applyFont="1" applyFill="1" applyBorder="1" applyAlignment="1" applyProtection="1">
      <alignment vertical="center" wrapText="1"/>
      <protection locked="0"/>
    </xf>
    <xf numFmtId="9" fontId="0" fillId="0" borderId="51" xfId="0" applyNumberFormat="1" applyFont="1" applyFill="1" applyBorder="1" applyAlignment="1" applyProtection="1">
      <alignment horizontal="center" vertical="center"/>
      <protection locked="0"/>
    </xf>
    <xf numFmtId="0" fontId="5" fillId="0" borderId="106" xfId="0" applyFont="1" applyFill="1" applyBorder="1" applyAlignment="1">
      <alignment wrapText="1"/>
    </xf>
    <xf numFmtId="9" fontId="0" fillId="0" borderId="106" xfId="0" applyNumberFormat="1" applyFont="1" applyFill="1" applyBorder="1" applyAlignment="1" applyProtection="1">
      <alignment horizontal="center" vertical="center" wrapText="1"/>
      <protection locked="0"/>
    </xf>
    <xf numFmtId="0" fontId="0" fillId="0" borderId="0" xfId="0" applyFont="1" applyFill="1" applyBorder="1" applyProtection="1"/>
    <xf numFmtId="0" fontId="0" fillId="20" borderId="106" xfId="0" applyFont="1" applyFill="1" applyBorder="1" applyAlignment="1" applyProtection="1">
      <alignment vertical="center" wrapText="1"/>
      <protection locked="0"/>
    </xf>
    <xf numFmtId="14" fontId="0" fillId="20" borderId="106" xfId="0" applyNumberFormat="1" applyFont="1" applyFill="1" applyBorder="1" applyAlignment="1" applyProtection="1">
      <alignment horizontal="center" vertical="center" wrapText="1"/>
      <protection locked="0"/>
    </xf>
    <xf numFmtId="0" fontId="0" fillId="20" borderId="106" xfId="0" applyFont="1" applyFill="1" applyBorder="1" applyAlignment="1" applyProtection="1">
      <alignment horizontal="center" vertical="center" wrapText="1"/>
      <protection locked="0"/>
    </xf>
    <xf numFmtId="0" fontId="0" fillId="20" borderId="51" xfId="0" applyFont="1" applyFill="1" applyBorder="1" applyAlignment="1" applyProtection="1">
      <alignment vertical="center" wrapText="1"/>
      <protection locked="0"/>
    </xf>
    <xf numFmtId="14" fontId="0" fillId="20" borderId="51" xfId="0" applyNumberFormat="1" applyFont="1" applyFill="1" applyBorder="1" applyAlignment="1" applyProtection="1">
      <alignment horizontal="center" vertical="center" wrapText="1"/>
      <protection locked="0"/>
    </xf>
    <xf numFmtId="0" fontId="0" fillId="20" borderId="51" xfId="0" applyFont="1" applyFill="1" applyBorder="1" applyAlignment="1" applyProtection="1">
      <alignment horizontal="center" vertical="center" wrapText="1"/>
      <protection locked="0"/>
    </xf>
    <xf numFmtId="0" fontId="0" fillId="20" borderId="101" xfId="0" applyFont="1" applyFill="1" applyBorder="1" applyAlignment="1" applyProtection="1">
      <alignment vertical="center" wrapText="1"/>
      <protection locked="0"/>
    </xf>
    <xf numFmtId="14" fontId="0" fillId="20" borderId="101" xfId="0" applyNumberFormat="1" applyFont="1" applyFill="1" applyBorder="1" applyAlignment="1" applyProtection="1">
      <alignment horizontal="center" vertical="center" wrapText="1"/>
      <protection locked="0"/>
    </xf>
    <xf numFmtId="0" fontId="0" fillId="20" borderId="101" xfId="0" applyFont="1" applyFill="1" applyBorder="1" applyAlignment="1" applyProtection="1">
      <alignment horizontal="center" vertical="center" wrapText="1"/>
      <protection locked="0"/>
    </xf>
    <xf numFmtId="14" fontId="0" fillId="20" borderId="106" xfId="0" applyNumberFormat="1" applyFont="1" applyFill="1" applyBorder="1" applyAlignment="1" applyProtection="1">
      <alignment vertical="center" wrapText="1"/>
      <protection locked="0"/>
    </xf>
    <xf numFmtId="4" fontId="28" fillId="7" borderId="1" xfId="0" applyNumberFormat="1" applyFont="1" applyFill="1" applyBorder="1" applyAlignment="1" applyProtection="1">
      <alignment horizontal="center" vertical="center" wrapText="1"/>
    </xf>
    <xf numFmtId="4" fontId="23" fillId="7" borderId="93" xfId="0" applyNumberFormat="1" applyFont="1" applyFill="1" applyBorder="1" applyAlignment="1" applyProtection="1">
      <alignment horizontal="center" vertical="center" wrapText="1"/>
    </xf>
    <xf numFmtId="4" fontId="23" fillId="0" borderId="92" xfId="0" applyNumberFormat="1" applyFont="1" applyFill="1" applyBorder="1" applyAlignment="1" applyProtection="1">
      <alignment horizontal="center" vertical="center" wrapText="1"/>
    </xf>
    <xf numFmtId="3" fontId="19" fillId="0" borderId="103" xfId="15" applyNumberFormat="1" applyFont="1" applyBorder="1" applyAlignment="1" applyProtection="1">
      <alignment horizontal="center" readingOrder="1"/>
    </xf>
    <xf numFmtId="166" fontId="0" fillId="17" borderId="74" xfId="14" applyNumberFormat="1" applyFont="1" applyFill="1" applyBorder="1" applyAlignment="1" applyProtection="1">
      <alignment horizontal="center" vertical="center"/>
    </xf>
    <xf numFmtId="166" fontId="0" fillId="17" borderId="65" xfId="14" applyNumberFormat="1" applyFont="1" applyFill="1" applyBorder="1" applyAlignment="1" applyProtection="1">
      <alignment horizontal="center" vertical="center"/>
    </xf>
    <xf numFmtId="166" fontId="40" fillId="15" borderId="65" xfId="14" applyNumberFormat="1" applyFont="1" applyFill="1" applyBorder="1" applyAlignment="1" applyProtection="1">
      <alignment horizontal="center" vertical="center"/>
    </xf>
    <xf numFmtId="166" fontId="40" fillId="15" borderId="71" xfId="14" applyNumberFormat="1" applyFont="1" applyFill="1" applyBorder="1" applyAlignment="1" applyProtection="1">
      <alignment horizontal="center" vertical="center"/>
    </xf>
    <xf numFmtId="166" fontId="40" fillId="18" borderId="77" xfId="14" applyNumberFormat="1" applyFont="1" applyFill="1" applyBorder="1" applyAlignment="1" applyProtection="1">
      <alignment horizontal="center" vertical="center"/>
    </xf>
    <xf numFmtId="3" fontId="19" fillId="0" borderId="105" xfId="15" applyNumberFormat="1" applyFill="1" applyBorder="1" applyAlignment="1" applyProtection="1">
      <alignment horizontal="center" vertical="center"/>
    </xf>
    <xf numFmtId="4" fontId="28" fillId="0" borderId="1" xfId="0" applyNumberFormat="1" applyFont="1" applyFill="1" applyBorder="1" applyAlignment="1" applyProtection="1">
      <alignment horizontal="center" vertical="center" wrapText="1"/>
    </xf>
    <xf numFmtId="0" fontId="70" fillId="0" borderId="0" xfId="0" applyFont="1"/>
    <xf numFmtId="0" fontId="16" fillId="7" borderId="0" xfId="0" applyFont="1" applyFill="1" applyBorder="1" applyAlignment="1" applyProtection="1">
      <alignment horizontal="center" wrapText="1"/>
      <protection locked="0"/>
    </xf>
    <xf numFmtId="0" fontId="7" fillId="2" borderId="0" xfId="0" applyFont="1" applyFill="1" applyBorder="1" applyAlignment="1">
      <alignment horizontal="left" vertical="center" wrapText="1"/>
    </xf>
    <xf numFmtId="49" fontId="14" fillId="7" borderId="0" xfId="0" applyNumberFormat="1" applyFont="1" applyFill="1" applyBorder="1" applyAlignment="1">
      <alignment horizontal="right" vertical="center" wrapText="1"/>
    </xf>
    <xf numFmtId="0" fontId="6" fillId="5" borderId="0"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36" fillId="12" borderId="0" xfId="1" applyFont="1" applyFill="1" applyBorder="1" applyAlignment="1" applyProtection="1">
      <alignment horizontal="center" vertical="center" wrapText="1"/>
    </xf>
    <xf numFmtId="0" fontId="36" fillId="13" borderId="0" xfId="1" applyFont="1" applyFill="1" applyBorder="1" applyAlignment="1" applyProtection="1">
      <alignment horizontal="center" vertical="center" wrapText="1"/>
    </xf>
    <xf numFmtId="0" fontId="17" fillId="3" borderId="37" xfId="1" applyFont="1" applyFill="1" applyBorder="1" applyAlignment="1" applyProtection="1">
      <alignment horizontal="center" vertical="center" wrapText="1"/>
    </xf>
    <xf numFmtId="0" fontId="17" fillId="3" borderId="38" xfId="1" applyFont="1" applyFill="1" applyBorder="1" applyAlignment="1" applyProtection="1">
      <alignment horizontal="center" vertical="center" wrapText="1"/>
    </xf>
    <xf numFmtId="0" fontId="0" fillId="9" borderId="40" xfId="0" applyFill="1" applyBorder="1" applyAlignment="1" applyProtection="1">
      <alignment horizontal="left" vertical="center" wrapText="1"/>
    </xf>
    <xf numFmtId="0" fontId="0" fillId="9" borderId="41" xfId="0" applyFill="1" applyBorder="1" applyAlignment="1" applyProtection="1">
      <alignment horizontal="left" vertical="center" wrapText="1"/>
    </xf>
    <xf numFmtId="0" fontId="0" fillId="6" borderId="41" xfId="0" applyFill="1" applyBorder="1" applyAlignment="1" applyProtection="1">
      <alignment horizontal="left" vertical="center" wrapText="1"/>
    </xf>
    <xf numFmtId="0" fontId="0" fillId="6" borderId="42" xfId="0" applyFill="1" applyBorder="1" applyAlignment="1" applyProtection="1">
      <alignment horizontal="left" vertical="center" wrapText="1"/>
    </xf>
    <xf numFmtId="0" fontId="17" fillId="3" borderId="30" xfId="1" applyFont="1" applyFill="1" applyBorder="1" applyAlignment="1" applyProtection="1">
      <alignment horizontal="center" vertical="center" wrapText="1"/>
    </xf>
    <xf numFmtId="0" fontId="17" fillId="3" borderId="31" xfId="1" applyFont="1" applyFill="1" applyBorder="1" applyAlignment="1" applyProtection="1">
      <alignment horizontal="center" vertical="center" wrapText="1"/>
    </xf>
    <xf numFmtId="0" fontId="0" fillId="9" borderId="33" xfId="0" applyFill="1" applyBorder="1" applyAlignment="1" applyProtection="1">
      <alignment horizontal="left" vertical="center" wrapText="1"/>
    </xf>
    <xf numFmtId="0" fontId="0" fillId="9" borderId="23" xfId="0" applyFill="1" applyBorder="1" applyAlignment="1" applyProtection="1">
      <alignment horizontal="left" vertical="center" wrapText="1"/>
    </xf>
    <xf numFmtId="0" fontId="0" fillId="6" borderId="23" xfId="0" applyFill="1" applyBorder="1" applyAlignment="1" applyProtection="1">
      <alignment horizontal="left" vertical="center" wrapText="1"/>
    </xf>
    <xf numFmtId="0" fontId="0" fillId="6" borderId="39" xfId="0" applyFill="1" applyBorder="1" applyAlignment="1" applyProtection="1">
      <alignment horizontal="left" vertical="center" wrapText="1"/>
    </xf>
    <xf numFmtId="0" fontId="17" fillId="3" borderId="22" xfId="1" applyFont="1" applyFill="1" applyBorder="1" applyAlignment="1" applyProtection="1">
      <alignment horizontal="center" vertical="center" wrapText="1"/>
    </xf>
    <xf numFmtId="0" fontId="17" fillId="3" borderId="23" xfId="1" applyFont="1" applyFill="1" applyBorder="1" applyAlignment="1" applyProtection="1">
      <alignment horizontal="center" vertical="center" wrapText="1"/>
    </xf>
    <xf numFmtId="0" fontId="17" fillId="3" borderId="39" xfId="1" applyFont="1" applyFill="1" applyBorder="1" applyAlignment="1" applyProtection="1">
      <alignment horizontal="center" vertical="center" wrapText="1"/>
    </xf>
    <xf numFmtId="0" fontId="17" fillId="3" borderId="34" xfId="1" applyFont="1" applyFill="1" applyBorder="1" applyAlignment="1" applyProtection="1">
      <alignment horizontal="center" vertical="center" wrapText="1"/>
    </xf>
    <xf numFmtId="0" fontId="17" fillId="3" borderId="35" xfId="1" applyFont="1" applyFill="1" applyBorder="1" applyAlignment="1" applyProtection="1">
      <alignment horizontal="center" vertical="center" wrapText="1"/>
    </xf>
    <xf numFmtId="0" fontId="6" fillId="2" borderId="2" xfId="0" applyFont="1" applyFill="1" applyBorder="1" applyAlignment="1" applyProtection="1">
      <alignment horizontal="center" vertical="center" wrapText="1"/>
    </xf>
    <xf numFmtId="0" fontId="6" fillId="2" borderId="8"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xf>
    <xf numFmtId="0" fontId="6" fillId="2" borderId="6" xfId="0" applyFont="1" applyFill="1" applyBorder="1" applyAlignment="1" applyProtection="1">
      <alignment horizontal="center" vertical="center" wrapText="1"/>
    </xf>
    <xf numFmtId="0" fontId="6" fillId="2" borderId="9" xfId="0" applyFont="1" applyFill="1" applyBorder="1" applyAlignment="1" applyProtection="1">
      <alignment horizontal="center" vertical="center" wrapText="1"/>
    </xf>
    <xf numFmtId="0" fontId="6" fillId="2" borderId="7" xfId="0" applyFont="1" applyFill="1" applyBorder="1" applyAlignment="1" applyProtection="1">
      <alignment horizontal="center" vertical="center" wrapText="1"/>
    </xf>
    <xf numFmtId="0" fontId="6" fillId="2" borderId="18" xfId="0" applyFont="1" applyFill="1" applyBorder="1" applyAlignment="1" applyProtection="1">
      <alignment horizontal="center" vertical="center" wrapText="1"/>
    </xf>
    <xf numFmtId="0" fontId="6" fillId="2" borderId="19" xfId="0" applyFont="1" applyFill="1" applyBorder="1" applyAlignment="1" applyProtection="1">
      <alignment horizontal="center" vertical="center" wrapText="1"/>
    </xf>
    <xf numFmtId="0" fontId="6" fillId="2" borderId="20" xfId="0" applyFont="1" applyFill="1" applyBorder="1" applyAlignment="1" applyProtection="1">
      <alignment horizontal="center" vertical="center" wrapText="1"/>
    </xf>
    <xf numFmtId="0" fontId="6" fillId="2" borderId="21" xfId="0" applyFont="1" applyFill="1" applyBorder="1" applyAlignment="1" applyProtection="1">
      <alignment horizontal="center" vertical="center" wrapText="1"/>
    </xf>
    <xf numFmtId="0" fontId="0" fillId="7" borderId="0" xfId="0" applyFill="1" applyAlignment="1" applyProtection="1">
      <alignment horizontal="justify" vertical="center" wrapText="1"/>
    </xf>
    <xf numFmtId="0" fontId="34" fillId="9" borderId="26" xfId="0" applyFont="1" applyFill="1" applyBorder="1" applyAlignment="1" applyProtection="1">
      <alignment horizontal="center" vertical="center" wrapText="1"/>
    </xf>
    <xf numFmtId="0" fontId="0" fillId="7" borderId="8" xfId="0" applyFill="1" applyBorder="1" applyAlignment="1" applyProtection="1">
      <alignment horizontal="justify" vertical="center" wrapText="1"/>
    </xf>
    <xf numFmtId="0" fontId="17" fillId="3" borderId="12" xfId="1" applyFont="1" applyFill="1" applyBorder="1" applyAlignment="1" applyProtection="1">
      <alignment horizontal="center" vertical="center" wrapText="1"/>
    </xf>
    <xf numFmtId="0" fontId="17" fillId="3" borderId="13" xfId="1" applyFont="1" applyFill="1" applyBorder="1" applyAlignment="1" applyProtection="1">
      <alignment horizontal="center" vertical="center" wrapText="1"/>
    </xf>
    <xf numFmtId="0" fontId="17" fillId="3" borderId="47" xfId="1" applyFont="1" applyFill="1" applyBorder="1" applyAlignment="1" applyProtection="1">
      <alignment horizontal="center" vertical="center" wrapText="1"/>
    </xf>
    <xf numFmtId="0" fontId="17" fillId="3" borderId="48" xfId="1" applyFont="1" applyFill="1" applyBorder="1" applyAlignment="1" applyProtection="1">
      <alignment horizontal="center" vertical="center" wrapText="1"/>
    </xf>
    <xf numFmtId="0" fontId="0" fillId="9" borderId="24" xfId="0" applyFill="1" applyBorder="1" applyAlignment="1" applyProtection="1">
      <alignment horizontal="left" vertical="center" wrapText="1"/>
    </xf>
    <xf numFmtId="0" fontId="0" fillId="6" borderId="33" xfId="0" applyFill="1" applyBorder="1" applyAlignment="1" applyProtection="1">
      <alignment horizontal="left" vertical="center" wrapText="1"/>
    </xf>
    <xf numFmtId="0" fontId="17" fillId="3" borderId="36" xfId="1" applyFont="1" applyFill="1" applyBorder="1" applyAlignment="1" applyProtection="1">
      <alignment horizontal="center" vertical="center" wrapText="1"/>
    </xf>
    <xf numFmtId="0" fontId="17" fillId="3" borderId="46" xfId="1" applyFont="1" applyFill="1" applyBorder="1" applyAlignment="1" applyProtection="1">
      <alignment horizontal="center" vertical="center" wrapText="1"/>
    </xf>
    <xf numFmtId="0" fontId="0" fillId="9" borderId="43" xfId="0" applyFill="1" applyBorder="1" applyAlignment="1" applyProtection="1">
      <alignment horizontal="left" vertical="center" wrapText="1"/>
    </xf>
    <xf numFmtId="0" fontId="0" fillId="9" borderId="44" xfId="0" applyFill="1" applyBorder="1" applyAlignment="1" applyProtection="1">
      <alignment horizontal="left" vertical="center" wrapText="1"/>
    </xf>
    <xf numFmtId="0" fontId="0" fillId="6" borderId="44" xfId="0" applyFill="1" applyBorder="1" applyAlignment="1" applyProtection="1">
      <alignment horizontal="left" vertical="center" wrapText="1"/>
    </xf>
    <xf numFmtId="0" fontId="0" fillId="6" borderId="45" xfId="0" applyFill="1" applyBorder="1" applyAlignment="1" applyProtection="1">
      <alignment horizontal="left" vertical="center" wrapText="1"/>
    </xf>
    <xf numFmtId="0" fontId="9" fillId="6" borderId="16" xfId="1" applyFill="1" applyBorder="1" applyAlignment="1" applyProtection="1">
      <alignment horizontal="center" vertical="center"/>
    </xf>
    <xf numFmtId="0" fontId="9" fillId="6" borderId="17" xfId="1" applyFill="1" applyBorder="1" applyAlignment="1" applyProtection="1">
      <alignment horizontal="center" vertical="center"/>
    </xf>
    <xf numFmtId="0" fontId="17" fillId="3" borderId="24" xfId="1" applyFont="1" applyFill="1" applyBorder="1" applyAlignment="1" applyProtection="1">
      <alignment horizontal="center" vertical="center" wrapText="1"/>
    </xf>
    <xf numFmtId="0" fontId="17" fillId="3" borderId="14" xfId="1" applyFont="1" applyFill="1" applyBorder="1" applyAlignment="1" applyProtection="1">
      <alignment horizontal="center" vertical="center" wrapText="1"/>
    </xf>
    <xf numFmtId="0" fontId="17" fillId="3" borderId="15" xfId="1" applyFont="1" applyFill="1" applyBorder="1" applyAlignment="1" applyProtection="1">
      <alignment horizontal="center" vertical="center" wrapText="1"/>
    </xf>
    <xf numFmtId="0" fontId="0" fillId="9" borderId="32" xfId="0" applyFill="1" applyBorder="1" applyAlignment="1" applyProtection="1">
      <alignment horizontal="left" vertical="center" wrapText="1"/>
    </xf>
    <xf numFmtId="0" fontId="0" fillId="9" borderId="0" xfId="0" applyFill="1" applyBorder="1" applyAlignment="1" applyProtection="1">
      <alignment horizontal="left" vertical="center" wrapText="1"/>
    </xf>
    <xf numFmtId="0" fontId="0" fillId="9" borderId="26" xfId="0" applyFill="1" applyBorder="1" applyAlignment="1" applyProtection="1">
      <alignment horizontal="center" vertical="center" wrapText="1"/>
    </xf>
    <xf numFmtId="0" fontId="23" fillId="9" borderId="33" xfId="0" applyFont="1" applyFill="1" applyBorder="1" applyAlignment="1" applyProtection="1">
      <alignment horizontal="left" vertical="center" wrapText="1"/>
    </xf>
    <xf numFmtId="0" fontId="2" fillId="9" borderId="23" xfId="0" applyFont="1" applyFill="1" applyBorder="1" applyAlignment="1" applyProtection="1">
      <alignment horizontal="left" vertical="center" wrapText="1"/>
    </xf>
    <xf numFmtId="0" fontId="0" fillId="6" borderId="28" xfId="0" applyFill="1" applyBorder="1" applyAlignment="1" applyProtection="1">
      <alignment horizontal="left" vertical="center" wrapText="1"/>
    </xf>
    <xf numFmtId="0" fontId="0" fillId="6" borderId="29" xfId="0" applyFill="1" applyBorder="1" applyAlignment="1" applyProtection="1">
      <alignment horizontal="left" vertical="center" wrapText="1"/>
    </xf>
    <xf numFmtId="0" fontId="3" fillId="7" borderId="0" xfId="0" applyFont="1" applyFill="1" applyAlignment="1" applyProtection="1">
      <alignment horizontal="center" vertical="center" wrapText="1"/>
      <protection locked="0"/>
    </xf>
    <xf numFmtId="0" fontId="3" fillId="7" borderId="9" xfId="0" applyFont="1" applyFill="1" applyBorder="1" applyAlignment="1" applyProtection="1">
      <alignment horizontal="center" vertical="center" wrapText="1"/>
      <protection locked="0"/>
    </xf>
    <xf numFmtId="0" fontId="18" fillId="18" borderId="2" xfId="1" applyFont="1" applyFill="1" applyBorder="1" applyAlignment="1" applyProtection="1">
      <alignment horizontal="center" vertical="center" wrapText="1"/>
    </xf>
    <xf numFmtId="0" fontId="18" fillId="18" borderId="3" xfId="1" applyFont="1" applyFill="1" applyBorder="1" applyAlignment="1" applyProtection="1">
      <alignment horizontal="center" vertical="center" wrapText="1"/>
    </xf>
    <xf numFmtId="0" fontId="3" fillId="7" borderId="0" xfId="0" applyFont="1" applyFill="1" applyAlignment="1" applyProtection="1">
      <alignment horizontal="center" vertical="center" wrapText="1"/>
    </xf>
    <xf numFmtId="0" fontId="3" fillId="7" borderId="9" xfId="0" applyFont="1" applyFill="1" applyBorder="1" applyAlignment="1" applyProtection="1">
      <alignment horizontal="center" vertical="center" wrapText="1"/>
    </xf>
    <xf numFmtId="0" fontId="33" fillId="18" borderId="80" xfId="0" applyFont="1" applyFill="1" applyBorder="1" applyAlignment="1" applyProtection="1">
      <alignment horizontal="center" vertical="center" wrapText="1"/>
    </xf>
    <xf numFmtId="0" fontId="33" fillId="18" borderId="81" xfId="0" applyFont="1" applyFill="1" applyBorder="1" applyAlignment="1" applyProtection="1">
      <alignment horizontal="center" vertical="center" wrapText="1"/>
    </xf>
    <xf numFmtId="0" fontId="33" fillId="18" borderId="60" xfId="0" applyFont="1" applyFill="1" applyBorder="1" applyAlignment="1" applyProtection="1">
      <alignment horizontal="center" vertical="center" wrapText="1"/>
    </xf>
    <xf numFmtId="0" fontId="33" fillId="18" borderId="61" xfId="0" applyFont="1" applyFill="1" applyBorder="1" applyAlignment="1" applyProtection="1">
      <alignment horizontal="center" vertical="center" wrapText="1"/>
    </xf>
    <xf numFmtId="0" fontId="18" fillId="18" borderId="49" xfId="1" applyFont="1" applyFill="1" applyBorder="1" applyAlignment="1" applyProtection="1">
      <alignment horizontal="center" vertical="center" wrapText="1"/>
    </xf>
    <xf numFmtId="0" fontId="18" fillId="18" borderId="10" xfId="1" applyFont="1" applyFill="1" applyBorder="1" applyAlignment="1" applyProtection="1">
      <alignment horizontal="center" vertical="center" wrapText="1"/>
    </xf>
    <xf numFmtId="0" fontId="18" fillId="18" borderId="11" xfId="1" applyFont="1" applyFill="1" applyBorder="1" applyAlignment="1" applyProtection="1">
      <alignment horizontal="center" vertical="center" wrapText="1"/>
    </xf>
    <xf numFmtId="0" fontId="18" fillId="18" borderId="8" xfId="1" applyFont="1" applyFill="1" applyBorder="1" applyAlignment="1" applyProtection="1">
      <alignment horizontal="center" vertical="center" wrapText="1"/>
    </xf>
    <xf numFmtId="0" fontId="18" fillId="18" borderId="1" xfId="1" applyFont="1" applyFill="1" applyBorder="1" applyAlignment="1" applyProtection="1">
      <alignment horizontal="center" vertical="center" wrapText="1"/>
    </xf>
    <xf numFmtId="0" fontId="37" fillId="6" borderId="16" xfId="1" applyFont="1" applyFill="1" applyBorder="1" applyAlignment="1" applyProtection="1">
      <alignment horizontal="center" vertical="center"/>
    </xf>
    <xf numFmtId="0" fontId="37" fillId="6" borderId="17" xfId="1" applyFont="1" applyFill="1" applyBorder="1" applyAlignment="1" applyProtection="1">
      <alignment horizontal="center" vertical="center"/>
    </xf>
    <xf numFmtId="0" fontId="9" fillId="16" borderId="16" xfId="1" applyFill="1" applyBorder="1" applyAlignment="1" applyProtection="1">
      <alignment horizontal="center" vertical="center"/>
    </xf>
    <xf numFmtId="0" fontId="9" fillId="16" borderId="17" xfId="1" applyFill="1" applyBorder="1" applyAlignment="1" applyProtection="1">
      <alignment horizontal="center" vertical="center"/>
    </xf>
    <xf numFmtId="0" fontId="53" fillId="0" borderId="57" xfId="0" applyFont="1" applyBorder="1" applyAlignment="1" applyProtection="1">
      <alignment horizontal="center" vertical="center" wrapText="1"/>
    </xf>
    <xf numFmtId="0" fontId="53" fillId="0" borderId="55" xfId="0" applyFont="1" applyBorder="1" applyAlignment="1" applyProtection="1">
      <alignment horizontal="center" vertical="center" wrapText="1"/>
    </xf>
    <xf numFmtId="0" fontId="53" fillId="0" borderId="59" xfId="0" applyFont="1" applyBorder="1" applyAlignment="1" applyProtection="1">
      <alignment horizontal="center" vertical="center" wrapText="1"/>
    </xf>
    <xf numFmtId="0" fontId="53" fillId="0" borderId="58" xfId="0" applyFont="1" applyBorder="1" applyAlignment="1" applyProtection="1">
      <alignment horizontal="center" vertical="center" wrapText="1"/>
    </xf>
    <xf numFmtId="0" fontId="53" fillId="0" borderId="54" xfId="0" applyFont="1" applyBorder="1" applyAlignment="1" applyProtection="1">
      <alignment horizontal="center" vertical="center" wrapText="1"/>
    </xf>
    <xf numFmtId="0" fontId="27" fillId="16" borderId="1" xfId="0" applyFont="1" applyFill="1" applyBorder="1" applyAlignment="1" applyProtection="1">
      <alignment horizontal="left" vertical="center" wrapText="1"/>
    </xf>
    <xf numFmtId="0" fontId="27" fillId="16" borderId="1" xfId="0" applyFont="1" applyFill="1" applyBorder="1" applyAlignment="1" applyProtection="1">
      <alignment horizontal="center" vertical="center" wrapText="1"/>
    </xf>
    <xf numFmtId="0" fontId="27" fillId="16" borderId="1" xfId="0" applyFont="1" applyFill="1" applyBorder="1" applyAlignment="1" applyProtection="1">
      <alignment horizontal="center" vertical="center"/>
    </xf>
    <xf numFmtId="0" fontId="23" fillId="19" borderId="101" xfId="0" applyFont="1" applyFill="1" applyBorder="1" applyAlignment="1" applyProtection="1">
      <alignment horizontal="center" vertical="center" wrapText="1"/>
    </xf>
    <xf numFmtId="0" fontId="23" fillId="19" borderId="91" xfId="0" applyFont="1" applyFill="1" applyBorder="1" applyAlignment="1" applyProtection="1">
      <alignment horizontal="center" vertical="center" wrapText="1"/>
    </xf>
    <xf numFmtId="0" fontId="23" fillId="19" borderId="51" xfId="0" applyFont="1" applyFill="1" applyBorder="1" applyAlignment="1" applyProtection="1">
      <alignment horizontal="center" vertical="center" wrapText="1"/>
    </xf>
    <xf numFmtId="4" fontId="27" fillId="16" borderId="1" xfId="0" applyNumberFormat="1" applyFont="1" applyFill="1" applyBorder="1" applyAlignment="1" applyProtection="1">
      <alignment horizontal="center" vertical="center" wrapText="1"/>
    </xf>
    <xf numFmtId="0" fontId="7" fillId="15" borderId="89" xfId="0" applyFont="1" applyFill="1" applyBorder="1" applyAlignment="1" applyProtection="1">
      <alignment horizontal="left" vertical="center"/>
    </xf>
    <xf numFmtId="0" fontId="7" fillId="15" borderId="10" xfId="0" applyFont="1" applyFill="1" applyBorder="1" applyAlignment="1" applyProtection="1">
      <alignment horizontal="left" vertical="center"/>
    </xf>
    <xf numFmtId="0" fontId="7" fillId="15" borderId="70" xfId="0" applyFont="1" applyFill="1" applyBorder="1" applyAlignment="1" applyProtection="1">
      <alignment horizontal="left" vertical="center"/>
    </xf>
    <xf numFmtId="4" fontId="27" fillId="16" borderId="65" xfId="0" applyNumberFormat="1" applyFont="1" applyFill="1" applyBorder="1" applyAlignment="1" applyProtection="1">
      <alignment horizontal="center" vertical="center" wrapText="1"/>
    </xf>
    <xf numFmtId="0" fontId="27" fillId="16" borderId="67" xfId="0" applyFont="1" applyFill="1" applyBorder="1" applyAlignment="1" applyProtection="1">
      <alignment horizontal="center" vertical="center" wrapText="1"/>
    </xf>
    <xf numFmtId="0" fontId="27" fillId="16" borderId="67" xfId="0" applyFont="1" applyFill="1" applyBorder="1" applyAlignment="1" applyProtection="1">
      <alignment horizontal="center" vertical="center"/>
    </xf>
    <xf numFmtId="0" fontId="23" fillId="19" borderId="107" xfId="0" applyFont="1" applyFill="1" applyBorder="1" applyAlignment="1" applyProtection="1">
      <alignment horizontal="left" vertical="center"/>
    </xf>
    <xf numFmtId="0" fontId="23" fillId="19" borderId="73" xfId="0" applyFont="1" applyFill="1" applyBorder="1" applyAlignment="1" applyProtection="1">
      <alignment horizontal="left" vertical="center"/>
    </xf>
    <xf numFmtId="0" fontId="4" fillId="18" borderId="62" xfId="0" applyFont="1" applyFill="1" applyBorder="1" applyAlignment="1" applyProtection="1">
      <alignment horizontal="left" vertical="center"/>
    </xf>
    <xf numFmtId="0" fontId="4" fillId="18" borderId="63" xfId="0" applyFont="1" applyFill="1" applyBorder="1" applyAlignment="1" applyProtection="1">
      <alignment horizontal="left" vertical="center"/>
    </xf>
    <xf numFmtId="0" fontId="4" fillId="18" borderId="64" xfId="0" applyFont="1" applyFill="1" applyBorder="1" applyAlignment="1" applyProtection="1">
      <alignment horizontal="left" vertical="center"/>
    </xf>
    <xf numFmtId="0" fontId="62" fillId="0" borderId="0" xfId="0" applyNumberFormat="1" applyFont="1" applyBorder="1" applyAlignment="1" applyProtection="1">
      <alignment horizontal="center"/>
    </xf>
    <xf numFmtId="0" fontId="26" fillId="0" borderId="0" xfId="0" applyFont="1" applyAlignment="1" applyProtection="1">
      <alignment horizontal="center" vertical="center" wrapText="1"/>
    </xf>
    <xf numFmtId="0" fontId="26" fillId="0" borderId="0" xfId="0" applyFont="1" applyAlignment="1" applyProtection="1">
      <alignment horizontal="center" vertical="center"/>
    </xf>
    <xf numFmtId="0" fontId="23" fillId="19" borderId="101" xfId="0" applyFont="1" applyFill="1" applyBorder="1" applyAlignment="1" applyProtection="1">
      <alignment horizontal="left" vertical="center" wrapText="1"/>
    </xf>
    <xf numFmtId="0" fontId="23" fillId="19" borderId="51" xfId="0" applyFont="1" applyFill="1" applyBorder="1" applyAlignment="1" applyProtection="1">
      <alignment horizontal="left" vertical="center" wrapText="1"/>
    </xf>
    <xf numFmtId="0" fontId="23" fillId="19" borderId="91" xfId="0" applyFont="1" applyFill="1" applyBorder="1" applyAlignment="1" applyProtection="1">
      <alignment horizontal="left" vertical="center" wrapText="1"/>
    </xf>
    <xf numFmtId="0" fontId="23" fillId="19" borderId="107" xfId="0" applyFont="1" applyFill="1" applyBorder="1" applyAlignment="1" applyProtection="1">
      <alignment horizontal="center" vertical="center" wrapText="1"/>
    </xf>
    <xf numFmtId="0" fontId="23" fillId="19" borderId="73" xfId="0" applyFont="1" applyFill="1" applyBorder="1" applyAlignment="1" applyProtection="1">
      <alignment horizontal="center" vertical="center" wrapText="1"/>
    </xf>
    <xf numFmtId="0" fontId="23" fillId="19" borderId="107" xfId="0" applyFont="1" applyFill="1" applyBorder="1" applyAlignment="1" applyProtection="1">
      <alignment horizontal="left" vertical="center" wrapText="1"/>
    </xf>
    <xf numFmtId="0" fontId="23" fillId="19" borderId="73" xfId="0" applyFont="1" applyFill="1" applyBorder="1" applyAlignment="1" applyProtection="1">
      <alignment horizontal="left" vertical="center" wrapText="1"/>
    </xf>
    <xf numFmtId="0" fontId="23" fillId="19" borderId="79" xfId="0" applyFont="1" applyFill="1" applyBorder="1" applyAlignment="1" applyProtection="1">
      <alignment horizontal="left" vertical="center" wrapText="1"/>
    </xf>
    <xf numFmtId="0" fontId="27" fillId="16" borderId="72" xfId="0" applyFont="1" applyFill="1" applyBorder="1" applyAlignment="1" applyProtection="1">
      <alignment horizontal="center" vertical="center" wrapText="1"/>
    </xf>
    <xf numFmtId="0" fontId="27" fillId="16" borderId="73" xfId="0" applyFont="1" applyFill="1" applyBorder="1" applyAlignment="1" applyProtection="1">
      <alignment horizontal="center" vertical="center" wrapText="1"/>
    </xf>
    <xf numFmtId="0" fontId="0" fillId="7" borderId="51" xfId="0" applyFont="1" applyFill="1" applyBorder="1" applyAlignment="1" applyProtection="1">
      <alignment horizontal="left" vertical="center"/>
      <protection locked="0"/>
    </xf>
    <xf numFmtId="0" fontId="0" fillId="7" borderId="94" xfId="0" applyFont="1" applyFill="1" applyBorder="1" applyAlignment="1" applyProtection="1">
      <alignment horizontal="left" vertical="center"/>
      <protection locked="0"/>
    </xf>
    <xf numFmtId="14" fontId="0" fillId="7" borderId="69" xfId="0" applyNumberFormat="1" applyFont="1" applyFill="1" applyBorder="1" applyAlignment="1" applyProtection="1">
      <alignment horizontal="left" vertical="center"/>
      <protection locked="0"/>
    </xf>
    <xf numFmtId="0" fontId="0" fillId="7" borderId="69" xfId="0" applyFont="1" applyFill="1" applyBorder="1" applyAlignment="1" applyProtection="1">
      <alignment horizontal="left" vertical="center"/>
      <protection locked="0"/>
    </xf>
    <xf numFmtId="0" fontId="9" fillId="16" borderId="95" xfId="1" applyFill="1" applyBorder="1" applyAlignment="1" applyProtection="1">
      <alignment horizontal="center" vertical="center"/>
    </xf>
    <xf numFmtId="0" fontId="9" fillId="16" borderId="61" xfId="1" applyFill="1" applyBorder="1" applyAlignment="1" applyProtection="1">
      <alignment horizontal="center" vertical="center"/>
    </xf>
    <xf numFmtId="0" fontId="40" fillId="18" borderId="59" xfId="0" applyFont="1" applyFill="1" applyBorder="1" applyAlignment="1" applyProtection="1">
      <alignment horizontal="left" vertical="center"/>
    </xf>
    <xf numFmtId="0" fontId="40" fillId="18" borderId="58" xfId="0" applyFont="1" applyFill="1" applyBorder="1" applyAlignment="1" applyProtection="1">
      <alignment horizontal="left" vertical="center"/>
    </xf>
    <xf numFmtId="0" fontId="40" fillId="18" borderId="54" xfId="0" applyFont="1" applyFill="1" applyBorder="1" applyAlignment="1" applyProtection="1">
      <alignment horizontal="left" vertical="center"/>
    </xf>
    <xf numFmtId="0" fontId="35" fillId="16" borderId="95" xfId="1" applyFont="1" applyFill="1" applyBorder="1" applyAlignment="1" applyProtection="1">
      <alignment horizontal="center" vertical="center"/>
    </xf>
    <xf numFmtId="0" fontId="35" fillId="16" borderId="61" xfId="1" applyFont="1" applyFill="1" applyBorder="1" applyAlignment="1" applyProtection="1">
      <alignment horizontal="center" vertical="center"/>
    </xf>
    <xf numFmtId="0" fontId="33" fillId="18" borderId="82" xfId="0" applyFont="1" applyFill="1" applyBorder="1" applyAlignment="1" applyProtection="1">
      <alignment horizontal="center" vertical="center" wrapText="1"/>
    </xf>
    <xf numFmtId="0" fontId="33" fillId="18" borderId="56" xfId="0" applyFont="1" applyFill="1" applyBorder="1" applyAlignment="1" applyProtection="1">
      <alignment horizontal="center" vertical="center" wrapText="1"/>
    </xf>
    <xf numFmtId="0" fontId="35" fillId="0" borderId="0" xfId="1" applyFont="1" applyFill="1" applyBorder="1" applyAlignment="1" applyProtection="1">
      <alignment horizontal="center" vertical="center"/>
    </xf>
    <xf numFmtId="0" fontId="0" fillId="0" borderId="51" xfId="0" applyFill="1" applyBorder="1" applyAlignment="1" applyProtection="1">
      <alignment horizontal="left" vertical="center"/>
      <protection locked="0"/>
    </xf>
    <xf numFmtId="0" fontId="0" fillId="0" borderId="94" xfId="0" applyFill="1" applyBorder="1" applyAlignment="1" applyProtection="1">
      <alignment horizontal="left" vertical="center"/>
      <protection locked="0"/>
    </xf>
    <xf numFmtId="0" fontId="9" fillId="0" borderId="69" xfId="1" applyFill="1" applyBorder="1" applyAlignment="1" applyProtection="1">
      <alignment horizontal="left" vertical="center"/>
      <protection locked="0"/>
    </xf>
    <xf numFmtId="0" fontId="0" fillId="0" borderId="69" xfId="0" applyFill="1" applyBorder="1" applyAlignment="1" applyProtection="1">
      <alignment horizontal="left" vertical="center"/>
      <protection locked="0"/>
    </xf>
    <xf numFmtId="166" fontId="16" fillId="17" borderId="85" xfId="0" applyNumberFormat="1" applyFont="1" applyFill="1" applyBorder="1" applyAlignment="1" applyProtection="1">
      <alignment horizontal="center" vertical="center" wrapText="1"/>
    </xf>
    <xf numFmtId="166" fontId="16" fillId="17" borderId="86" xfId="0" applyNumberFormat="1" applyFont="1" applyFill="1" applyBorder="1" applyAlignment="1" applyProtection="1">
      <alignment horizontal="center" vertical="center" wrapText="1"/>
    </xf>
    <xf numFmtId="166" fontId="16" fillId="17" borderId="87" xfId="0" applyNumberFormat="1" applyFont="1" applyFill="1" applyBorder="1" applyAlignment="1" applyProtection="1">
      <alignment horizontal="center" vertical="center" wrapText="1"/>
    </xf>
    <xf numFmtId="0" fontId="40" fillId="18" borderId="88" xfId="0" applyFont="1" applyFill="1" applyBorder="1" applyAlignment="1" applyProtection="1">
      <alignment horizontal="left" vertical="center"/>
    </xf>
    <xf numFmtId="2" fontId="3" fillId="15" borderId="89" xfId="0" applyNumberFormat="1" applyFont="1" applyFill="1" applyBorder="1" applyAlignment="1" applyProtection="1">
      <alignment horizontal="left" vertical="center"/>
    </xf>
    <xf numFmtId="2" fontId="3" fillId="15" borderId="10" xfId="0" applyNumberFormat="1" applyFont="1" applyFill="1" applyBorder="1" applyAlignment="1" applyProtection="1">
      <alignment horizontal="left" vertical="center"/>
    </xf>
    <xf numFmtId="2" fontId="3" fillId="15" borderId="11" xfId="0" applyNumberFormat="1" applyFont="1" applyFill="1" applyBorder="1" applyAlignment="1" applyProtection="1">
      <alignment horizontal="left" vertical="center"/>
    </xf>
    <xf numFmtId="0" fontId="3" fillId="15" borderId="85" xfId="0" applyFont="1" applyFill="1" applyBorder="1" applyAlignment="1" applyProtection="1">
      <alignment horizontal="left" vertical="center"/>
    </xf>
    <xf numFmtId="0" fontId="3" fillId="15" borderId="86" xfId="0" applyFont="1" applyFill="1" applyBorder="1" applyAlignment="1" applyProtection="1">
      <alignment horizontal="left" vertical="center"/>
    </xf>
    <xf numFmtId="0" fontId="3" fillId="15" borderId="90" xfId="0" applyFont="1" applyFill="1" applyBorder="1" applyAlignment="1" applyProtection="1">
      <alignment horizontal="left" vertical="center"/>
    </xf>
    <xf numFmtId="0" fontId="3" fillId="15" borderId="89" xfId="0" applyFont="1" applyFill="1" applyBorder="1" applyAlignment="1" applyProtection="1">
      <alignment horizontal="left" vertical="center"/>
    </xf>
    <xf numFmtId="0" fontId="3" fillId="15" borderId="10" xfId="0" applyFont="1" applyFill="1" applyBorder="1" applyAlignment="1" applyProtection="1">
      <alignment horizontal="left" vertical="center"/>
    </xf>
    <xf numFmtId="0" fontId="3" fillId="15" borderId="11" xfId="0" applyFont="1" applyFill="1" applyBorder="1" applyAlignment="1" applyProtection="1">
      <alignment horizontal="left" vertical="center"/>
    </xf>
    <xf numFmtId="0" fontId="46" fillId="16" borderId="1" xfId="0" applyNumberFormat="1" applyFont="1" applyFill="1" applyBorder="1" applyAlignment="1" applyProtection="1">
      <alignment horizontal="center" vertical="center" wrapText="1"/>
    </xf>
    <xf numFmtId="0" fontId="46" fillId="16" borderId="65" xfId="0" applyNumberFormat="1" applyFont="1" applyFill="1" applyBorder="1" applyAlignment="1" applyProtection="1">
      <alignment horizontal="center" vertical="center" wrapText="1"/>
    </xf>
    <xf numFmtId="0" fontId="3" fillId="16" borderId="67" xfId="0" applyNumberFormat="1" applyFont="1" applyFill="1" applyBorder="1" applyAlignment="1" applyProtection="1">
      <alignment horizontal="center" vertical="center" wrapText="1"/>
    </xf>
    <xf numFmtId="0" fontId="3" fillId="16" borderId="1" xfId="0" applyNumberFormat="1" applyFont="1" applyFill="1" applyBorder="1" applyAlignment="1" applyProtection="1">
      <alignment horizontal="center" vertical="center" wrapText="1"/>
    </xf>
    <xf numFmtId="0" fontId="0" fillId="17" borderId="72" xfId="0" applyFill="1" applyBorder="1" applyAlignment="1" applyProtection="1">
      <alignment horizontal="center" vertical="center" wrapText="1"/>
    </xf>
    <xf numFmtId="0" fontId="0" fillId="17" borderId="73" xfId="0" applyFill="1" applyBorder="1" applyAlignment="1" applyProtection="1">
      <alignment horizontal="center" vertical="center" wrapText="1"/>
    </xf>
    <xf numFmtId="0" fontId="0" fillId="17" borderId="67" xfId="0" applyFill="1" applyBorder="1" applyAlignment="1" applyProtection="1">
      <alignment horizontal="left" vertical="center" wrapText="1"/>
    </xf>
    <xf numFmtId="0" fontId="40" fillId="15" borderId="62" xfId="0" applyNumberFormat="1" applyFont="1" applyFill="1" applyBorder="1" applyAlignment="1" applyProtection="1">
      <alignment horizontal="left" vertical="center" wrapText="1"/>
    </xf>
    <xf numFmtId="0" fontId="40" fillId="15" borderId="63" xfId="0" applyNumberFormat="1" applyFont="1" applyFill="1" applyBorder="1" applyAlignment="1" applyProtection="1">
      <alignment horizontal="left" vertical="center" wrapText="1"/>
    </xf>
    <xf numFmtId="0" fontId="40" fillId="15" borderId="64" xfId="0" applyNumberFormat="1" applyFont="1" applyFill="1" applyBorder="1" applyAlignment="1" applyProtection="1">
      <alignment horizontal="left" vertical="center" wrapText="1"/>
    </xf>
    <xf numFmtId="166" fontId="7" fillId="17" borderId="85" xfId="0" applyNumberFormat="1" applyFont="1" applyFill="1" applyBorder="1" applyAlignment="1" applyProtection="1">
      <alignment horizontal="center" vertical="center" wrapText="1"/>
    </xf>
    <xf numFmtId="166" fontId="7" fillId="17" borderId="86" xfId="0" applyNumberFormat="1" applyFont="1" applyFill="1" applyBorder="1" applyAlignment="1" applyProtection="1">
      <alignment horizontal="center" vertical="center" wrapText="1"/>
    </xf>
    <xf numFmtId="166" fontId="7" fillId="17" borderId="87" xfId="0" applyNumberFormat="1" applyFont="1" applyFill="1" applyBorder="1" applyAlignment="1" applyProtection="1">
      <alignment horizontal="center" vertical="center" wrapText="1"/>
    </xf>
    <xf numFmtId="0" fontId="53" fillId="7" borderId="59" xfId="0" applyFont="1" applyFill="1" applyBorder="1" applyAlignment="1" applyProtection="1">
      <alignment horizontal="center" vertical="center" wrapText="1"/>
    </xf>
    <xf numFmtId="0" fontId="53" fillId="7" borderId="58" xfId="0" applyFont="1" applyFill="1" applyBorder="1" applyAlignment="1" applyProtection="1">
      <alignment horizontal="center" vertical="center" wrapText="1"/>
    </xf>
    <xf numFmtId="0" fontId="53" fillId="7" borderId="54" xfId="0" applyFont="1" applyFill="1" applyBorder="1" applyAlignment="1" applyProtection="1">
      <alignment horizontal="center" vertical="center" wrapText="1"/>
    </xf>
    <xf numFmtId="0" fontId="53" fillId="7" borderId="57" xfId="0" applyFont="1" applyFill="1" applyBorder="1" applyAlignment="1" applyProtection="1">
      <alignment horizontal="center" vertical="center" wrapText="1"/>
    </xf>
    <xf numFmtId="0" fontId="53" fillId="7" borderId="55" xfId="0" applyFont="1" applyFill="1" applyBorder="1" applyAlignment="1" applyProtection="1">
      <alignment horizontal="center" vertical="center" wrapText="1"/>
    </xf>
    <xf numFmtId="0" fontId="3" fillId="15" borderId="60" xfId="0" applyNumberFormat="1" applyFont="1" applyFill="1" applyBorder="1" applyAlignment="1" applyProtection="1">
      <alignment horizontal="center" vertical="center" wrapText="1"/>
    </xf>
    <xf numFmtId="0" fontId="3" fillId="15" borderId="61" xfId="0" applyNumberFormat="1" applyFont="1" applyFill="1" applyBorder="1" applyAlignment="1" applyProtection="1">
      <alignment horizontal="center" vertical="center" wrapText="1"/>
    </xf>
    <xf numFmtId="0" fontId="40" fillId="18" borderId="97" xfId="0" applyFont="1" applyFill="1" applyBorder="1" applyAlignment="1" applyProtection="1">
      <alignment horizontal="center" vertical="center"/>
    </xf>
    <xf numFmtId="0" fontId="40" fillId="18" borderId="98" xfId="0" applyFont="1" applyFill="1" applyBorder="1" applyAlignment="1" applyProtection="1">
      <alignment horizontal="center" vertical="center"/>
    </xf>
    <xf numFmtId="0" fontId="40" fillId="18" borderId="99" xfId="0" applyFont="1" applyFill="1" applyBorder="1" applyAlignment="1" applyProtection="1">
      <alignment horizontal="center" vertical="center"/>
    </xf>
    <xf numFmtId="0" fontId="40" fillId="18" borderId="75" xfId="0" applyFont="1" applyFill="1" applyBorder="1" applyAlignment="1" applyProtection="1">
      <alignment horizontal="center" vertical="center"/>
    </xf>
    <xf numFmtId="0" fontId="40" fillId="18" borderId="76" xfId="0" applyFont="1" applyFill="1" applyBorder="1" applyAlignment="1" applyProtection="1">
      <alignment horizontal="center" vertical="center"/>
    </xf>
    <xf numFmtId="0" fontId="40" fillId="18" borderId="75" xfId="0" applyFont="1" applyFill="1" applyBorder="1" applyAlignment="1" applyProtection="1">
      <alignment horizontal="center" vertical="center" wrapText="1"/>
    </xf>
    <xf numFmtId="0" fontId="40" fillId="18" borderId="76" xfId="0" applyFont="1" applyFill="1" applyBorder="1" applyAlignment="1" applyProtection="1">
      <alignment horizontal="center" vertical="center" wrapText="1"/>
    </xf>
    <xf numFmtId="0" fontId="3" fillId="16" borderId="78" xfId="0" applyFont="1" applyFill="1" applyBorder="1" applyAlignment="1" applyProtection="1">
      <alignment horizontal="center" vertical="center"/>
    </xf>
    <xf numFmtId="0" fontId="3" fillId="16" borderId="79" xfId="0" applyFont="1" applyFill="1" applyBorder="1" applyAlignment="1" applyProtection="1">
      <alignment horizontal="center" vertical="center"/>
    </xf>
    <xf numFmtId="0" fontId="3" fillId="16" borderId="73" xfId="0" applyFont="1" applyFill="1" applyBorder="1" applyAlignment="1" applyProtection="1">
      <alignment horizontal="center" vertical="center"/>
    </xf>
    <xf numFmtId="0" fontId="3" fillId="16" borderId="67" xfId="0" applyFont="1" applyFill="1" applyBorder="1" applyAlignment="1" applyProtection="1">
      <alignment horizontal="center" vertical="center"/>
    </xf>
    <xf numFmtId="0" fontId="3" fillId="16" borderId="72" xfId="0" applyFont="1" applyFill="1" applyBorder="1" applyAlignment="1" applyProtection="1">
      <alignment horizontal="center" vertical="center"/>
    </xf>
    <xf numFmtId="0" fontId="0" fillId="16" borderId="73" xfId="0" applyFill="1" applyBorder="1" applyAlignment="1" applyProtection="1">
      <alignment horizontal="center" vertical="center"/>
    </xf>
    <xf numFmtId="0" fontId="0" fillId="16" borderId="67" xfId="0" applyFill="1" applyBorder="1" applyAlignment="1" applyProtection="1">
      <alignment horizontal="center" vertical="center"/>
    </xf>
    <xf numFmtId="0" fontId="0" fillId="16" borderId="72" xfId="0" applyFill="1" applyBorder="1" applyAlignment="1" applyProtection="1">
      <alignment horizontal="center" vertical="center"/>
    </xf>
    <xf numFmtId="0" fontId="0" fillId="0" borderId="0" xfId="0" applyAlignment="1">
      <alignment horizontal="center" vertical="center" wrapText="1"/>
    </xf>
    <xf numFmtId="0" fontId="3" fillId="0" borderId="0" xfId="0" applyFont="1" applyAlignment="1">
      <alignment horizontal="center" vertical="center"/>
    </xf>
    <xf numFmtId="0" fontId="0" fillId="0" borderId="0" xfId="0" applyAlignment="1">
      <alignment horizontal="center" vertical="center"/>
    </xf>
  </cellXfs>
  <cellStyles count="17">
    <cellStyle name="Euro" xfId="2" xr:uid="{00000000-0005-0000-0000-000000000000}"/>
    <cellStyle name="Excel Built-in Normal" xfId="15" xr:uid="{00000000-0005-0000-0000-000001000000}"/>
    <cellStyle name="Hipervínculo" xfId="1" builtinId="8"/>
    <cellStyle name="Hipervínculo 2" xfId="3" xr:uid="{00000000-0005-0000-0000-000003000000}"/>
    <cellStyle name="Millares" xfId="13" builtinId="3"/>
    <cellStyle name="Millares 2" xfId="4" xr:uid="{00000000-0005-0000-0000-000005000000}"/>
    <cellStyle name="Millares 3" xfId="16" xr:uid="{00000000-0005-0000-0000-000006000000}"/>
    <cellStyle name="Normal" xfId="0" builtinId="0"/>
    <cellStyle name="Normal 2" xfId="5" xr:uid="{00000000-0005-0000-0000-000008000000}"/>
    <cellStyle name="Normal 3" xfId="6" xr:uid="{00000000-0005-0000-0000-000009000000}"/>
    <cellStyle name="Normal 4" xfId="7" xr:uid="{00000000-0005-0000-0000-00000A000000}"/>
    <cellStyle name="Normal 5" xfId="8" xr:uid="{00000000-0005-0000-0000-00000B000000}"/>
    <cellStyle name="Normal 6" xfId="9" xr:uid="{00000000-0005-0000-0000-00000C000000}"/>
    <cellStyle name="Normal 7" xfId="10" xr:uid="{00000000-0005-0000-0000-00000D000000}"/>
    <cellStyle name="Normal 8" xfId="11" xr:uid="{00000000-0005-0000-0000-00000E000000}"/>
    <cellStyle name="Porcentaje" xfId="14" builtinId="5"/>
    <cellStyle name="Porcentaje 2" xfId="12"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ES"/>
              <a:t>Huella</a:t>
            </a:r>
            <a:r>
              <a:rPr lang="es-ES" baseline="0"/>
              <a:t> de Carbono Corporativa</a:t>
            </a:r>
            <a:endParaRPr lang="es-ES"/>
          </a:p>
        </c:rich>
      </c:tx>
      <c:overlay val="1"/>
    </c:title>
    <c:autoTitleDeleted val="0"/>
    <c:plotArea>
      <c:layout>
        <c:manualLayout>
          <c:layoutTarget val="inner"/>
          <c:xMode val="edge"/>
          <c:yMode val="edge"/>
          <c:x val="9.0876640419947502E-2"/>
          <c:y val="0.15666375036453778"/>
          <c:w val="0.88620669291338583"/>
          <c:h val="0.45231017175484811"/>
        </c:manualLayout>
      </c:layout>
      <c:barChart>
        <c:barDir val="col"/>
        <c:grouping val="clustered"/>
        <c:varyColors val="0"/>
        <c:ser>
          <c:idx val="0"/>
          <c:order val="0"/>
          <c:spPr>
            <a:solidFill>
              <a:schemeClr val="tx2">
                <a:lumMod val="60000"/>
                <a:lumOff val="40000"/>
              </a:schemeClr>
            </a:solidFill>
            <a:ln>
              <a:solidFill>
                <a:schemeClr val="bg2">
                  <a:lumMod val="50000"/>
                </a:schemeClr>
              </a:solidFill>
            </a:ln>
          </c:spPr>
          <c:invertIfNegative val="0"/>
          <c:cat>
            <c:strRef>
              <c:f>('Resumen y Gráfica '!$B$4:$B$6,'Resumen y Gráfica '!$B$8,'Resumen y Gráfica '!$B$10:$B$12)</c:f>
              <c:strCache>
                <c:ptCount val="7"/>
                <c:pt idx="0">
                  <c:v>Fuentes Móviles</c:v>
                </c:pt>
                <c:pt idx="1">
                  <c:v>Fuentes Fijas</c:v>
                </c:pt>
                <c:pt idx="2">
                  <c:v>Emisiones de Proceso</c:v>
                </c:pt>
                <c:pt idx="3">
                  <c:v>Energía Adquirida</c:v>
                </c:pt>
                <c:pt idx="4">
                  <c:v>Fuentes Móviles</c:v>
                </c:pt>
                <c:pt idx="5">
                  <c:v>Fuentes Fijas</c:v>
                </c:pt>
                <c:pt idx="6">
                  <c:v>Otras Fuentes</c:v>
                </c:pt>
              </c:strCache>
            </c:strRef>
          </c:cat>
          <c:val>
            <c:numRef>
              <c:f>('Resumen y Gráfica '!$H$4:$H$6,'Resumen y Gráfica '!$H$8,'Resumen y Gráfica '!$H$10:$H$12)</c:f>
              <c:numCache>
                <c:formatCode>#,##0.00</c:formatCode>
                <c:ptCount val="7"/>
                <c:pt idx="0">
                  <c:v>3690.3932187788237</c:v>
                </c:pt>
                <c:pt idx="1">
                  <c:v>134.80084643445738</c:v>
                </c:pt>
                <c:pt idx="2">
                  <c:v>732.05481212982363</c:v>
                </c:pt>
                <c:pt idx="3">
                  <c:v>28853.65416822</c:v>
                </c:pt>
                <c:pt idx="4">
                  <c:v>0</c:v>
                </c:pt>
                <c:pt idx="5">
                  <c:v>0</c:v>
                </c:pt>
                <c:pt idx="6">
                  <c:v>140.37363529499999</c:v>
                </c:pt>
              </c:numCache>
            </c:numRef>
          </c:val>
          <c:extLst>
            <c:ext xmlns:c16="http://schemas.microsoft.com/office/drawing/2014/chart" uri="{C3380CC4-5D6E-409C-BE32-E72D297353CC}">
              <c16:uniqueId val="{00000000-BE34-4559-8ABD-0F81119EEA81}"/>
            </c:ext>
          </c:extLst>
        </c:ser>
        <c:dLbls>
          <c:showLegendKey val="0"/>
          <c:showVal val="0"/>
          <c:showCatName val="0"/>
          <c:showSerName val="0"/>
          <c:showPercent val="0"/>
          <c:showBubbleSize val="0"/>
        </c:dLbls>
        <c:gapWidth val="150"/>
        <c:axId val="431657488"/>
        <c:axId val="431666112"/>
      </c:barChart>
      <c:catAx>
        <c:axId val="431657488"/>
        <c:scaling>
          <c:orientation val="minMax"/>
        </c:scaling>
        <c:delete val="0"/>
        <c:axPos val="b"/>
        <c:title>
          <c:tx>
            <c:rich>
              <a:bodyPr/>
              <a:lstStyle/>
              <a:p>
                <a:pPr>
                  <a:defRPr sz="1400"/>
                </a:pPr>
                <a:r>
                  <a:rPr lang="en-US" sz="1400"/>
                  <a:t>ALCANCE</a:t>
                </a:r>
              </a:p>
            </c:rich>
          </c:tx>
          <c:layout>
            <c:manualLayout>
              <c:xMode val="edge"/>
              <c:yMode val="edge"/>
              <c:x val="0.46724557086614171"/>
              <c:y val="0.88677748614756491"/>
            </c:manualLayout>
          </c:layout>
          <c:overlay val="0"/>
        </c:title>
        <c:numFmt formatCode="General" sourceLinked="0"/>
        <c:majorTickMark val="out"/>
        <c:minorTickMark val="none"/>
        <c:tickLblPos val="nextTo"/>
        <c:crossAx val="431666112"/>
        <c:crosses val="autoZero"/>
        <c:auto val="1"/>
        <c:lblAlgn val="ctr"/>
        <c:lblOffset val="100"/>
        <c:noMultiLvlLbl val="0"/>
      </c:catAx>
      <c:valAx>
        <c:axId val="431666112"/>
        <c:scaling>
          <c:orientation val="minMax"/>
        </c:scaling>
        <c:delete val="0"/>
        <c:axPos val="l"/>
        <c:majorGridlines/>
        <c:title>
          <c:tx>
            <c:rich>
              <a:bodyPr rot="0" vert="horz"/>
              <a:lstStyle/>
              <a:p>
                <a:pPr>
                  <a:defRPr/>
                </a:pPr>
                <a:r>
                  <a:rPr lang="es-ES"/>
                  <a:t>Ton</a:t>
                </a:r>
                <a:r>
                  <a:rPr lang="es-ES" baseline="0"/>
                  <a:t> CO</a:t>
                </a:r>
                <a:r>
                  <a:rPr lang="es-ES" baseline="-25000"/>
                  <a:t>2</a:t>
                </a:r>
                <a:r>
                  <a:rPr lang="es-ES" baseline="0"/>
                  <a:t> e</a:t>
                </a:r>
                <a:endParaRPr lang="es-ES"/>
              </a:p>
            </c:rich>
          </c:tx>
          <c:layout>
            <c:manualLayout>
              <c:xMode val="edge"/>
              <c:yMode val="edge"/>
              <c:x val="1.2987948578499732E-2"/>
              <c:y val="5.6882933492962501E-2"/>
            </c:manualLayout>
          </c:layout>
          <c:overlay val="0"/>
        </c:title>
        <c:numFmt formatCode="#,##0" sourceLinked="0"/>
        <c:majorTickMark val="out"/>
        <c:minorTickMark val="none"/>
        <c:tickLblPos val="nextTo"/>
        <c:crossAx val="431657488"/>
        <c:crosses val="autoZero"/>
        <c:crossBetween val="between"/>
      </c:valAx>
    </c:plotArea>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7274300087489062"/>
          <c:y val="7.1632330205299674E-2"/>
          <c:w val="0.54618066491688544"/>
          <c:h val="0.89783123000035969"/>
        </c:manualLayout>
      </c:layout>
      <c:pieChart>
        <c:varyColors val="0"/>
        <c:ser>
          <c:idx val="0"/>
          <c:order val="0"/>
          <c:spPr>
            <a:solidFill>
              <a:schemeClr val="tx2">
                <a:lumMod val="60000"/>
                <a:lumOff val="40000"/>
              </a:schemeClr>
            </a:solidFill>
          </c:spPr>
          <c:explosion val="17"/>
          <c:dPt>
            <c:idx val="0"/>
            <c:bubble3D val="0"/>
            <c:spPr>
              <a:solidFill>
                <a:schemeClr val="tx2">
                  <a:lumMod val="75000"/>
                </a:schemeClr>
              </a:solidFill>
            </c:spPr>
            <c:extLst>
              <c:ext xmlns:c16="http://schemas.microsoft.com/office/drawing/2014/chart" uri="{C3380CC4-5D6E-409C-BE32-E72D297353CC}">
                <c16:uniqueId val="{00000001-F70D-462F-9143-5D5577D8DC54}"/>
              </c:ext>
            </c:extLst>
          </c:dPt>
          <c:dPt>
            <c:idx val="1"/>
            <c:bubble3D val="0"/>
            <c:extLst>
              <c:ext xmlns:c16="http://schemas.microsoft.com/office/drawing/2014/chart" uri="{C3380CC4-5D6E-409C-BE32-E72D297353CC}">
                <c16:uniqueId val="{00000002-F70D-462F-9143-5D5577D8DC54}"/>
              </c:ext>
            </c:extLst>
          </c:dPt>
          <c:dPt>
            <c:idx val="2"/>
            <c:bubble3D val="0"/>
            <c:spPr>
              <a:solidFill>
                <a:schemeClr val="tx2">
                  <a:lumMod val="20000"/>
                  <a:lumOff val="80000"/>
                </a:schemeClr>
              </a:solidFill>
            </c:spPr>
            <c:extLst>
              <c:ext xmlns:c16="http://schemas.microsoft.com/office/drawing/2014/chart" uri="{C3380CC4-5D6E-409C-BE32-E72D297353CC}">
                <c16:uniqueId val="{00000004-F70D-462F-9143-5D5577D8DC54}"/>
              </c:ext>
            </c:extLst>
          </c:dPt>
          <c:dLbls>
            <c:dLbl>
              <c:idx val="0"/>
              <c:layout>
                <c:manualLayout>
                  <c:x val="-6.1008092738407703E-2"/>
                  <c:y val="-0.2093150684931507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70D-462F-9143-5D5577D8DC54}"/>
                </c:ext>
              </c:extLst>
            </c:dLbl>
            <c:dLbl>
              <c:idx val="1"/>
              <c:layout>
                <c:manualLayout>
                  <c:x val="-5.1558180227471558E-2"/>
                  <c:y val="0.1152968036529680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70D-462F-9143-5D5577D8DC54}"/>
                </c:ext>
              </c:extLst>
            </c:dLbl>
            <c:dLbl>
              <c:idx val="2"/>
              <c:layout>
                <c:manualLayout>
                  <c:x val="9.8422462817147865E-2"/>
                  <c:y val="5.593607305936084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F70D-462F-9143-5D5577D8DC54}"/>
                </c:ext>
              </c:extLst>
            </c:dLbl>
            <c:numFmt formatCode="0.00%" sourceLinked="0"/>
            <c:spPr>
              <a:noFill/>
              <a:ln>
                <a:noFill/>
              </a:ln>
              <a:effectLst/>
            </c:spPr>
            <c:txPr>
              <a:bodyPr/>
              <a:lstStyle/>
              <a:p>
                <a:pPr>
                  <a:defRPr b="1"/>
                </a:pPr>
                <a:endParaRPr lang="es-CO"/>
              </a:p>
            </c:txPr>
            <c:showLegendKey val="0"/>
            <c:showVal val="0"/>
            <c:showCatName val="1"/>
            <c:showSerName val="0"/>
            <c:showPercent val="1"/>
            <c:showBubbleSize val="0"/>
            <c:showLeaderLines val="0"/>
            <c:extLst>
              <c:ext xmlns:c15="http://schemas.microsoft.com/office/drawing/2012/chart" uri="{CE6537A1-D6FC-4f65-9D91-7224C49458BB}"/>
            </c:extLst>
          </c:dLbls>
          <c:cat>
            <c:strRef>
              <c:f>'Resumen y Gráfica '!$B$27:$B$29</c:f>
              <c:strCache>
                <c:ptCount val="3"/>
                <c:pt idx="0">
                  <c:v>Alcance 1</c:v>
                </c:pt>
                <c:pt idx="1">
                  <c:v>Alcance 2</c:v>
                </c:pt>
                <c:pt idx="2">
                  <c:v>Alcance 3</c:v>
                </c:pt>
              </c:strCache>
            </c:strRef>
          </c:cat>
          <c:val>
            <c:numRef>
              <c:f>'Resumen y Gráfica '!$C$27:$C$29</c:f>
              <c:numCache>
                <c:formatCode>#,##0.00</c:formatCode>
                <c:ptCount val="3"/>
                <c:pt idx="0">
                  <c:v>4557.2488773431051</c:v>
                </c:pt>
                <c:pt idx="1">
                  <c:v>28853.65416822</c:v>
                </c:pt>
                <c:pt idx="2">
                  <c:v>140.37363529499999</c:v>
                </c:pt>
              </c:numCache>
            </c:numRef>
          </c:val>
          <c:extLst>
            <c:ext xmlns:c16="http://schemas.microsoft.com/office/drawing/2014/chart" uri="{C3380CC4-5D6E-409C-BE32-E72D297353CC}">
              <c16:uniqueId val="{00000005-F70D-462F-9143-5D5577D8DC54}"/>
            </c:ext>
          </c:extLst>
        </c:ser>
        <c:dLbls>
          <c:showLegendKey val="0"/>
          <c:showVal val="0"/>
          <c:showCatName val="1"/>
          <c:showSerName val="0"/>
          <c:showPercent val="1"/>
          <c:showBubbleSize val="0"/>
          <c:showLeaderLines val="0"/>
        </c:dLbls>
        <c:firstSliceAng val="0"/>
      </c:pieChart>
    </c:plotArea>
    <c:plotVisOnly val="1"/>
    <c:dispBlanksAs val="zero"/>
    <c:showDLblsOverMax val="0"/>
  </c:chart>
  <c:printSettings>
    <c:headerFooter/>
    <c:pageMargins b="0.75000000000000122" l="0.70000000000000062" r="0.70000000000000062" t="0.75000000000000122" header="0.30000000000000032" footer="0.30000000000000032"/>
    <c:pageSetup/>
  </c:printSettings>
</c:chartSpace>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diagrams/colors1.xml><?xml version="1.0" encoding="utf-8"?>
<dgm:colorsDef xmlns:dgm="http://schemas.openxmlformats.org/drawingml/2006/diagram" xmlns:a="http://schemas.openxmlformats.org/drawingml/2006/main" uniqueId="urn:microsoft.com/office/officeart/2005/8/colors/colorful1#1">
  <dgm:title val=""/>
  <dgm:desc val=""/>
  <dgm:catLst>
    <dgm:cat type="colorful" pri="10100"/>
  </dgm:catLst>
  <dgm:styleLbl name="node0">
    <dgm:fillClrLst meth="repeat">
      <a:schemeClr val="accent1"/>
    </dgm:fillClrLst>
    <dgm:linClrLst meth="repeat">
      <a:schemeClr val="lt1"/>
    </dgm:linClrLst>
    <dgm:effectClrLst/>
    <dgm:txLinClrLst/>
    <dgm:txFillClrLst/>
    <dgm:txEffectClrLst/>
  </dgm:styleLbl>
  <dgm:styleLbl name="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alignNode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dgm:txEffectClrLst/>
  </dgm:styleLbl>
  <dgm:styleLbl name="ln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vennNode1">
    <dgm:fillClrLst meth="repeat">
      <a:schemeClr val="accent2">
        <a:alpha val="50000"/>
      </a:schemeClr>
      <a:schemeClr val="accent3">
        <a:alpha val="50000"/>
      </a:schemeClr>
      <a:schemeClr val="accent4">
        <a:alpha val="50000"/>
      </a:schemeClr>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2"/>
    </dgm:fillClrLst>
    <dgm:linClrLst meth="repeat">
      <a:schemeClr val="lt1"/>
    </dgm:linClrLst>
    <dgm:effectClrLst/>
    <dgm:txLinClrLst/>
    <dgm:txFillClrLst/>
    <dgm:txEffectClrLst/>
  </dgm:styleLbl>
  <dgm:styleLbl name="node3">
    <dgm:fillClrLst>
      <a:schemeClr val="accent3"/>
    </dgm:fillClrLst>
    <dgm:linClrLst meth="repeat">
      <a:schemeClr val="lt1"/>
    </dgm:linClrLst>
    <dgm:effectClrLst/>
    <dgm:txLinClrLst/>
    <dgm:txFillClrLst/>
    <dgm:txEffectClrLst/>
  </dgm:styleLbl>
  <dgm:styleLbl name="node4">
    <dgm:fillClrLst>
      <a:schemeClr val="accent4"/>
    </dgm:fillClrLst>
    <dgm:linClrLst meth="repeat">
      <a:schemeClr val="lt1"/>
    </dgm:linClrLst>
    <dgm:effectClrLst/>
    <dgm:txLinClrLst/>
    <dgm:txFillClrLst/>
    <dgm:txEffectClrLst/>
  </dgm:styleLbl>
  <dgm:styleLbl name="fgImgPlace1">
    <dgm:fillClrLst meth="repeat">
      <a:schemeClr val="accent2">
        <a:tint val="50000"/>
      </a:schemeClr>
      <a:schemeClr val="accent3">
        <a:tint val="50000"/>
      </a:schemeClr>
      <a:schemeClr val="accent4">
        <a:tint val="50000"/>
      </a:schemeClr>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schemeClr val="accent3"/>
      <a:schemeClr val="accent4"/>
      <a:schemeClr val="accent5"/>
      <a:schemeClr val="accent6"/>
    </dgm:fillClrLst>
    <dgm:linClrLst meth="cycle">
      <a:schemeClr val="lt1"/>
    </dgm:linClrLst>
    <dgm:effectClrLst/>
    <dgm:txLinClrLst/>
    <dgm:txFillClrLst/>
    <dgm:txEffectClrLst/>
  </dgm:styleLbl>
  <dgm:styleLbl name="f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b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sibTrans1D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a:schemeClr val="accent3"/>
    </dgm:fillClrLst>
    <dgm:linClrLst meth="repeat">
      <a:schemeClr val="lt1"/>
    </dgm:linClrLst>
    <dgm:effectClrLst/>
    <dgm:txLinClrLst/>
    <dgm:txFillClrLst/>
    <dgm:txEffectClrLst/>
  </dgm:styleLbl>
  <dgm:styleLbl name="asst3">
    <dgm:fillClrLst>
      <a:schemeClr val="accent4"/>
    </dgm:fillClrLst>
    <dgm:linClrLst meth="repeat">
      <a:schemeClr val="lt1"/>
    </dgm:linClrLst>
    <dgm:effectClrLst/>
    <dgm:txLinClrLst/>
    <dgm:txFillClrLst/>
    <dgm:txEffectClrLst/>
  </dgm:styleLbl>
  <dgm:styleLbl name="asst4">
    <dgm:fillClrLst>
      <a:schemeClr val="accent5"/>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1"/>
    </dgm:linClrLst>
    <dgm:effectClrLst/>
    <dgm:txLinClrLst/>
    <dgm:txFillClrLst meth="repeat">
      <a:schemeClr val="tx1"/>
    </dgm:txFillClrLst>
    <dgm:txEffectClrLst/>
  </dgm:styleLbl>
  <dgm:styleLbl name="parChTrans1D2">
    <dgm:fillClrLst meth="repeat">
      <a:schemeClr val="accent3">
        <a:tint val="90000"/>
      </a:schemeClr>
    </dgm:fillClrLst>
    <dgm:linClrLst meth="repeat">
      <a:schemeClr val="accent2"/>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3"/>
    </dgm:linClrLst>
    <dgm:effectClrLst/>
    <dgm:txLinClrLst/>
    <dgm:txFillClrLst meth="repeat">
      <a:schemeClr val="tx1"/>
    </dgm:txFillClrLst>
    <dgm:txEffectClrLst/>
  </dgm:styleLbl>
  <dgm:styleLbl name="parChTrans1D4">
    <dgm:fillClrLst meth="repeat">
      <a:schemeClr val="accent5">
        <a:tint val="50000"/>
      </a:schemeClr>
    </dgm:fillClrLst>
    <dgm:linClrLst meth="repeat">
      <a:schemeClr val="accent4"/>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F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f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align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2"/>
    </dgm:linClrLst>
    <dgm:effectClrLst/>
    <dgm:txLinClrLst/>
    <dgm:txFillClrLst meth="repeat">
      <a:schemeClr val="dk1"/>
    </dgm:txFillClrLst>
    <dgm:txEffectClrLst/>
  </dgm:styleLbl>
  <dgm:styleLbl name="fgAcc3">
    <dgm:fillClrLst meth="repeat">
      <a:schemeClr val="lt1">
        <a:alpha val="90000"/>
      </a:schemeClr>
    </dgm:fillClrLst>
    <dgm:linClrLst>
      <a:schemeClr val="accent3"/>
    </dgm:linClrLst>
    <dgm:effectClrLst/>
    <dgm:txLinClrLst/>
    <dgm:txFillClrLst meth="repeat">
      <a:schemeClr val="dk1"/>
    </dgm:txFillClrLst>
    <dgm:txEffectClrLst/>
  </dgm:styleLbl>
  <dgm:styleLbl name="fgAcc4">
    <dgm:fillClrLst meth="repeat">
      <a:schemeClr val="lt1">
        <a:alpha val="90000"/>
      </a:schemeClr>
    </dgm:fillClrLst>
    <dgm:linClrLst>
      <a:schemeClr val="accent4"/>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colorful1#1">
  <dgm:title val=""/>
  <dgm:desc val=""/>
  <dgm:catLst>
    <dgm:cat type="colorful" pri="10100"/>
  </dgm:catLst>
  <dgm:styleLbl name="node0">
    <dgm:fillClrLst meth="repeat">
      <a:schemeClr val="accent1"/>
    </dgm:fillClrLst>
    <dgm:linClrLst meth="repeat">
      <a:schemeClr val="lt1"/>
    </dgm:linClrLst>
    <dgm:effectClrLst/>
    <dgm:txLinClrLst/>
    <dgm:txFillClrLst/>
    <dgm:txEffectClrLst/>
  </dgm:styleLbl>
  <dgm:styleLbl name="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alignNode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dgm:txEffectClrLst/>
  </dgm:styleLbl>
  <dgm:styleLbl name="ln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vennNode1">
    <dgm:fillClrLst meth="repeat">
      <a:schemeClr val="accent2">
        <a:alpha val="50000"/>
      </a:schemeClr>
      <a:schemeClr val="accent3">
        <a:alpha val="50000"/>
      </a:schemeClr>
      <a:schemeClr val="accent4">
        <a:alpha val="50000"/>
      </a:schemeClr>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2"/>
    </dgm:fillClrLst>
    <dgm:linClrLst meth="repeat">
      <a:schemeClr val="lt1"/>
    </dgm:linClrLst>
    <dgm:effectClrLst/>
    <dgm:txLinClrLst/>
    <dgm:txFillClrLst/>
    <dgm:txEffectClrLst/>
  </dgm:styleLbl>
  <dgm:styleLbl name="node3">
    <dgm:fillClrLst>
      <a:schemeClr val="accent3"/>
    </dgm:fillClrLst>
    <dgm:linClrLst meth="repeat">
      <a:schemeClr val="lt1"/>
    </dgm:linClrLst>
    <dgm:effectClrLst/>
    <dgm:txLinClrLst/>
    <dgm:txFillClrLst/>
    <dgm:txEffectClrLst/>
  </dgm:styleLbl>
  <dgm:styleLbl name="node4">
    <dgm:fillClrLst>
      <a:schemeClr val="accent4"/>
    </dgm:fillClrLst>
    <dgm:linClrLst meth="repeat">
      <a:schemeClr val="lt1"/>
    </dgm:linClrLst>
    <dgm:effectClrLst/>
    <dgm:txLinClrLst/>
    <dgm:txFillClrLst/>
    <dgm:txEffectClrLst/>
  </dgm:styleLbl>
  <dgm:styleLbl name="fgImgPlace1">
    <dgm:fillClrLst meth="repeat">
      <a:schemeClr val="accent2">
        <a:tint val="50000"/>
      </a:schemeClr>
      <a:schemeClr val="accent3">
        <a:tint val="50000"/>
      </a:schemeClr>
      <a:schemeClr val="accent4">
        <a:tint val="50000"/>
      </a:schemeClr>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schemeClr val="accent3"/>
      <a:schemeClr val="accent4"/>
      <a:schemeClr val="accent5"/>
      <a:schemeClr val="accent6"/>
    </dgm:fillClrLst>
    <dgm:linClrLst meth="cycle">
      <a:schemeClr val="lt1"/>
    </dgm:linClrLst>
    <dgm:effectClrLst/>
    <dgm:txLinClrLst/>
    <dgm:txFillClrLst/>
    <dgm:txEffectClrLst/>
  </dgm:styleLbl>
  <dgm:styleLbl name="f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b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sibTrans1D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a:schemeClr val="accent3"/>
    </dgm:fillClrLst>
    <dgm:linClrLst meth="repeat">
      <a:schemeClr val="lt1"/>
    </dgm:linClrLst>
    <dgm:effectClrLst/>
    <dgm:txLinClrLst/>
    <dgm:txFillClrLst/>
    <dgm:txEffectClrLst/>
  </dgm:styleLbl>
  <dgm:styleLbl name="asst3">
    <dgm:fillClrLst>
      <a:schemeClr val="accent4"/>
    </dgm:fillClrLst>
    <dgm:linClrLst meth="repeat">
      <a:schemeClr val="lt1"/>
    </dgm:linClrLst>
    <dgm:effectClrLst/>
    <dgm:txLinClrLst/>
    <dgm:txFillClrLst/>
    <dgm:txEffectClrLst/>
  </dgm:styleLbl>
  <dgm:styleLbl name="asst4">
    <dgm:fillClrLst>
      <a:schemeClr val="accent5"/>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1"/>
    </dgm:linClrLst>
    <dgm:effectClrLst/>
    <dgm:txLinClrLst/>
    <dgm:txFillClrLst meth="repeat">
      <a:schemeClr val="tx1"/>
    </dgm:txFillClrLst>
    <dgm:txEffectClrLst/>
  </dgm:styleLbl>
  <dgm:styleLbl name="parChTrans1D2">
    <dgm:fillClrLst meth="repeat">
      <a:schemeClr val="accent3">
        <a:tint val="90000"/>
      </a:schemeClr>
    </dgm:fillClrLst>
    <dgm:linClrLst meth="repeat">
      <a:schemeClr val="accent2"/>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3"/>
    </dgm:linClrLst>
    <dgm:effectClrLst/>
    <dgm:txLinClrLst/>
    <dgm:txFillClrLst meth="repeat">
      <a:schemeClr val="tx1"/>
    </dgm:txFillClrLst>
    <dgm:txEffectClrLst/>
  </dgm:styleLbl>
  <dgm:styleLbl name="parChTrans1D4">
    <dgm:fillClrLst meth="repeat">
      <a:schemeClr val="accent5">
        <a:tint val="50000"/>
      </a:schemeClr>
    </dgm:fillClrLst>
    <dgm:linClrLst meth="repeat">
      <a:schemeClr val="accent4"/>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F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f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align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2"/>
    </dgm:linClrLst>
    <dgm:effectClrLst/>
    <dgm:txLinClrLst/>
    <dgm:txFillClrLst meth="repeat">
      <a:schemeClr val="dk1"/>
    </dgm:txFillClrLst>
    <dgm:txEffectClrLst/>
  </dgm:styleLbl>
  <dgm:styleLbl name="fgAcc3">
    <dgm:fillClrLst meth="repeat">
      <a:schemeClr val="lt1">
        <a:alpha val="90000"/>
      </a:schemeClr>
    </dgm:fillClrLst>
    <dgm:linClrLst>
      <a:schemeClr val="accent3"/>
    </dgm:linClrLst>
    <dgm:effectClrLst/>
    <dgm:txLinClrLst/>
    <dgm:txFillClrLst meth="repeat">
      <a:schemeClr val="dk1"/>
    </dgm:txFillClrLst>
    <dgm:txEffectClrLst/>
  </dgm:styleLbl>
  <dgm:styleLbl name="fgAcc4">
    <dgm:fillClrLst meth="repeat">
      <a:schemeClr val="lt1">
        <a:alpha val="90000"/>
      </a:schemeClr>
    </dgm:fillClrLst>
    <dgm:linClrLst>
      <a:schemeClr val="accent4"/>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B8BFD9FF-CE01-4902-9191-ACFE83A222D6}" type="doc">
      <dgm:prSet loTypeId="urn:microsoft.com/office/officeart/2005/8/layout/StepDownProcess" loCatId="process" qsTypeId="urn:microsoft.com/office/officeart/2005/8/quickstyle/3d2" qsCatId="3D" csTypeId="urn:microsoft.com/office/officeart/2005/8/colors/colorful1#1" csCatId="colorful" phldr="1"/>
      <dgm:spPr/>
      <dgm:t>
        <a:bodyPr/>
        <a:lstStyle/>
        <a:p>
          <a:endParaRPr lang="es-CO"/>
        </a:p>
      </dgm:t>
    </dgm:pt>
    <dgm:pt modelId="{6B2DE8F5-1FA0-4ABC-9E05-E66D6F0EA8DA}">
      <dgm:prSet phldrT="[Texto]"/>
      <dgm:spPr/>
      <dgm:t>
        <a:bodyPr/>
        <a:lstStyle/>
        <a:p>
          <a:r>
            <a:rPr lang="es-CO" b="1" dirty="0"/>
            <a:t>Identificación de aspectos ambientales</a:t>
          </a:r>
        </a:p>
      </dgm:t>
    </dgm:pt>
    <dgm:pt modelId="{E3D42CCF-3851-4F82-8F6F-05F6F255AD66}" type="parTrans" cxnId="{258940A8-3D88-4906-BD2F-9BA6B4210C49}">
      <dgm:prSet/>
      <dgm:spPr/>
      <dgm:t>
        <a:bodyPr/>
        <a:lstStyle/>
        <a:p>
          <a:endParaRPr lang="es-CO"/>
        </a:p>
      </dgm:t>
    </dgm:pt>
    <dgm:pt modelId="{28F0ED47-C484-4E32-AC0B-8F8BC96A3EE1}" type="sibTrans" cxnId="{258940A8-3D88-4906-BD2F-9BA6B4210C49}">
      <dgm:prSet/>
      <dgm:spPr/>
      <dgm:t>
        <a:bodyPr/>
        <a:lstStyle/>
        <a:p>
          <a:endParaRPr lang="es-CO"/>
        </a:p>
      </dgm:t>
    </dgm:pt>
    <dgm:pt modelId="{FDD05EB3-8626-4CFD-984F-1C890D1BA511}">
      <dgm:prSet phldrT="[Texto]" custT="1"/>
      <dgm:spPr>
        <a:solidFill>
          <a:schemeClr val="accent2">
            <a:lumMod val="40000"/>
            <a:lumOff val="60000"/>
          </a:schemeClr>
        </a:solidFill>
      </dgm:spPr>
      <dgm:t>
        <a:bodyPr/>
        <a:lstStyle/>
        <a:p>
          <a:pPr algn="just"/>
          <a:r>
            <a:rPr lang="es-CO" sz="1000" dirty="0"/>
            <a:t>Identificar los aspectos ambientales relacionados con la generación directa o indirecta de GEI.</a:t>
          </a:r>
        </a:p>
      </dgm:t>
    </dgm:pt>
    <dgm:pt modelId="{DCE481AF-294A-4897-BC67-7B594B8E32BE}" type="parTrans" cxnId="{C4DC95FC-E083-4C26-9CB0-8F6E752C7D66}">
      <dgm:prSet/>
      <dgm:spPr/>
      <dgm:t>
        <a:bodyPr/>
        <a:lstStyle/>
        <a:p>
          <a:endParaRPr lang="es-CO"/>
        </a:p>
      </dgm:t>
    </dgm:pt>
    <dgm:pt modelId="{C97C057E-C0CE-4140-A828-57D79A696A88}" type="sibTrans" cxnId="{C4DC95FC-E083-4C26-9CB0-8F6E752C7D66}">
      <dgm:prSet/>
      <dgm:spPr/>
      <dgm:t>
        <a:bodyPr/>
        <a:lstStyle/>
        <a:p>
          <a:endParaRPr lang="es-CO"/>
        </a:p>
      </dgm:t>
    </dgm:pt>
    <dgm:pt modelId="{63AF0E0F-3AE8-4DAE-AE0B-84FC9F16F70C}">
      <dgm:prSet phldrT="[Texto]"/>
      <dgm:spPr/>
      <dgm:t>
        <a:bodyPr/>
        <a:lstStyle/>
        <a:p>
          <a:r>
            <a:rPr lang="es-CO" b="1" dirty="0"/>
            <a:t>Clasificación y selección de las cargas ambientales</a:t>
          </a:r>
        </a:p>
      </dgm:t>
    </dgm:pt>
    <dgm:pt modelId="{E69C34D5-0909-47D2-B9E6-1FAD101EB5FA}" type="parTrans" cxnId="{B2F3EEA1-A142-472F-B0DB-E55B20175D68}">
      <dgm:prSet/>
      <dgm:spPr/>
      <dgm:t>
        <a:bodyPr/>
        <a:lstStyle/>
        <a:p>
          <a:endParaRPr lang="es-CO"/>
        </a:p>
      </dgm:t>
    </dgm:pt>
    <dgm:pt modelId="{3D3909F4-A389-4359-B9BE-63B1283FC0A1}" type="sibTrans" cxnId="{B2F3EEA1-A142-472F-B0DB-E55B20175D68}">
      <dgm:prSet/>
      <dgm:spPr/>
      <dgm:t>
        <a:bodyPr/>
        <a:lstStyle/>
        <a:p>
          <a:endParaRPr lang="es-CO"/>
        </a:p>
      </dgm:t>
    </dgm:pt>
    <dgm:pt modelId="{548BDF2B-B3B0-4DC0-A6AC-0837554832DA}">
      <dgm:prSet phldrT="[Texto]" custT="1"/>
      <dgm:spPr>
        <a:solidFill>
          <a:schemeClr val="accent3">
            <a:lumMod val="40000"/>
            <a:lumOff val="60000"/>
          </a:schemeClr>
        </a:solidFill>
      </dgm:spPr>
      <dgm:t>
        <a:bodyPr/>
        <a:lstStyle/>
        <a:p>
          <a:pPr algn="just"/>
          <a:r>
            <a:rPr lang="es-CO" sz="1000" dirty="0"/>
            <a:t>Seleccionar las cargas ambientales asociadas a los aspectos identificados para la organización, para lo cual se puede tener en cuenta el producto de la visita técnica  No. 1 de huella de carbono.</a:t>
          </a:r>
        </a:p>
      </dgm:t>
    </dgm:pt>
    <dgm:pt modelId="{2CC4523E-75BE-498F-81CC-775F96F1264A}" type="parTrans" cxnId="{317902E1-D271-49A1-8911-EC504BAA9739}">
      <dgm:prSet/>
      <dgm:spPr/>
      <dgm:t>
        <a:bodyPr/>
        <a:lstStyle/>
        <a:p>
          <a:endParaRPr lang="es-CO"/>
        </a:p>
      </dgm:t>
    </dgm:pt>
    <dgm:pt modelId="{A3AB3A1D-52A5-408A-BD65-08CF423C89C4}" type="sibTrans" cxnId="{317902E1-D271-49A1-8911-EC504BAA9739}">
      <dgm:prSet/>
      <dgm:spPr/>
      <dgm:t>
        <a:bodyPr/>
        <a:lstStyle/>
        <a:p>
          <a:endParaRPr lang="es-CO"/>
        </a:p>
      </dgm:t>
    </dgm:pt>
    <dgm:pt modelId="{9397DA26-CEFF-4022-9C92-721B6CEFA0BC}">
      <dgm:prSet phldrT="[Texto]"/>
      <dgm:spPr/>
      <dgm:t>
        <a:bodyPr/>
        <a:lstStyle/>
        <a:p>
          <a:r>
            <a:rPr lang="es-CO" b="1" dirty="0"/>
            <a:t>Caracterización de la información recibida</a:t>
          </a:r>
        </a:p>
      </dgm:t>
    </dgm:pt>
    <dgm:pt modelId="{A3AF1C58-222C-4E6B-9B5F-500F2B5CA3F5}" type="parTrans" cxnId="{252A9A7E-21D3-4A78-B402-5FBE1372587F}">
      <dgm:prSet/>
      <dgm:spPr/>
      <dgm:t>
        <a:bodyPr/>
        <a:lstStyle/>
        <a:p>
          <a:endParaRPr lang="es-CO"/>
        </a:p>
      </dgm:t>
    </dgm:pt>
    <dgm:pt modelId="{082774F2-EC86-4649-82E1-15D087A0CC17}" type="sibTrans" cxnId="{252A9A7E-21D3-4A78-B402-5FBE1372587F}">
      <dgm:prSet/>
      <dgm:spPr/>
      <dgm:t>
        <a:bodyPr/>
        <a:lstStyle/>
        <a:p>
          <a:endParaRPr lang="es-CO"/>
        </a:p>
      </dgm:t>
    </dgm:pt>
    <dgm:pt modelId="{E9B53826-B56C-447F-A6D4-2694CAEDC878}">
      <dgm:prSet phldrT="[Texto]" custT="1"/>
      <dgm:spPr>
        <a:solidFill>
          <a:schemeClr val="accent4">
            <a:lumMod val="40000"/>
            <a:lumOff val="60000"/>
          </a:schemeClr>
        </a:solidFill>
      </dgm:spPr>
      <dgm:t>
        <a:bodyPr/>
        <a:lstStyle/>
        <a:p>
          <a:pPr algn="just"/>
          <a:r>
            <a:rPr lang="es-CO" sz="1000" dirty="0"/>
            <a:t>Identificar aspectos relacionados con el flujo de la información como: origen, responsables de registro, reporte, soportes, revisiones, y acciones de mejoras implementadas para garantizar el funcionamiento del sistema.</a:t>
          </a:r>
        </a:p>
      </dgm:t>
    </dgm:pt>
    <dgm:pt modelId="{5F6CBCEE-B5CD-42A4-96F1-F552C4B810B0}" type="parTrans" cxnId="{BE41C810-6651-47D8-8B94-E24BFBDAA95F}">
      <dgm:prSet/>
      <dgm:spPr/>
      <dgm:t>
        <a:bodyPr/>
        <a:lstStyle/>
        <a:p>
          <a:endParaRPr lang="es-CO"/>
        </a:p>
      </dgm:t>
    </dgm:pt>
    <dgm:pt modelId="{8BF1C458-1390-4EDD-A75E-7C3DDEE2031B}" type="sibTrans" cxnId="{BE41C810-6651-47D8-8B94-E24BFBDAA95F}">
      <dgm:prSet/>
      <dgm:spPr/>
      <dgm:t>
        <a:bodyPr/>
        <a:lstStyle/>
        <a:p>
          <a:endParaRPr lang="es-CO"/>
        </a:p>
      </dgm:t>
    </dgm:pt>
    <dgm:pt modelId="{C3E87AFB-F036-48B2-9315-4CCC2253D4E0}">
      <dgm:prSet phldrT="[Texto]"/>
      <dgm:spPr/>
      <dgm:t>
        <a:bodyPr/>
        <a:lstStyle/>
        <a:p>
          <a:r>
            <a:rPr lang="es-CO" b="1" dirty="0"/>
            <a:t>Consolidación de información  para el reporte de Huella de Carbono </a:t>
          </a:r>
        </a:p>
      </dgm:t>
    </dgm:pt>
    <dgm:pt modelId="{AB800DE0-EFD6-4CA7-89CB-EAA7BA30CEF7}" type="parTrans" cxnId="{BC02B983-5D5E-401C-AB6C-386ADD6E030D}">
      <dgm:prSet/>
      <dgm:spPr/>
      <dgm:t>
        <a:bodyPr/>
        <a:lstStyle/>
        <a:p>
          <a:endParaRPr lang="es-CO"/>
        </a:p>
      </dgm:t>
    </dgm:pt>
    <dgm:pt modelId="{DD9F8425-1AB9-4096-9FC6-2A04F33D1240}" type="sibTrans" cxnId="{BC02B983-5D5E-401C-AB6C-386ADD6E030D}">
      <dgm:prSet/>
      <dgm:spPr/>
      <dgm:t>
        <a:bodyPr/>
        <a:lstStyle/>
        <a:p>
          <a:endParaRPr lang="es-CO"/>
        </a:p>
      </dgm:t>
    </dgm:pt>
    <dgm:pt modelId="{A4CFBCC2-D6C5-4A30-BDD9-DBF9D522B113}">
      <dgm:prSet phldrT="[Texto]"/>
      <dgm:spPr/>
      <dgm:t>
        <a:bodyPr/>
        <a:lstStyle/>
        <a:p>
          <a:r>
            <a:rPr lang="es-CO" b="1" dirty="0"/>
            <a:t>Diligenciamiento de la  Herramienta de Calculo de la Huella de Carbono e incertidumbre. </a:t>
          </a:r>
        </a:p>
      </dgm:t>
    </dgm:pt>
    <dgm:pt modelId="{3E611261-46FA-4AD5-9695-D7ACDF5CE159}" type="parTrans" cxnId="{E54CE1D6-8EFC-4099-B3AD-2065297C766A}">
      <dgm:prSet/>
      <dgm:spPr/>
      <dgm:t>
        <a:bodyPr/>
        <a:lstStyle/>
        <a:p>
          <a:endParaRPr lang="es-CO"/>
        </a:p>
      </dgm:t>
    </dgm:pt>
    <dgm:pt modelId="{8985FF02-86EA-4D5C-A090-E8E96AED23AE}" type="sibTrans" cxnId="{E54CE1D6-8EFC-4099-B3AD-2065297C766A}">
      <dgm:prSet/>
      <dgm:spPr/>
      <dgm:t>
        <a:bodyPr/>
        <a:lstStyle/>
        <a:p>
          <a:endParaRPr lang="es-CO"/>
        </a:p>
      </dgm:t>
    </dgm:pt>
    <dgm:pt modelId="{0A504891-3EED-4092-A46C-5D62E2939B49}" type="pres">
      <dgm:prSet presAssocID="{B8BFD9FF-CE01-4902-9191-ACFE83A222D6}" presName="rootnode" presStyleCnt="0">
        <dgm:presLayoutVars>
          <dgm:chMax/>
          <dgm:chPref/>
          <dgm:dir/>
          <dgm:animLvl val="lvl"/>
        </dgm:presLayoutVars>
      </dgm:prSet>
      <dgm:spPr/>
    </dgm:pt>
    <dgm:pt modelId="{53D5EADE-C42C-46C8-B4E8-13283BA1F7D9}" type="pres">
      <dgm:prSet presAssocID="{6B2DE8F5-1FA0-4ABC-9E05-E66D6F0EA8DA}" presName="composite" presStyleCnt="0"/>
      <dgm:spPr/>
    </dgm:pt>
    <dgm:pt modelId="{0E7885BE-B784-4A79-8063-6D29A052C642}" type="pres">
      <dgm:prSet presAssocID="{6B2DE8F5-1FA0-4ABC-9E05-E66D6F0EA8DA}" presName="bentUpArrow1" presStyleLbl="alignImgPlace1" presStyleIdx="0" presStyleCnt="4" custLinFactNeighborX="-16456"/>
      <dgm:spPr>
        <a:solidFill>
          <a:schemeClr val="accent2">
            <a:lumMod val="40000"/>
            <a:lumOff val="60000"/>
          </a:schemeClr>
        </a:solidFill>
      </dgm:spPr>
    </dgm:pt>
    <dgm:pt modelId="{4D2B7216-01DC-4BD1-B04C-9C69C194A568}" type="pres">
      <dgm:prSet presAssocID="{6B2DE8F5-1FA0-4ABC-9E05-E66D6F0EA8DA}" presName="ParentText" presStyleLbl="node1" presStyleIdx="0" presStyleCnt="5" custLinFactNeighborX="-21280">
        <dgm:presLayoutVars>
          <dgm:chMax val="1"/>
          <dgm:chPref val="1"/>
          <dgm:bulletEnabled val="1"/>
        </dgm:presLayoutVars>
      </dgm:prSet>
      <dgm:spPr/>
    </dgm:pt>
    <dgm:pt modelId="{CFC6C6F6-873C-4F6B-9327-738B0990C95B}" type="pres">
      <dgm:prSet presAssocID="{6B2DE8F5-1FA0-4ABC-9E05-E66D6F0EA8DA}" presName="ChildText" presStyleLbl="revTx" presStyleIdx="0" presStyleCnt="4" custScaleX="285221" custScaleY="87352" custLinFactNeighborX="74458" custLinFactNeighborY="-4592">
        <dgm:presLayoutVars>
          <dgm:chMax val="0"/>
          <dgm:chPref val="0"/>
          <dgm:bulletEnabled val="1"/>
        </dgm:presLayoutVars>
      </dgm:prSet>
      <dgm:spPr/>
    </dgm:pt>
    <dgm:pt modelId="{0B32F818-87EA-4A7F-A9E6-8D418F6A644B}" type="pres">
      <dgm:prSet presAssocID="{28F0ED47-C484-4E32-AC0B-8F8BC96A3EE1}" presName="sibTrans" presStyleCnt="0"/>
      <dgm:spPr/>
    </dgm:pt>
    <dgm:pt modelId="{F8A8A4ED-EFCE-44E8-B59C-C6DD46F4FC26}" type="pres">
      <dgm:prSet presAssocID="{63AF0E0F-3AE8-4DAE-AE0B-84FC9F16F70C}" presName="composite" presStyleCnt="0"/>
      <dgm:spPr/>
    </dgm:pt>
    <dgm:pt modelId="{0B8D6A91-9A90-4F6B-8C9A-91D84380422D}" type="pres">
      <dgm:prSet presAssocID="{63AF0E0F-3AE8-4DAE-AE0B-84FC9F16F70C}" presName="bentUpArrow1" presStyleLbl="alignImgPlace1" presStyleIdx="1" presStyleCnt="4" custLinFactNeighborX="-31464"/>
      <dgm:spPr>
        <a:solidFill>
          <a:schemeClr val="accent3">
            <a:lumMod val="40000"/>
            <a:lumOff val="60000"/>
          </a:schemeClr>
        </a:solidFill>
      </dgm:spPr>
    </dgm:pt>
    <dgm:pt modelId="{33475939-2E79-4E9A-8104-DF17984D3A98}" type="pres">
      <dgm:prSet presAssocID="{63AF0E0F-3AE8-4DAE-AE0B-84FC9F16F70C}" presName="ParentText" presStyleLbl="node1" presStyleIdx="1" presStyleCnt="5" custLinFactNeighborX="-49259">
        <dgm:presLayoutVars>
          <dgm:chMax val="1"/>
          <dgm:chPref val="1"/>
          <dgm:bulletEnabled val="1"/>
        </dgm:presLayoutVars>
      </dgm:prSet>
      <dgm:spPr/>
    </dgm:pt>
    <dgm:pt modelId="{3DF63D40-31C5-467F-B4B4-69CC917140B3}" type="pres">
      <dgm:prSet presAssocID="{63AF0E0F-3AE8-4DAE-AE0B-84FC9F16F70C}" presName="ChildText" presStyleLbl="revTx" presStyleIdx="1" presStyleCnt="4" custScaleX="331579" custScaleY="125726" custLinFactNeighborX="53779" custLinFactNeighborY="1125">
        <dgm:presLayoutVars>
          <dgm:chMax val="0"/>
          <dgm:chPref val="0"/>
          <dgm:bulletEnabled val="1"/>
        </dgm:presLayoutVars>
      </dgm:prSet>
      <dgm:spPr/>
    </dgm:pt>
    <dgm:pt modelId="{C3CB30CC-D1BF-4F03-8ACF-5D22B1B32D14}" type="pres">
      <dgm:prSet presAssocID="{3D3909F4-A389-4359-B9BE-63B1283FC0A1}" presName="sibTrans" presStyleCnt="0"/>
      <dgm:spPr/>
    </dgm:pt>
    <dgm:pt modelId="{EED3D06B-8142-4EFA-9C95-B8BF6ECC8D68}" type="pres">
      <dgm:prSet presAssocID="{9397DA26-CEFF-4022-9C92-721B6CEFA0BC}" presName="composite" presStyleCnt="0"/>
      <dgm:spPr/>
    </dgm:pt>
    <dgm:pt modelId="{0DA851C5-895D-4DDA-B718-5B83BF5E2A13}" type="pres">
      <dgm:prSet presAssocID="{9397DA26-CEFF-4022-9C92-721B6CEFA0BC}" presName="bentUpArrow1" presStyleLbl="alignImgPlace1" presStyleIdx="2" presStyleCnt="4" custLinFactNeighborX="-31464"/>
      <dgm:spPr>
        <a:solidFill>
          <a:schemeClr val="accent4">
            <a:lumMod val="40000"/>
            <a:lumOff val="60000"/>
          </a:schemeClr>
        </a:solidFill>
      </dgm:spPr>
    </dgm:pt>
    <dgm:pt modelId="{65DAA22A-E297-4895-9749-B1CCA6D0D05C}" type="pres">
      <dgm:prSet presAssocID="{9397DA26-CEFF-4022-9C92-721B6CEFA0BC}" presName="ParentText" presStyleLbl="node1" presStyleIdx="2" presStyleCnt="5" custLinFactNeighborX="-58395">
        <dgm:presLayoutVars>
          <dgm:chMax val="1"/>
          <dgm:chPref val="1"/>
          <dgm:bulletEnabled val="1"/>
        </dgm:presLayoutVars>
      </dgm:prSet>
      <dgm:spPr/>
    </dgm:pt>
    <dgm:pt modelId="{100F53C7-D896-42A0-A9C5-5FBCAE795958}" type="pres">
      <dgm:prSet presAssocID="{9397DA26-CEFF-4022-9C92-721B6CEFA0BC}" presName="ChildText" presStyleLbl="revTx" presStyleIdx="2" presStyleCnt="4" custScaleX="291356" custScaleY="141929" custLinFactNeighborX="21272" custLinFactNeighborY="-2168">
        <dgm:presLayoutVars>
          <dgm:chMax val="0"/>
          <dgm:chPref val="0"/>
          <dgm:bulletEnabled val="1"/>
        </dgm:presLayoutVars>
      </dgm:prSet>
      <dgm:spPr/>
    </dgm:pt>
    <dgm:pt modelId="{D237F5CE-448C-4E78-B07E-B780B5B2EA27}" type="pres">
      <dgm:prSet presAssocID="{082774F2-EC86-4649-82E1-15D087A0CC17}" presName="sibTrans" presStyleCnt="0"/>
      <dgm:spPr/>
    </dgm:pt>
    <dgm:pt modelId="{DA5E1978-0A5D-41A1-80AA-13545389D2FF}" type="pres">
      <dgm:prSet presAssocID="{C3E87AFB-F036-48B2-9315-4CCC2253D4E0}" presName="composite" presStyleCnt="0"/>
      <dgm:spPr/>
    </dgm:pt>
    <dgm:pt modelId="{B119A5A8-E654-4653-B2E3-84958CB25550}" type="pres">
      <dgm:prSet presAssocID="{C3E87AFB-F036-48B2-9315-4CCC2253D4E0}" presName="bentUpArrow1" presStyleLbl="alignImgPlace1" presStyleIdx="3" presStyleCnt="4"/>
      <dgm:spPr>
        <a:solidFill>
          <a:schemeClr val="accent1">
            <a:lumMod val="40000"/>
            <a:lumOff val="60000"/>
          </a:schemeClr>
        </a:solidFill>
      </dgm:spPr>
    </dgm:pt>
    <dgm:pt modelId="{E0E0F27B-B4D0-4E2D-B47F-9880F55D4B17}" type="pres">
      <dgm:prSet presAssocID="{C3E87AFB-F036-48B2-9315-4CCC2253D4E0}" presName="ParentText" presStyleLbl="node1" presStyleIdx="3" presStyleCnt="5" custScaleX="114908" custLinFactNeighborX="-55092">
        <dgm:presLayoutVars>
          <dgm:chMax val="1"/>
          <dgm:chPref val="1"/>
          <dgm:bulletEnabled val="1"/>
        </dgm:presLayoutVars>
      </dgm:prSet>
      <dgm:spPr/>
    </dgm:pt>
    <dgm:pt modelId="{2FE27063-B36B-4D1B-BCE7-25DBA02F5A3C}" type="pres">
      <dgm:prSet presAssocID="{C3E87AFB-F036-48B2-9315-4CCC2253D4E0}" presName="ChildText" presStyleLbl="revTx" presStyleIdx="3" presStyleCnt="4">
        <dgm:presLayoutVars>
          <dgm:chMax val="0"/>
          <dgm:chPref val="0"/>
          <dgm:bulletEnabled val="1"/>
        </dgm:presLayoutVars>
      </dgm:prSet>
      <dgm:spPr/>
    </dgm:pt>
    <dgm:pt modelId="{1771CC7C-3862-4D7F-BBC9-0D940E26E107}" type="pres">
      <dgm:prSet presAssocID="{DD9F8425-1AB9-4096-9FC6-2A04F33D1240}" presName="sibTrans" presStyleCnt="0"/>
      <dgm:spPr/>
    </dgm:pt>
    <dgm:pt modelId="{C22A2442-61DC-4385-BFE6-0AFA104CC05B}" type="pres">
      <dgm:prSet presAssocID="{A4CFBCC2-D6C5-4A30-BDD9-DBF9D522B113}" presName="composite" presStyleCnt="0"/>
      <dgm:spPr/>
    </dgm:pt>
    <dgm:pt modelId="{5E8D2394-5CCA-4C78-9D12-A3F7F661926B}" type="pres">
      <dgm:prSet presAssocID="{A4CFBCC2-D6C5-4A30-BDD9-DBF9D522B113}" presName="ParentText" presStyleLbl="node1" presStyleIdx="4" presStyleCnt="5" custLinFactNeighborX="-20081">
        <dgm:presLayoutVars>
          <dgm:chMax val="1"/>
          <dgm:chPref val="1"/>
          <dgm:bulletEnabled val="1"/>
        </dgm:presLayoutVars>
      </dgm:prSet>
      <dgm:spPr/>
    </dgm:pt>
  </dgm:ptLst>
  <dgm:cxnLst>
    <dgm:cxn modelId="{BE41C810-6651-47D8-8B94-E24BFBDAA95F}" srcId="{9397DA26-CEFF-4022-9C92-721B6CEFA0BC}" destId="{E9B53826-B56C-447F-A6D4-2694CAEDC878}" srcOrd="0" destOrd="0" parTransId="{5F6CBCEE-B5CD-42A4-96F1-F552C4B810B0}" sibTransId="{8BF1C458-1390-4EDD-A75E-7C3DDEE2031B}"/>
    <dgm:cxn modelId="{DB7B0531-83D7-4822-A17A-780BA667C1A6}" type="presOf" srcId="{FDD05EB3-8626-4CFD-984F-1C890D1BA511}" destId="{CFC6C6F6-873C-4F6B-9327-738B0990C95B}" srcOrd="0" destOrd="0" presId="urn:microsoft.com/office/officeart/2005/8/layout/StepDownProcess"/>
    <dgm:cxn modelId="{7696DB36-18B8-45FF-87D0-22EF7E97DB23}" type="presOf" srcId="{6B2DE8F5-1FA0-4ABC-9E05-E66D6F0EA8DA}" destId="{4D2B7216-01DC-4BD1-B04C-9C69C194A568}" srcOrd="0" destOrd="0" presId="urn:microsoft.com/office/officeart/2005/8/layout/StepDownProcess"/>
    <dgm:cxn modelId="{01211E47-D342-4D13-B91D-F590B7279A7D}" type="presOf" srcId="{C3E87AFB-F036-48B2-9315-4CCC2253D4E0}" destId="{E0E0F27B-B4D0-4E2D-B47F-9880F55D4B17}" srcOrd="0" destOrd="0" presId="urn:microsoft.com/office/officeart/2005/8/layout/StepDownProcess"/>
    <dgm:cxn modelId="{E0EAA751-B6EC-4B7B-931D-947529A7C431}" type="presOf" srcId="{548BDF2B-B3B0-4DC0-A6AC-0837554832DA}" destId="{3DF63D40-31C5-467F-B4B4-69CC917140B3}" srcOrd="0" destOrd="0" presId="urn:microsoft.com/office/officeart/2005/8/layout/StepDownProcess"/>
    <dgm:cxn modelId="{DCE49677-CCE5-4F3E-9D45-4D410BB2D5F9}" type="presOf" srcId="{B8BFD9FF-CE01-4902-9191-ACFE83A222D6}" destId="{0A504891-3EED-4092-A46C-5D62E2939B49}" srcOrd="0" destOrd="0" presId="urn:microsoft.com/office/officeart/2005/8/layout/StepDownProcess"/>
    <dgm:cxn modelId="{252A9A7E-21D3-4A78-B402-5FBE1372587F}" srcId="{B8BFD9FF-CE01-4902-9191-ACFE83A222D6}" destId="{9397DA26-CEFF-4022-9C92-721B6CEFA0BC}" srcOrd="2" destOrd="0" parTransId="{A3AF1C58-222C-4E6B-9B5F-500F2B5CA3F5}" sibTransId="{082774F2-EC86-4649-82E1-15D087A0CC17}"/>
    <dgm:cxn modelId="{BC02B983-5D5E-401C-AB6C-386ADD6E030D}" srcId="{B8BFD9FF-CE01-4902-9191-ACFE83A222D6}" destId="{C3E87AFB-F036-48B2-9315-4CCC2253D4E0}" srcOrd="3" destOrd="0" parTransId="{AB800DE0-EFD6-4CA7-89CB-EAA7BA30CEF7}" sibTransId="{DD9F8425-1AB9-4096-9FC6-2A04F33D1240}"/>
    <dgm:cxn modelId="{B4CF77A0-7806-4071-86BA-E5B166ECB06D}" type="presOf" srcId="{9397DA26-CEFF-4022-9C92-721B6CEFA0BC}" destId="{65DAA22A-E297-4895-9749-B1CCA6D0D05C}" srcOrd="0" destOrd="0" presId="urn:microsoft.com/office/officeart/2005/8/layout/StepDownProcess"/>
    <dgm:cxn modelId="{B2F3EEA1-A142-472F-B0DB-E55B20175D68}" srcId="{B8BFD9FF-CE01-4902-9191-ACFE83A222D6}" destId="{63AF0E0F-3AE8-4DAE-AE0B-84FC9F16F70C}" srcOrd="1" destOrd="0" parTransId="{E69C34D5-0909-47D2-B9E6-1FAD101EB5FA}" sibTransId="{3D3909F4-A389-4359-B9BE-63B1283FC0A1}"/>
    <dgm:cxn modelId="{DA806DA5-208C-472E-92C8-2599623D019B}" type="presOf" srcId="{E9B53826-B56C-447F-A6D4-2694CAEDC878}" destId="{100F53C7-D896-42A0-A9C5-5FBCAE795958}" srcOrd="0" destOrd="0" presId="urn:microsoft.com/office/officeart/2005/8/layout/StepDownProcess"/>
    <dgm:cxn modelId="{6EB798A7-77E6-4B5F-9254-5B8FFA900061}" type="presOf" srcId="{A4CFBCC2-D6C5-4A30-BDD9-DBF9D522B113}" destId="{5E8D2394-5CCA-4C78-9D12-A3F7F661926B}" srcOrd="0" destOrd="0" presId="urn:microsoft.com/office/officeart/2005/8/layout/StepDownProcess"/>
    <dgm:cxn modelId="{258940A8-3D88-4906-BD2F-9BA6B4210C49}" srcId="{B8BFD9FF-CE01-4902-9191-ACFE83A222D6}" destId="{6B2DE8F5-1FA0-4ABC-9E05-E66D6F0EA8DA}" srcOrd="0" destOrd="0" parTransId="{E3D42CCF-3851-4F82-8F6F-05F6F255AD66}" sibTransId="{28F0ED47-C484-4E32-AC0B-8F8BC96A3EE1}"/>
    <dgm:cxn modelId="{D94AABAC-C6A8-4D0B-BA8F-229AF5A0BF06}" type="presOf" srcId="{63AF0E0F-3AE8-4DAE-AE0B-84FC9F16F70C}" destId="{33475939-2E79-4E9A-8104-DF17984D3A98}" srcOrd="0" destOrd="0" presId="urn:microsoft.com/office/officeart/2005/8/layout/StepDownProcess"/>
    <dgm:cxn modelId="{E54CE1D6-8EFC-4099-B3AD-2065297C766A}" srcId="{B8BFD9FF-CE01-4902-9191-ACFE83A222D6}" destId="{A4CFBCC2-D6C5-4A30-BDD9-DBF9D522B113}" srcOrd="4" destOrd="0" parTransId="{3E611261-46FA-4AD5-9695-D7ACDF5CE159}" sibTransId="{8985FF02-86EA-4D5C-A090-E8E96AED23AE}"/>
    <dgm:cxn modelId="{317902E1-D271-49A1-8911-EC504BAA9739}" srcId="{63AF0E0F-3AE8-4DAE-AE0B-84FC9F16F70C}" destId="{548BDF2B-B3B0-4DC0-A6AC-0837554832DA}" srcOrd="0" destOrd="0" parTransId="{2CC4523E-75BE-498F-81CC-775F96F1264A}" sibTransId="{A3AB3A1D-52A5-408A-BD65-08CF423C89C4}"/>
    <dgm:cxn modelId="{C4DC95FC-E083-4C26-9CB0-8F6E752C7D66}" srcId="{6B2DE8F5-1FA0-4ABC-9E05-E66D6F0EA8DA}" destId="{FDD05EB3-8626-4CFD-984F-1C890D1BA511}" srcOrd="0" destOrd="0" parTransId="{DCE481AF-294A-4897-BC67-7B594B8E32BE}" sibTransId="{C97C057E-C0CE-4140-A828-57D79A696A88}"/>
    <dgm:cxn modelId="{BF64BCE9-33A2-45A3-BA34-FF7FAEA30029}" type="presParOf" srcId="{0A504891-3EED-4092-A46C-5D62E2939B49}" destId="{53D5EADE-C42C-46C8-B4E8-13283BA1F7D9}" srcOrd="0" destOrd="0" presId="urn:microsoft.com/office/officeart/2005/8/layout/StepDownProcess"/>
    <dgm:cxn modelId="{D926454F-9597-4561-A5A6-FB619A1A0497}" type="presParOf" srcId="{53D5EADE-C42C-46C8-B4E8-13283BA1F7D9}" destId="{0E7885BE-B784-4A79-8063-6D29A052C642}" srcOrd="0" destOrd="0" presId="urn:microsoft.com/office/officeart/2005/8/layout/StepDownProcess"/>
    <dgm:cxn modelId="{00E26CBC-AA1A-4D15-9DDC-E646AA28D5D7}" type="presParOf" srcId="{53D5EADE-C42C-46C8-B4E8-13283BA1F7D9}" destId="{4D2B7216-01DC-4BD1-B04C-9C69C194A568}" srcOrd="1" destOrd="0" presId="urn:microsoft.com/office/officeart/2005/8/layout/StepDownProcess"/>
    <dgm:cxn modelId="{0C8E553C-F028-4248-9DCC-2D309669B4EC}" type="presParOf" srcId="{53D5EADE-C42C-46C8-B4E8-13283BA1F7D9}" destId="{CFC6C6F6-873C-4F6B-9327-738B0990C95B}" srcOrd="2" destOrd="0" presId="urn:microsoft.com/office/officeart/2005/8/layout/StepDownProcess"/>
    <dgm:cxn modelId="{58F5A670-9C07-4E63-BF24-CEE03C22C264}" type="presParOf" srcId="{0A504891-3EED-4092-A46C-5D62E2939B49}" destId="{0B32F818-87EA-4A7F-A9E6-8D418F6A644B}" srcOrd="1" destOrd="0" presId="urn:microsoft.com/office/officeart/2005/8/layout/StepDownProcess"/>
    <dgm:cxn modelId="{F3D3CF93-1B63-453E-9860-6869D54891C3}" type="presParOf" srcId="{0A504891-3EED-4092-A46C-5D62E2939B49}" destId="{F8A8A4ED-EFCE-44E8-B59C-C6DD46F4FC26}" srcOrd="2" destOrd="0" presId="urn:microsoft.com/office/officeart/2005/8/layout/StepDownProcess"/>
    <dgm:cxn modelId="{82FB8361-0F10-455B-817A-B57C96CA4347}" type="presParOf" srcId="{F8A8A4ED-EFCE-44E8-B59C-C6DD46F4FC26}" destId="{0B8D6A91-9A90-4F6B-8C9A-91D84380422D}" srcOrd="0" destOrd="0" presId="urn:microsoft.com/office/officeart/2005/8/layout/StepDownProcess"/>
    <dgm:cxn modelId="{1E73AF6D-2195-469F-91C3-F1472F21EB93}" type="presParOf" srcId="{F8A8A4ED-EFCE-44E8-B59C-C6DD46F4FC26}" destId="{33475939-2E79-4E9A-8104-DF17984D3A98}" srcOrd="1" destOrd="0" presId="urn:microsoft.com/office/officeart/2005/8/layout/StepDownProcess"/>
    <dgm:cxn modelId="{5F10984F-1255-4AA0-B794-08F80720D745}" type="presParOf" srcId="{F8A8A4ED-EFCE-44E8-B59C-C6DD46F4FC26}" destId="{3DF63D40-31C5-467F-B4B4-69CC917140B3}" srcOrd="2" destOrd="0" presId="urn:microsoft.com/office/officeart/2005/8/layout/StepDownProcess"/>
    <dgm:cxn modelId="{69FB488A-6EDE-4FEA-8611-A3593D9E3D90}" type="presParOf" srcId="{0A504891-3EED-4092-A46C-5D62E2939B49}" destId="{C3CB30CC-D1BF-4F03-8ACF-5D22B1B32D14}" srcOrd="3" destOrd="0" presId="urn:microsoft.com/office/officeart/2005/8/layout/StepDownProcess"/>
    <dgm:cxn modelId="{EAD2873C-3285-4EA7-9A1E-E9B3DE15CCDA}" type="presParOf" srcId="{0A504891-3EED-4092-A46C-5D62E2939B49}" destId="{EED3D06B-8142-4EFA-9C95-B8BF6ECC8D68}" srcOrd="4" destOrd="0" presId="urn:microsoft.com/office/officeart/2005/8/layout/StepDownProcess"/>
    <dgm:cxn modelId="{A6D85941-2DC3-4DE3-AD1D-C2A63B546D02}" type="presParOf" srcId="{EED3D06B-8142-4EFA-9C95-B8BF6ECC8D68}" destId="{0DA851C5-895D-4DDA-B718-5B83BF5E2A13}" srcOrd="0" destOrd="0" presId="urn:microsoft.com/office/officeart/2005/8/layout/StepDownProcess"/>
    <dgm:cxn modelId="{A9B92961-F34C-4D2C-AA1F-D2AEE039C25A}" type="presParOf" srcId="{EED3D06B-8142-4EFA-9C95-B8BF6ECC8D68}" destId="{65DAA22A-E297-4895-9749-B1CCA6D0D05C}" srcOrd="1" destOrd="0" presId="urn:microsoft.com/office/officeart/2005/8/layout/StepDownProcess"/>
    <dgm:cxn modelId="{1497DDE9-085D-46D6-91CC-CAD1E8B06A5F}" type="presParOf" srcId="{EED3D06B-8142-4EFA-9C95-B8BF6ECC8D68}" destId="{100F53C7-D896-42A0-A9C5-5FBCAE795958}" srcOrd="2" destOrd="0" presId="urn:microsoft.com/office/officeart/2005/8/layout/StepDownProcess"/>
    <dgm:cxn modelId="{F9BE4C10-D91F-47C3-AC9E-CE8042B8E907}" type="presParOf" srcId="{0A504891-3EED-4092-A46C-5D62E2939B49}" destId="{D237F5CE-448C-4E78-B07E-B780B5B2EA27}" srcOrd="5" destOrd="0" presId="urn:microsoft.com/office/officeart/2005/8/layout/StepDownProcess"/>
    <dgm:cxn modelId="{7CFCD43B-4EBA-4E26-BC95-63C1A3C126A1}" type="presParOf" srcId="{0A504891-3EED-4092-A46C-5D62E2939B49}" destId="{DA5E1978-0A5D-41A1-80AA-13545389D2FF}" srcOrd="6" destOrd="0" presId="urn:microsoft.com/office/officeart/2005/8/layout/StepDownProcess"/>
    <dgm:cxn modelId="{9D8B1DEF-7E27-4747-B5FD-6FE59928F5D4}" type="presParOf" srcId="{DA5E1978-0A5D-41A1-80AA-13545389D2FF}" destId="{B119A5A8-E654-4653-B2E3-84958CB25550}" srcOrd="0" destOrd="0" presId="urn:microsoft.com/office/officeart/2005/8/layout/StepDownProcess"/>
    <dgm:cxn modelId="{4E697760-5113-4E2D-B156-239B80778CFB}" type="presParOf" srcId="{DA5E1978-0A5D-41A1-80AA-13545389D2FF}" destId="{E0E0F27B-B4D0-4E2D-B47F-9880F55D4B17}" srcOrd="1" destOrd="0" presId="urn:microsoft.com/office/officeart/2005/8/layout/StepDownProcess"/>
    <dgm:cxn modelId="{590241E7-B00E-49D5-8902-69B2D3A0CB26}" type="presParOf" srcId="{DA5E1978-0A5D-41A1-80AA-13545389D2FF}" destId="{2FE27063-B36B-4D1B-BCE7-25DBA02F5A3C}" srcOrd="2" destOrd="0" presId="urn:microsoft.com/office/officeart/2005/8/layout/StepDownProcess"/>
    <dgm:cxn modelId="{570F08EF-12A7-42A9-A359-30B643C83A7A}" type="presParOf" srcId="{0A504891-3EED-4092-A46C-5D62E2939B49}" destId="{1771CC7C-3862-4D7F-BBC9-0D940E26E107}" srcOrd="7" destOrd="0" presId="urn:microsoft.com/office/officeart/2005/8/layout/StepDownProcess"/>
    <dgm:cxn modelId="{E06D778D-1B7B-4DED-AE10-8B3A32B6CF10}" type="presParOf" srcId="{0A504891-3EED-4092-A46C-5D62E2939B49}" destId="{C22A2442-61DC-4385-BFE6-0AFA104CC05B}" srcOrd="8" destOrd="0" presId="urn:microsoft.com/office/officeart/2005/8/layout/StepDownProcess"/>
    <dgm:cxn modelId="{35450877-EA78-4C95-8700-B02885B2993B}" type="presParOf" srcId="{C22A2442-61DC-4385-BFE6-0AFA104CC05B}" destId="{5E8D2394-5CCA-4C78-9D12-A3F7F661926B}" srcOrd="0" destOrd="0" presId="urn:microsoft.com/office/officeart/2005/8/layout/StepDownProcess"/>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B8BFD9FF-CE01-4902-9191-ACFE83A222D6}" type="doc">
      <dgm:prSet loTypeId="urn:microsoft.com/office/officeart/2005/8/layout/StepDownProcess" loCatId="process" qsTypeId="urn:microsoft.com/office/officeart/2005/8/quickstyle/3d2" qsCatId="3D" csTypeId="urn:microsoft.com/office/officeart/2005/8/colors/colorful1#1" csCatId="colorful" phldr="1"/>
      <dgm:spPr/>
      <dgm:t>
        <a:bodyPr/>
        <a:lstStyle/>
        <a:p>
          <a:endParaRPr lang="es-CO"/>
        </a:p>
      </dgm:t>
    </dgm:pt>
    <dgm:pt modelId="{6B2DE8F5-1FA0-4ABC-9E05-E66D6F0EA8DA}">
      <dgm:prSet phldrT="[Texto]"/>
      <dgm:spPr/>
      <dgm:t>
        <a:bodyPr/>
        <a:lstStyle/>
        <a:p>
          <a:pPr algn="l"/>
          <a:r>
            <a:rPr lang="es-CO" b="1" dirty="0"/>
            <a:t>Identificación de aspectos ambientales</a:t>
          </a:r>
        </a:p>
      </dgm:t>
    </dgm:pt>
    <dgm:pt modelId="{E3D42CCF-3851-4F82-8F6F-05F6F255AD66}" type="parTrans" cxnId="{258940A8-3D88-4906-BD2F-9BA6B4210C49}">
      <dgm:prSet/>
      <dgm:spPr/>
      <dgm:t>
        <a:bodyPr/>
        <a:lstStyle/>
        <a:p>
          <a:pPr algn="l"/>
          <a:endParaRPr lang="es-CO"/>
        </a:p>
      </dgm:t>
    </dgm:pt>
    <dgm:pt modelId="{28F0ED47-C484-4E32-AC0B-8F8BC96A3EE1}" type="sibTrans" cxnId="{258940A8-3D88-4906-BD2F-9BA6B4210C49}">
      <dgm:prSet/>
      <dgm:spPr/>
      <dgm:t>
        <a:bodyPr/>
        <a:lstStyle/>
        <a:p>
          <a:pPr algn="l"/>
          <a:endParaRPr lang="es-CO"/>
        </a:p>
      </dgm:t>
    </dgm:pt>
    <dgm:pt modelId="{FDD05EB3-8626-4CFD-984F-1C890D1BA511}">
      <dgm:prSet phldrT="[Texto]" custT="1"/>
      <dgm:spPr>
        <a:solidFill>
          <a:schemeClr val="accent2">
            <a:lumMod val="40000"/>
            <a:lumOff val="60000"/>
          </a:schemeClr>
        </a:solidFill>
      </dgm:spPr>
      <dgm:t>
        <a:bodyPr/>
        <a:lstStyle/>
        <a:p>
          <a:pPr algn="l"/>
          <a:r>
            <a:rPr lang="es-CO" sz="1000" dirty="0"/>
            <a:t>Identificar los aspectos ambientales relacionados con la generación directa o indirecta de GEI.</a:t>
          </a:r>
        </a:p>
      </dgm:t>
    </dgm:pt>
    <dgm:pt modelId="{DCE481AF-294A-4897-BC67-7B594B8E32BE}" type="parTrans" cxnId="{C4DC95FC-E083-4C26-9CB0-8F6E752C7D66}">
      <dgm:prSet/>
      <dgm:spPr/>
      <dgm:t>
        <a:bodyPr/>
        <a:lstStyle/>
        <a:p>
          <a:pPr algn="l"/>
          <a:endParaRPr lang="es-CO"/>
        </a:p>
      </dgm:t>
    </dgm:pt>
    <dgm:pt modelId="{C97C057E-C0CE-4140-A828-57D79A696A88}" type="sibTrans" cxnId="{C4DC95FC-E083-4C26-9CB0-8F6E752C7D66}">
      <dgm:prSet/>
      <dgm:spPr/>
      <dgm:t>
        <a:bodyPr/>
        <a:lstStyle/>
        <a:p>
          <a:pPr algn="l"/>
          <a:endParaRPr lang="es-CO"/>
        </a:p>
      </dgm:t>
    </dgm:pt>
    <dgm:pt modelId="{63AF0E0F-3AE8-4DAE-AE0B-84FC9F16F70C}">
      <dgm:prSet phldrT="[Texto]"/>
      <dgm:spPr/>
      <dgm:t>
        <a:bodyPr/>
        <a:lstStyle/>
        <a:p>
          <a:pPr algn="l"/>
          <a:r>
            <a:rPr lang="es-CO" b="1" dirty="0"/>
            <a:t>Clasificación y selección de las cargas ambientales</a:t>
          </a:r>
        </a:p>
      </dgm:t>
    </dgm:pt>
    <dgm:pt modelId="{E69C34D5-0909-47D2-B9E6-1FAD101EB5FA}" type="parTrans" cxnId="{B2F3EEA1-A142-472F-B0DB-E55B20175D68}">
      <dgm:prSet/>
      <dgm:spPr/>
      <dgm:t>
        <a:bodyPr/>
        <a:lstStyle/>
        <a:p>
          <a:pPr algn="l"/>
          <a:endParaRPr lang="es-CO"/>
        </a:p>
      </dgm:t>
    </dgm:pt>
    <dgm:pt modelId="{3D3909F4-A389-4359-B9BE-63B1283FC0A1}" type="sibTrans" cxnId="{B2F3EEA1-A142-472F-B0DB-E55B20175D68}">
      <dgm:prSet/>
      <dgm:spPr/>
      <dgm:t>
        <a:bodyPr/>
        <a:lstStyle/>
        <a:p>
          <a:pPr algn="l"/>
          <a:endParaRPr lang="es-CO"/>
        </a:p>
      </dgm:t>
    </dgm:pt>
    <dgm:pt modelId="{548BDF2B-B3B0-4DC0-A6AC-0837554832DA}">
      <dgm:prSet phldrT="[Texto]" custT="1"/>
      <dgm:spPr>
        <a:solidFill>
          <a:schemeClr val="accent3">
            <a:lumMod val="40000"/>
            <a:lumOff val="60000"/>
          </a:schemeClr>
        </a:solidFill>
      </dgm:spPr>
      <dgm:t>
        <a:bodyPr/>
        <a:lstStyle/>
        <a:p>
          <a:pPr algn="l"/>
          <a:r>
            <a:rPr lang="es-CO" sz="1000" dirty="0"/>
            <a:t>Seleccionar las cargas ambientales asociadas a los aspectos identificados para la organización, para lo cual se puede tener en cuenta el producto de la visita técnica  No. 1 de huella de carbono.</a:t>
          </a:r>
        </a:p>
      </dgm:t>
    </dgm:pt>
    <dgm:pt modelId="{2CC4523E-75BE-498F-81CC-775F96F1264A}" type="parTrans" cxnId="{317902E1-D271-49A1-8911-EC504BAA9739}">
      <dgm:prSet/>
      <dgm:spPr/>
      <dgm:t>
        <a:bodyPr/>
        <a:lstStyle/>
        <a:p>
          <a:pPr algn="l"/>
          <a:endParaRPr lang="es-CO"/>
        </a:p>
      </dgm:t>
    </dgm:pt>
    <dgm:pt modelId="{A3AB3A1D-52A5-408A-BD65-08CF423C89C4}" type="sibTrans" cxnId="{317902E1-D271-49A1-8911-EC504BAA9739}">
      <dgm:prSet/>
      <dgm:spPr/>
      <dgm:t>
        <a:bodyPr/>
        <a:lstStyle/>
        <a:p>
          <a:pPr algn="l"/>
          <a:endParaRPr lang="es-CO"/>
        </a:p>
      </dgm:t>
    </dgm:pt>
    <dgm:pt modelId="{9397DA26-CEFF-4022-9C92-721B6CEFA0BC}">
      <dgm:prSet phldrT="[Texto]"/>
      <dgm:spPr/>
      <dgm:t>
        <a:bodyPr/>
        <a:lstStyle/>
        <a:p>
          <a:pPr algn="l"/>
          <a:r>
            <a:rPr lang="es-CO" b="1" dirty="0"/>
            <a:t>Caracterización de la información recibida</a:t>
          </a:r>
        </a:p>
      </dgm:t>
    </dgm:pt>
    <dgm:pt modelId="{A3AF1C58-222C-4E6B-9B5F-500F2B5CA3F5}" type="parTrans" cxnId="{252A9A7E-21D3-4A78-B402-5FBE1372587F}">
      <dgm:prSet/>
      <dgm:spPr/>
      <dgm:t>
        <a:bodyPr/>
        <a:lstStyle/>
        <a:p>
          <a:pPr algn="l"/>
          <a:endParaRPr lang="es-CO"/>
        </a:p>
      </dgm:t>
    </dgm:pt>
    <dgm:pt modelId="{082774F2-EC86-4649-82E1-15D087A0CC17}" type="sibTrans" cxnId="{252A9A7E-21D3-4A78-B402-5FBE1372587F}">
      <dgm:prSet/>
      <dgm:spPr/>
      <dgm:t>
        <a:bodyPr/>
        <a:lstStyle/>
        <a:p>
          <a:pPr algn="l"/>
          <a:endParaRPr lang="es-CO"/>
        </a:p>
      </dgm:t>
    </dgm:pt>
    <dgm:pt modelId="{E9B53826-B56C-447F-A6D4-2694CAEDC878}">
      <dgm:prSet phldrT="[Texto]" custT="1"/>
      <dgm:spPr>
        <a:solidFill>
          <a:schemeClr val="accent4">
            <a:lumMod val="40000"/>
            <a:lumOff val="60000"/>
          </a:schemeClr>
        </a:solidFill>
      </dgm:spPr>
      <dgm:t>
        <a:bodyPr/>
        <a:lstStyle/>
        <a:p>
          <a:pPr algn="l"/>
          <a:r>
            <a:rPr lang="es-CO" sz="1000" dirty="0"/>
            <a:t>Identificar aspectos relacionados con el flujo de la información como: origen, responsables de registro, reporte, soportes, revisiones, y acciones de mejoras implementadas para garantizar el funcionamiento del sistema.</a:t>
          </a:r>
        </a:p>
      </dgm:t>
    </dgm:pt>
    <dgm:pt modelId="{5F6CBCEE-B5CD-42A4-96F1-F552C4B810B0}" type="parTrans" cxnId="{BE41C810-6651-47D8-8B94-E24BFBDAA95F}">
      <dgm:prSet/>
      <dgm:spPr/>
      <dgm:t>
        <a:bodyPr/>
        <a:lstStyle/>
        <a:p>
          <a:pPr algn="l"/>
          <a:endParaRPr lang="es-CO"/>
        </a:p>
      </dgm:t>
    </dgm:pt>
    <dgm:pt modelId="{8BF1C458-1390-4EDD-A75E-7C3DDEE2031B}" type="sibTrans" cxnId="{BE41C810-6651-47D8-8B94-E24BFBDAA95F}">
      <dgm:prSet/>
      <dgm:spPr/>
      <dgm:t>
        <a:bodyPr/>
        <a:lstStyle/>
        <a:p>
          <a:pPr algn="l"/>
          <a:endParaRPr lang="es-CO"/>
        </a:p>
      </dgm:t>
    </dgm:pt>
    <dgm:pt modelId="{C3E87AFB-F036-48B2-9315-4CCC2253D4E0}">
      <dgm:prSet phldrT="[Texto]"/>
      <dgm:spPr/>
      <dgm:t>
        <a:bodyPr/>
        <a:lstStyle/>
        <a:p>
          <a:pPr algn="l"/>
          <a:r>
            <a:rPr lang="es-CO" b="1" dirty="0"/>
            <a:t>Consolidación de información  para el reporte de Huella de Carbono </a:t>
          </a:r>
        </a:p>
      </dgm:t>
    </dgm:pt>
    <dgm:pt modelId="{AB800DE0-EFD6-4CA7-89CB-EAA7BA30CEF7}" type="parTrans" cxnId="{BC02B983-5D5E-401C-AB6C-386ADD6E030D}">
      <dgm:prSet/>
      <dgm:spPr/>
      <dgm:t>
        <a:bodyPr/>
        <a:lstStyle/>
        <a:p>
          <a:pPr algn="l"/>
          <a:endParaRPr lang="es-CO"/>
        </a:p>
      </dgm:t>
    </dgm:pt>
    <dgm:pt modelId="{DD9F8425-1AB9-4096-9FC6-2A04F33D1240}" type="sibTrans" cxnId="{BC02B983-5D5E-401C-AB6C-386ADD6E030D}">
      <dgm:prSet/>
      <dgm:spPr/>
      <dgm:t>
        <a:bodyPr/>
        <a:lstStyle/>
        <a:p>
          <a:pPr algn="l"/>
          <a:endParaRPr lang="es-CO"/>
        </a:p>
      </dgm:t>
    </dgm:pt>
    <dgm:pt modelId="{A4CFBCC2-D6C5-4A30-BDD9-DBF9D522B113}">
      <dgm:prSet phldrT="[Texto]"/>
      <dgm:spPr/>
      <dgm:t>
        <a:bodyPr/>
        <a:lstStyle/>
        <a:p>
          <a:pPr algn="l"/>
          <a:r>
            <a:rPr lang="es-CO" b="1" dirty="0"/>
            <a:t>Diligenciamiento de la  Herramienta de Calculo de la Huella de Carbono e incertidumbre. </a:t>
          </a:r>
        </a:p>
      </dgm:t>
    </dgm:pt>
    <dgm:pt modelId="{3E611261-46FA-4AD5-9695-D7ACDF5CE159}" type="parTrans" cxnId="{E54CE1D6-8EFC-4099-B3AD-2065297C766A}">
      <dgm:prSet/>
      <dgm:spPr/>
      <dgm:t>
        <a:bodyPr/>
        <a:lstStyle/>
        <a:p>
          <a:pPr algn="l"/>
          <a:endParaRPr lang="es-CO"/>
        </a:p>
      </dgm:t>
    </dgm:pt>
    <dgm:pt modelId="{8985FF02-86EA-4D5C-A090-E8E96AED23AE}" type="sibTrans" cxnId="{E54CE1D6-8EFC-4099-B3AD-2065297C766A}">
      <dgm:prSet/>
      <dgm:spPr/>
      <dgm:t>
        <a:bodyPr/>
        <a:lstStyle/>
        <a:p>
          <a:pPr algn="l"/>
          <a:endParaRPr lang="es-CO"/>
        </a:p>
      </dgm:t>
    </dgm:pt>
    <dgm:pt modelId="{0A504891-3EED-4092-A46C-5D62E2939B49}" type="pres">
      <dgm:prSet presAssocID="{B8BFD9FF-CE01-4902-9191-ACFE83A222D6}" presName="rootnode" presStyleCnt="0">
        <dgm:presLayoutVars>
          <dgm:chMax/>
          <dgm:chPref/>
          <dgm:dir/>
          <dgm:animLvl val="lvl"/>
        </dgm:presLayoutVars>
      </dgm:prSet>
      <dgm:spPr/>
    </dgm:pt>
    <dgm:pt modelId="{53D5EADE-C42C-46C8-B4E8-13283BA1F7D9}" type="pres">
      <dgm:prSet presAssocID="{6B2DE8F5-1FA0-4ABC-9E05-E66D6F0EA8DA}" presName="composite" presStyleCnt="0"/>
      <dgm:spPr/>
    </dgm:pt>
    <dgm:pt modelId="{0E7885BE-B784-4A79-8063-6D29A052C642}" type="pres">
      <dgm:prSet presAssocID="{6B2DE8F5-1FA0-4ABC-9E05-E66D6F0EA8DA}" presName="bentUpArrow1" presStyleLbl="alignImgPlace1" presStyleIdx="0" presStyleCnt="4" custLinFactNeighborX="-16456"/>
      <dgm:spPr>
        <a:solidFill>
          <a:schemeClr val="accent2">
            <a:lumMod val="40000"/>
            <a:lumOff val="60000"/>
          </a:schemeClr>
        </a:solidFill>
      </dgm:spPr>
    </dgm:pt>
    <dgm:pt modelId="{4D2B7216-01DC-4BD1-B04C-9C69C194A568}" type="pres">
      <dgm:prSet presAssocID="{6B2DE8F5-1FA0-4ABC-9E05-E66D6F0EA8DA}" presName="ParentText" presStyleLbl="node1" presStyleIdx="0" presStyleCnt="5" custLinFactNeighborX="-21280">
        <dgm:presLayoutVars>
          <dgm:chMax val="1"/>
          <dgm:chPref val="1"/>
          <dgm:bulletEnabled val="1"/>
        </dgm:presLayoutVars>
      </dgm:prSet>
      <dgm:spPr/>
    </dgm:pt>
    <dgm:pt modelId="{CFC6C6F6-873C-4F6B-9327-738B0990C95B}" type="pres">
      <dgm:prSet presAssocID="{6B2DE8F5-1FA0-4ABC-9E05-E66D6F0EA8DA}" presName="ChildText" presStyleLbl="revTx" presStyleIdx="0" presStyleCnt="4" custScaleX="285221" custScaleY="87352" custLinFactNeighborX="74458" custLinFactNeighborY="-4592">
        <dgm:presLayoutVars>
          <dgm:chMax val="0"/>
          <dgm:chPref val="0"/>
          <dgm:bulletEnabled val="1"/>
        </dgm:presLayoutVars>
      </dgm:prSet>
      <dgm:spPr/>
    </dgm:pt>
    <dgm:pt modelId="{0B32F818-87EA-4A7F-A9E6-8D418F6A644B}" type="pres">
      <dgm:prSet presAssocID="{28F0ED47-C484-4E32-AC0B-8F8BC96A3EE1}" presName="sibTrans" presStyleCnt="0"/>
      <dgm:spPr/>
    </dgm:pt>
    <dgm:pt modelId="{F8A8A4ED-EFCE-44E8-B59C-C6DD46F4FC26}" type="pres">
      <dgm:prSet presAssocID="{63AF0E0F-3AE8-4DAE-AE0B-84FC9F16F70C}" presName="composite" presStyleCnt="0"/>
      <dgm:spPr/>
    </dgm:pt>
    <dgm:pt modelId="{0B8D6A91-9A90-4F6B-8C9A-91D84380422D}" type="pres">
      <dgm:prSet presAssocID="{63AF0E0F-3AE8-4DAE-AE0B-84FC9F16F70C}" presName="bentUpArrow1" presStyleLbl="alignImgPlace1" presStyleIdx="1" presStyleCnt="4" custLinFactNeighborX="-31464"/>
      <dgm:spPr>
        <a:solidFill>
          <a:schemeClr val="accent3">
            <a:lumMod val="40000"/>
            <a:lumOff val="60000"/>
          </a:schemeClr>
        </a:solidFill>
      </dgm:spPr>
    </dgm:pt>
    <dgm:pt modelId="{33475939-2E79-4E9A-8104-DF17984D3A98}" type="pres">
      <dgm:prSet presAssocID="{63AF0E0F-3AE8-4DAE-AE0B-84FC9F16F70C}" presName="ParentText" presStyleLbl="node1" presStyleIdx="1" presStyleCnt="5" custLinFactNeighborX="-49259">
        <dgm:presLayoutVars>
          <dgm:chMax val="1"/>
          <dgm:chPref val="1"/>
          <dgm:bulletEnabled val="1"/>
        </dgm:presLayoutVars>
      </dgm:prSet>
      <dgm:spPr/>
    </dgm:pt>
    <dgm:pt modelId="{3DF63D40-31C5-467F-B4B4-69CC917140B3}" type="pres">
      <dgm:prSet presAssocID="{63AF0E0F-3AE8-4DAE-AE0B-84FC9F16F70C}" presName="ChildText" presStyleLbl="revTx" presStyleIdx="1" presStyleCnt="4" custScaleX="331579" custScaleY="125726" custLinFactNeighborX="53779" custLinFactNeighborY="1125">
        <dgm:presLayoutVars>
          <dgm:chMax val="0"/>
          <dgm:chPref val="0"/>
          <dgm:bulletEnabled val="1"/>
        </dgm:presLayoutVars>
      </dgm:prSet>
      <dgm:spPr/>
    </dgm:pt>
    <dgm:pt modelId="{C3CB30CC-D1BF-4F03-8ACF-5D22B1B32D14}" type="pres">
      <dgm:prSet presAssocID="{3D3909F4-A389-4359-B9BE-63B1283FC0A1}" presName="sibTrans" presStyleCnt="0"/>
      <dgm:spPr/>
    </dgm:pt>
    <dgm:pt modelId="{EED3D06B-8142-4EFA-9C95-B8BF6ECC8D68}" type="pres">
      <dgm:prSet presAssocID="{9397DA26-CEFF-4022-9C92-721B6CEFA0BC}" presName="composite" presStyleCnt="0"/>
      <dgm:spPr/>
    </dgm:pt>
    <dgm:pt modelId="{0DA851C5-895D-4DDA-B718-5B83BF5E2A13}" type="pres">
      <dgm:prSet presAssocID="{9397DA26-CEFF-4022-9C92-721B6CEFA0BC}" presName="bentUpArrow1" presStyleLbl="alignImgPlace1" presStyleIdx="2" presStyleCnt="4" custLinFactNeighborX="-31464"/>
      <dgm:spPr>
        <a:solidFill>
          <a:schemeClr val="accent4">
            <a:lumMod val="40000"/>
            <a:lumOff val="60000"/>
          </a:schemeClr>
        </a:solidFill>
      </dgm:spPr>
    </dgm:pt>
    <dgm:pt modelId="{65DAA22A-E297-4895-9749-B1CCA6D0D05C}" type="pres">
      <dgm:prSet presAssocID="{9397DA26-CEFF-4022-9C92-721B6CEFA0BC}" presName="ParentText" presStyleLbl="node1" presStyleIdx="2" presStyleCnt="5" custLinFactNeighborX="-58395">
        <dgm:presLayoutVars>
          <dgm:chMax val="1"/>
          <dgm:chPref val="1"/>
          <dgm:bulletEnabled val="1"/>
        </dgm:presLayoutVars>
      </dgm:prSet>
      <dgm:spPr/>
    </dgm:pt>
    <dgm:pt modelId="{100F53C7-D896-42A0-A9C5-5FBCAE795958}" type="pres">
      <dgm:prSet presAssocID="{9397DA26-CEFF-4022-9C92-721B6CEFA0BC}" presName="ChildText" presStyleLbl="revTx" presStyleIdx="2" presStyleCnt="4" custScaleX="291356" custScaleY="141929" custLinFactNeighborX="21272" custLinFactNeighborY="-2168">
        <dgm:presLayoutVars>
          <dgm:chMax val="0"/>
          <dgm:chPref val="0"/>
          <dgm:bulletEnabled val="1"/>
        </dgm:presLayoutVars>
      </dgm:prSet>
      <dgm:spPr/>
    </dgm:pt>
    <dgm:pt modelId="{D237F5CE-448C-4E78-B07E-B780B5B2EA27}" type="pres">
      <dgm:prSet presAssocID="{082774F2-EC86-4649-82E1-15D087A0CC17}" presName="sibTrans" presStyleCnt="0"/>
      <dgm:spPr/>
    </dgm:pt>
    <dgm:pt modelId="{DA5E1978-0A5D-41A1-80AA-13545389D2FF}" type="pres">
      <dgm:prSet presAssocID="{C3E87AFB-F036-48B2-9315-4CCC2253D4E0}" presName="composite" presStyleCnt="0"/>
      <dgm:spPr/>
    </dgm:pt>
    <dgm:pt modelId="{B119A5A8-E654-4653-B2E3-84958CB25550}" type="pres">
      <dgm:prSet presAssocID="{C3E87AFB-F036-48B2-9315-4CCC2253D4E0}" presName="bentUpArrow1" presStyleLbl="alignImgPlace1" presStyleIdx="3" presStyleCnt="4"/>
      <dgm:spPr>
        <a:solidFill>
          <a:schemeClr val="accent1">
            <a:lumMod val="40000"/>
            <a:lumOff val="60000"/>
          </a:schemeClr>
        </a:solidFill>
      </dgm:spPr>
    </dgm:pt>
    <dgm:pt modelId="{E0E0F27B-B4D0-4E2D-B47F-9880F55D4B17}" type="pres">
      <dgm:prSet presAssocID="{C3E87AFB-F036-48B2-9315-4CCC2253D4E0}" presName="ParentText" presStyleLbl="node1" presStyleIdx="3" presStyleCnt="5" custScaleX="114908" custLinFactNeighborX="-55092">
        <dgm:presLayoutVars>
          <dgm:chMax val="1"/>
          <dgm:chPref val="1"/>
          <dgm:bulletEnabled val="1"/>
        </dgm:presLayoutVars>
      </dgm:prSet>
      <dgm:spPr/>
    </dgm:pt>
    <dgm:pt modelId="{2FE27063-B36B-4D1B-BCE7-25DBA02F5A3C}" type="pres">
      <dgm:prSet presAssocID="{C3E87AFB-F036-48B2-9315-4CCC2253D4E0}" presName="ChildText" presStyleLbl="revTx" presStyleIdx="3" presStyleCnt="4">
        <dgm:presLayoutVars>
          <dgm:chMax val="0"/>
          <dgm:chPref val="0"/>
          <dgm:bulletEnabled val="1"/>
        </dgm:presLayoutVars>
      </dgm:prSet>
      <dgm:spPr/>
    </dgm:pt>
    <dgm:pt modelId="{1771CC7C-3862-4D7F-BBC9-0D940E26E107}" type="pres">
      <dgm:prSet presAssocID="{DD9F8425-1AB9-4096-9FC6-2A04F33D1240}" presName="sibTrans" presStyleCnt="0"/>
      <dgm:spPr/>
    </dgm:pt>
    <dgm:pt modelId="{C22A2442-61DC-4385-BFE6-0AFA104CC05B}" type="pres">
      <dgm:prSet presAssocID="{A4CFBCC2-D6C5-4A30-BDD9-DBF9D522B113}" presName="composite" presStyleCnt="0"/>
      <dgm:spPr/>
    </dgm:pt>
    <dgm:pt modelId="{5E8D2394-5CCA-4C78-9D12-A3F7F661926B}" type="pres">
      <dgm:prSet presAssocID="{A4CFBCC2-D6C5-4A30-BDD9-DBF9D522B113}" presName="ParentText" presStyleLbl="node1" presStyleIdx="4" presStyleCnt="5" custLinFactNeighborX="-20081">
        <dgm:presLayoutVars>
          <dgm:chMax val="1"/>
          <dgm:chPref val="1"/>
          <dgm:bulletEnabled val="1"/>
        </dgm:presLayoutVars>
      </dgm:prSet>
      <dgm:spPr/>
    </dgm:pt>
  </dgm:ptLst>
  <dgm:cxnLst>
    <dgm:cxn modelId="{BE41C810-6651-47D8-8B94-E24BFBDAA95F}" srcId="{9397DA26-CEFF-4022-9C92-721B6CEFA0BC}" destId="{E9B53826-B56C-447F-A6D4-2694CAEDC878}" srcOrd="0" destOrd="0" parTransId="{5F6CBCEE-B5CD-42A4-96F1-F552C4B810B0}" sibTransId="{8BF1C458-1390-4EDD-A75E-7C3DDEE2031B}"/>
    <dgm:cxn modelId="{20FD2B12-52CE-4043-99A7-5249E9300691}" type="presOf" srcId="{63AF0E0F-3AE8-4DAE-AE0B-84FC9F16F70C}" destId="{33475939-2E79-4E9A-8104-DF17984D3A98}" srcOrd="0" destOrd="0" presId="urn:microsoft.com/office/officeart/2005/8/layout/StepDownProcess"/>
    <dgm:cxn modelId="{A033FD20-187F-461C-A3A2-BA23CE9177B7}" type="presOf" srcId="{FDD05EB3-8626-4CFD-984F-1C890D1BA511}" destId="{CFC6C6F6-873C-4F6B-9327-738B0990C95B}" srcOrd="0" destOrd="0" presId="urn:microsoft.com/office/officeart/2005/8/layout/StepDownProcess"/>
    <dgm:cxn modelId="{0B714B37-57FB-40CA-8F58-ACAF22C75980}" type="presOf" srcId="{9397DA26-CEFF-4022-9C92-721B6CEFA0BC}" destId="{65DAA22A-E297-4895-9749-B1CCA6D0D05C}" srcOrd="0" destOrd="0" presId="urn:microsoft.com/office/officeart/2005/8/layout/StepDownProcess"/>
    <dgm:cxn modelId="{A1997138-D318-4F3A-B2C7-CE6BFF0B5715}" type="presOf" srcId="{6B2DE8F5-1FA0-4ABC-9E05-E66D6F0EA8DA}" destId="{4D2B7216-01DC-4BD1-B04C-9C69C194A568}" srcOrd="0" destOrd="0" presId="urn:microsoft.com/office/officeart/2005/8/layout/StepDownProcess"/>
    <dgm:cxn modelId="{2939393B-CC0F-4CF3-B7EE-44CEEFDF7E0C}" type="presOf" srcId="{B8BFD9FF-CE01-4902-9191-ACFE83A222D6}" destId="{0A504891-3EED-4092-A46C-5D62E2939B49}" srcOrd="0" destOrd="0" presId="urn:microsoft.com/office/officeart/2005/8/layout/StepDownProcess"/>
    <dgm:cxn modelId="{252A9A7E-21D3-4A78-B402-5FBE1372587F}" srcId="{B8BFD9FF-CE01-4902-9191-ACFE83A222D6}" destId="{9397DA26-CEFF-4022-9C92-721B6CEFA0BC}" srcOrd="2" destOrd="0" parTransId="{A3AF1C58-222C-4E6B-9B5F-500F2B5CA3F5}" sibTransId="{082774F2-EC86-4649-82E1-15D087A0CC17}"/>
    <dgm:cxn modelId="{BC02B983-5D5E-401C-AB6C-386ADD6E030D}" srcId="{B8BFD9FF-CE01-4902-9191-ACFE83A222D6}" destId="{C3E87AFB-F036-48B2-9315-4CCC2253D4E0}" srcOrd="3" destOrd="0" parTransId="{AB800DE0-EFD6-4CA7-89CB-EAA7BA30CEF7}" sibTransId="{DD9F8425-1AB9-4096-9FC6-2A04F33D1240}"/>
    <dgm:cxn modelId="{9C6C8B8A-684B-415F-BD5A-8FCB5A0B0602}" type="presOf" srcId="{A4CFBCC2-D6C5-4A30-BDD9-DBF9D522B113}" destId="{5E8D2394-5CCA-4C78-9D12-A3F7F661926B}" srcOrd="0" destOrd="0" presId="urn:microsoft.com/office/officeart/2005/8/layout/StepDownProcess"/>
    <dgm:cxn modelId="{06BC5495-4137-49AE-BB3A-20363FC4EC3D}" type="presOf" srcId="{548BDF2B-B3B0-4DC0-A6AC-0837554832DA}" destId="{3DF63D40-31C5-467F-B4B4-69CC917140B3}" srcOrd="0" destOrd="0" presId="urn:microsoft.com/office/officeart/2005/8/layout/StepDownProcess"/>
    <dgm:cxn modelId="{B2F3EEA1-A142-472F-B0DB-E55B20175D68}" srcId="{B8BFD9FF-CE01-4902-9191-ACFE83A222D6}" destId="{63AF0E0F-3AE8-4DAE-AE0B-84FC9F16F70C}" srcOrd="1" destOrd="0" parTransId="{E69C34D5-0909-47D2-B9E6-1FAD101EB5FA}" sibTransId="{3D3909F4-A389-4359-B9BE-63B1283FC0A1}"/>
    <dgm:cxn modelId="{258940A8-3D88-4906-BD2F-9BA6B4210C49}" srcId="{B8BFD9FF-CE01-4902-9191-ACFE83A222D6}" destId="{6B2DE8F5-1FA0-4ABC-9E05-E66D6F0EA8DA}" srcOrd="0" destOrd="0" parTransId="{E3D42CCF-3851-4F82-8F6F-05F6F255AD66}" sibTransId="{28F0ED47-C484-4E32-AC0B-8F8BC96A3EE1}"/>
    <dgm:cxn modelId="{E54CE1D6-8EFC-4099-B3AD-2065297C766A}" srcId="{B8BFD9FF-CE01-4902-9191-ACFE83A222D6}" destId="{A4CFBCC2-D6C5-4A30-BDD9-DBF9D522B113}" srcOrd="4" destOrd="0" parTransId="{3E611261-46FA-4AD5-9695-D7ACDF5CE159}" sibTransId="{8985FF02-86EA-4D5C-A090-E8E96AED23AE}"/>
    <dgm:cxn modelId="{C623E9E0-E6DE-4AAE-BB16-C3FEEDC57CD3}" type="presOf" srcId="{E9B53826-B56C-447F-A6D4-2694CAEDC878}" destId="{100F53C7-D896-42A0-A9C5-5FBCAE795958}" srcOrd="0" destOrd="0" presId="urn:microsoft.com/office/officeart/2005/8/layout/StepDownProcess"/>
    <dgm:cxn modelId="{317902E1-D271-49A1-8911-EC504BAA9739}" srcId="{63AF0E0F-3AE8-4DAE-AE0B-84FC9F16F70C}" destId="{548BDF2B-B3B0-4DC0-A6AC-0837554832DA}" srcOrd="0" destOrd="0" parTransId="{2CC4523E-75BE-498F-81CC-775F96F1264A}" sibTransId="{A3AB3A1D-52A5-408A-BD65-08CF423C89C4}"/>
    <dgm:cxn modelId="{C4DC95FC-E083-4C26-9CB0-8F6E752C7D66}" srcId="{6B2DE8F5-1FA0-4ABC-9E05-E66D6F0EA8DA}" destId="{FDD05EB3-8626-4CFD-984F-1C890D1BA511}" srcOrd="0" destOrd="0" parTransId="{DCE481AF-294A-4897-BC67-7B594B8E32BE}" sibTransId="{C97C057E-C0CE-4140-A828-57D79A696A88}"/>
    <dgm:cxn modelId="{2D3F2AFF-8A8E-40C4-88C3-313F5B076CB6}" type="presOf" srcId="{C3E87AFB-F036-48B2-9315-4CCC2253D4E0}" destId="{E0E0F27B-B4D0-4E2D-B47F-9880F55D4B17}" srcOrd="0" destOrd="0" presId="urn:microsoft.com/office/officeart/2005/8/layout/StepDownProcess"/>
    <dgm:cxn modelId="{D8253467-3CCF-4B79-B917-E7743741FAC3}" type="presParOf" srcId="{0A504891-3EED-4092-A46C-5D62E2939B49}" destId="{53D5EADE-C42C-46C8-B4E8-13283BA1F7D9}" srcOrd="0" destOrd="0" presId="urn:microsoft.com/office/officeart/2005/8/layout/StepDownProcess"/>
    <dgm:cxn modelId="{CB329130-4A99-4333-81C2-8F3E9FF34028}" type="presParOf" srcId="{53D5EADE-C42C-46C8-B4E8-13283BA1F7D9}" destId="{0E7885BE-B784-4A79-8063-6D29A052C642}" srcOrd="0" destOrd="0" presId="urn:microsoft.com/office/officeart/2005/8/layout/StepDownProcess"/>
    <dgm:cxn modelId="{94505F20-5BE9-4C3F-99CB-74780FFF0AF4}" type="presParOf" srcId="{53D5EADE-C42C-46C8-B4E8-13283BA1F7D9}" destId="{4D2B7216-01DC-4BD1-B04C-9C69C194A568}" srcOrd="1" destOrd="0" presId="urn:microsoft.com/office/officeart/2005/8/layout/StepDownProcess"/>
    <dgm:cxn modelId="{30075254-0187-45F0-B48C-EFBABB8E1B7E}" type="presParOf" srcId="{53D5EADE-C42C-46C8-B4E8-13283BA1F7D9}" destId="{CFC6C6F6-873C-4F6B-9327-738B0990C95B}" srcOrd="2" destOrd="0" presId="urn:microsoft.com/office/officeart/2005/8/layout/StepDownProcess"/>
    <dgm:cxn modelId="{A14D5FE7-8C84-4CD4-984B-E43FDA966613}" type="presParOf" srcId="{0A504891-3EED-4092-A46C-5D62E2939B49}" destId="{0B32F818-87EA-4A7F-A9E6-8D418F6A644B}" srcOrd="1" destOrd="0" presId="urn:microsoft.com/office/officeart/2005/8/layout/StepDownProcess"/>
    <dgm:cxn modelId="{957E7DD1-3882-44AC-9D5B-EAB6BA534086}" type="presParOf" srcId="{0A504891-3EED-4092-A46C-5D62E2939B49}" destId="{F8A8A4ED-EFCE-44E8-B59C-C6DD46F4FC26}" srcOrd="2" destOrd="0" presId="urn:microsoft.com/office/officeart/2005/8/layout/StepDownProcess"/>
    <dgm:cxn modelId="{864DB457-7C6A-48DE-B629-52F36D48590C}" type="presParOf" srcId="{F8A8A4ED-EFCE-44E8-B59C-C6DD46F4FC26}" destId="{0B8D6A91-9A90-4F6B-8C9A-91D84380422D}" srcOrd="0" destOrd="0" presId="urn:microsoft.com/office/officeart/2005/8/layout/StepDownProcess"/>
    <dgm:cxn modelId="{E112C13C-A755-4499-8B7A-C9F6C0E27FDF}" type="presParOf" srcId="{F8A8A4ED-EFCE-44E8-B59C-C6DD46F4FC26}" destId="{33475939-2E79-4E9A-8104-DF17984D3A98}" srcOrd="1" destOrd="0" presId="urn:microsoft.com/office/officeart/2005/8/layout/StepDownProcess"/>
    <dgm:cxn modelId="{95126F5D-BE75-4F97-A398-68FB6064ABEC}" type="presParOf" srcId="{F8A8A4ED-EFCE-44E8-B59C-C6DD46F4FC26}" destId="{3DF63D40-31C5-467F-B4B4-69CC917140B3}" srcOrd="2" destOrd="0" presId="urn:microsoft.com/office/officeart/2005/8/layout/StepDownProcess"/>
    <dgm:cxn modelId="{CBC1EB94-53FD-44F5-9C64-00289E15DAE9}" type="presParOf" srcId="{0A504891-3EED-4092-A46C-5D62E2939B49}" destId="{C3CB30CC-D1BF-4F03-8ACF-5D22B1B32D14}" srcOrd="3" destOrd="0" presId="urn:microsoft.com/office/officeart/2005/8/layout/StepDownProcess"/>
    <dgm:cxn modelId="{085FB8CD-2B16-4B58-B382-1AA735F22990}" type="presParOf" srcId="{0A504891-3EED-4092-A46C-5D62E2939B49}" destId="{EED3D06B-8142-4EFA-9C95-B8BF6ECC8D68}" srcOrd="4" destOrd="0" presId="urn:microsoft.com/office/officeart/2005/8/layout/StepDownProcess"/>
    <dgm:cxn modelId="{DB0CD3D0-E602-4074-A31E-5C37EB8802D0}" type="presParOf" srcId="{EED3D06B-8142-4EFA-9C95-B8BF6ECC8D68}" destId="{0DA851C5-895D-4DDA-B718-5B83BF5E2A13}" srcOrd="0" destOrd="0" presId="urn:microsoft.com/office/officeart/2005/8/layout/StepDownProcess"/>
    <dgm:cxn modelId="{769AFD7D-1F98-4B90-B8C5-099BC64447AD}" type="presParOf" srcId="{EED3D06B-8142-4EFA-9C95-B8BF6ECC8D68}" destId="{65DAA22A-E297-4895-9749-B1CCA6D0D05C}" srcOrd="1" destOrd="0" presId="urn:microsoft.com/office/officeart/2005/8/layout/StepDownProcess"/>
    <dgm:cxn modelId="{C3E6FEFB-91B1-4603-9421-7497B257FE35}" type="presParOf" srcId="{EED3D06B-8142-4EFA-9C95-B8BF6ECC8D68}" destId="{100F53C7-D896-42A0-A9C5-5FBCAE795958}" srcOrd="2" destOrd="0" presId="urn:microsoft.com/office/officeart/2005/8/layout/StepDownProcess"/>
    <dgm:cxn modelId="{D45EB220-C16F-4CD1-8142-926F1C09553C}" type="presParOf" srcId="{0A504891-3EED-4092-A46C-5D62E2939B49}" destId="{D237F5CE-448C-4E78-B07E-B780B5B2EA27}" srcOrd="5" destOrd="0" presId="urn:microsoft.com/office/officeart/2005/8/layout/StepDownProcess"/>
    <dgm:cxn modelId="{978AE6C2-BC1F-468E-96A9-B7409EF2D18F}" type="presParOf" srcId="{0A504891-3EED-4092-A46C-5D62E2939B49}" destId="{DA5E1978-0A5D-41A1-80AA-13545389D2FF}" srcOrd="6" destOrd="0" presId="urn:microsoft.com/office/officeart/2005/8/layout/StepDownProcess"/>
    <dgm:cxn modelId="{BF966DC2-9529-4BB9-9CD5-88573AED71BF}" type="presParOf" srcId="{DA5E1978-0A5D-41A1-80AA-13545389D2FF}" destId="{B119A5A8-E654-4653-B2E3-84958CB25550}" srcOrd="0" destOrd="0" presId="urn:microsoft.com/office/officeart/2005/8/layout/StepDownProcess"/>
    <dgm:cxn modelId="{12B6ADF0-40D2-4421-B38C-C014D3AE0109}" type="presParOf" srcId="{DA5E1978-0A5D-41A1-80AA-13545389D2FF}" destId="{E0E0F27B-B4D0-4E2D-B47F-9880F55D4B17}" srcOrd="1" destOrd="0" presId="urn:microsoft.com/office/officeart/2005/8/layout/StepDownProcess"/>
    <dgm:cxn modelId="{E6A2DF4E-281B-44FC-9122-1ED745DAF913}" type="presParOf" srcId="{DA5E1978-0A5D-41A1-80AA-13545389D2FF}" destId="{2FE27063-B36B-4D1B-BCE7-25DBA02F5A3C}" srcOrd="2" destOrd="0" presId="urn:microsoft.com/office/officeart/2005/8/layout/StepDownProcess"/>
    <dgm:cxn modelId="{7C18E885-89CB-47B6-92A7-B40BEF660039}" type="presParOf" srcId="{0A504891-3EED-4092-A46C-5D62E2939B49}" destId="{1771CC7C-3862-4D7F-BBC9-0D940E26E107}" srcOrd="7" destOrd="0" presId="urn:microsoft.com/office/officeart/2005/8/layout/StepDownProcess"/>
    <dgm:cxn modelId="{A5AC8FB2-030B-423A-BECB-05C6CA4E4EB9}" type="presParOf" srcId="{0A504891-3EED-4092-A46C-5D62E2939B49}" destId="{C22A2442-61DC-4385-BFE6-0AFA104CC05B}" srcOrd="8" destOrd="0" presId="urn:microsoft.com/office/officeart/2005/8/layout/StepDownProcess"/>
    <dgm:cxn modelId="{67B338F6-FCB4-44E3-B457-71F63D5C7A6D}" type="presParOf" srcId="{C22A2442-61DC-4385-BFE6-0AFA104CC05B}" destId="{5E8D2394-5CCA-4C78-9D12-A3F7F661926B}" srcOrd="0" destOrd="0" presId="urn:microsoft.com/office/officeart/2005/8/layout/StepDownProcess"/>
  </dgm:cxnLst>
  <dgm:bg/>
  <dgm:whole/>
  <dgm:extLst>
    <a:ext uri="http://schemas.microsoft.com/office/drawing/2008/diagram">
      <dsp:dataModelExt xmlns:dsp="http://schemas.microsoft.com/office/drawing/2008/diagram" relId="rId8"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0E7885BE-B784-4A79-8063-6D29A052C642}">
      <dsp:nvSpPr>
        <dsp:cNvPr id="0" name=""/>
        <dsp:cNvSpPr/>
      </dsp:nvSpPr>
      <dsp:spPr>
        <a:xfrm rot="5400000">
          <a:off x="1283574" y="892932"/>
          <a:ext cx="782949" cy="891360"/>
        </a:xfrm>
        <a:prstGeom prst="bentUpArrow">
          <a:avLst>
            <a:gd name="adj1" fmla="val 32840"/>
            <a:gd name="adj2" fmla="val 25000"/>
            <a:gd name="adj3" fmla="val 35780"/>
          </a:avLst>
        </a:prstGeom>
        <a:solidFill>
          <a:schemeClr val="accent2">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4D2B7216-01DC-4BD1-B04C-9C69C194A568}">
      <dsp:nvSpPr>
        <dsp:cNvPr id="0" name=""/>
        <dsp:cNvSpPr/>
      </dsp:nvSpPr>
      <dsp:spPr>
        <a:xfrm>
          <a:off x="942346" y="25017"/>
          <a:ext cx="1318026" cy="922575"/>
        </a:xfrm>
        <a:prstGeom prst="roundRect">
          <a:avLst>
            <a:gd name="adj" fmla="val 16670"/>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lang="es-CO" sz="1000" b="1" kern="1200" dirty="0"/>
            <a:t>Identificación de aspectos ambientales</a:t>
          </a:r>
        </a:p>
      </dsp:txBody>
      <dsp:txXfrm>
        <a:off x="987391" y="70062"/>
        <a:ext cx="1227936" cy="832485"/>
      </dsp:txXfrm>
    </dsp:sp>
    <dsp:sp modelId="{CFC6C6F6-873C-4F6B-9327-738B0990C95B}">
      <dsp:nvSpPr>
        <dsp:cNvPr id="0" name=""/>
        <dsp:cNvSpPr/>
      </dsp:nvSpPr>
      <dsp:spPr>
        <a:xfrm>
          <a:off x="2366837" y="125921"/>
          <a:ext cx="2734147" cy="651354"/>
        </a:xfrm>
        <a:prstGeom prst="rect">
          <a:avLst/>
        </a:prstGeom>
        <a:solidFill>
          <a:schemeClr val="accent2">
            <a:lumMod val="40000"/>
            <a:lumOff val="60000"/>
          </a:schemeClr>
        </a:solidFill>
        <a:ln>
          <a:noFill/>
        </a:ln>
        <a:effectLst/>
      </dsp:spPr>
      <dsp:style>
        <a:lnRef idx="0">
          <a:scrgbClr r="0" g="0" b="0"/>
        </a:lnRef>
        <a:fillRef idx="0">
          <a:scrgbClr r="0" g="0" b="0"/>
        </a:fillRef>
        <a:effectRef idx="0">
          <a:scrgbClr r="0" g="0" b="0"/>
        </a:effectRef>
        <a:fontRef idx="minor"/>
      </dsp:style>
      <dsp:txBody>
        <a:bodyPr spcFirstLastPara="0" vert="horz" wrap="square" lIns="38100" tIns="38100" rIns="38100" bIns="38100" numCol="1" spcCol="1270" anchor="ctr" anchorCtr="0">
          <a:noAutofit/>
        </a:bodyPr>
        <a:lstStyle/>
        <a:p>
          <a:pPr marL="57150" lvl="1" indent="-57150" algn="just" defTabSz="444500">
            <a:lnSpc>
              <a:spcPct val="90000"/>
            </a:lnSpc>
            <a:spcBef>
              <a:spcPct val="0"/>
            </a:spcBef>
            <a:spcAft>
              <a:spcPct val="15000"/>
            </a:spcAft>
            <a:buChar char="•"/>
          </a:pPr>
          <a:r>
            <a:rPr lang="es-CO" sz="1000" kern="1200" dirty="0"/>
            <a:t>Identificar los aspectos ambientales relacionados con la generación directa o indirecta de GEI.</a:t>
          </a:r>
        </a:p>
      </dsp:txBody>
      <dsp:txXfrm>
        <a:off x="2366837" y="125921"/>
        <a:ext cx="2734147" cy="651354"/>
      </dsp:txXfrm>
    </dsp:sp>
    <dsp:sp modelId="{0B8D6A91-9A90-4F6B-8C9A-91D84380422D}">
      <dsp:nvSpPr>
        <dsp:cNvPr id="0" name=""/>
        <dsp:cNvSpPr/>
      </dsp:nvSpPr>
      <dsp:spPr>
        <a:xfrm rot="5400000">
          <a:off x="2668712" y="1937216"/>
          <a:ext cx="782949" cy="891360"/>
        </a:xfrm>
        <a:prstGeom prst="bentUpArrow">
          <a:avLst>
            <a:gd name="adj1" fmla="val 32840"/>
            <a:gd name="adj2" fmla="val 25000"/>
            <a:gd name="adj3" fmla="val 35780"/>
          </a:avLst>
        </a:prstGeom>
        <a:solidFill>
          <a:schemeClr val="accent3">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33475939-2E79-4E9A-8104-DF17984D3A98}">
      <dsp:nvSpPr>
        <dsp:cNvPr id="0" name=""/>
        <dsp:cNvSpPr/>
      </dsp:nvSpPr>
      <dsp:spPr>
        <a:xfrm>
          <a:off x="2092489" y="1069300"/>
          <a:ext cx="1318026" cy="922575"/>
        </a:xfrm>
        <a:prstGeom prst="roundRect">
          <a:avLst>
            <a:gd name="adj" fmla="val 16670"/>
          </a:avLst>
        </a:prstGeom>
        <a:gradFill rotWithShape="0">
          <a:gsLst>
            <a:gs pos="0">
              <a:schemeClr val="accent3">
                <a:hueOff val="0"/>
                <a:satOff val="0"/>
                <a:lumOff val="0"/>
                <a:alphaOff val="0"/>
                <a:shade val="51000"/>
                <a:satMod val="130000"/>
              </a:schemeClr>
            </a:gs>
            <a:gs pos="80000">
              <a:schemeClr val="accent3">
                <a:hueOff val="0"/>
                <a:satOff val="0"/>
                <a:lumOff val="0"/>
                <a:alphaOff val="0"/>
                <a:shade val="93000"/>
                <a:satMod val="130000"/>
              </a:schemeClr>
            </a:gs>
            <a:gs pos="100000">
              <a:schemeClr val="accent3">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lang="es-CO" sz="1000" b="1" kern="1200" dirty="0"/>
            <a:t>Clasificación y selección de las cargas ambientales</a:t>
          </a:r>
        </a:p>
      </dsp:txBody>
      <dsp:txXfrm>
        <a:off x="2137534" y="1114345"/>
        <a:ext cx="1227936" cy="832485"/>
      </dsp:txXfrm>
    </dsp:sp>
    <dsp:sp modelId="{3DF63D40-31C5-467F-B4B4-69CC917140B3}">
      <dsp:nvSpPr>
        <dsp:cNvPr id="0" name=""/>
        <dsp:cNvSpPr/>
      </dsp:nvSpPr>
      <dsp:spPr>
        <a:xfrm>
          <a:off x="3465325" y="1069763"/>
          <a:ext cx="3178538" cy="937496"/>
        </a:xfrm>
        <a:prstGeom prst="rect">
          <a:avLst/>
        </a:prstGeom>
        <a:solidFill>
          <a:schemeClr val="accent3">
            <a:lumMod val="40000"/>
            <a:lumOff val="60000"/>
          </a:schemeClr>
        </a:solidFill>
        <a:ln>
          <a:noFill/>
        </a:ln>
        <a:effectLst/>
      </dsp:spPr>
      <dsp:style>
        <a:lnRef idx="0">
          <a:scrgbClr r="0" g="0" b="0"/>
        </a:lnRef>
        <a:fillRef idx="0">
          <a:scrgbClr r="0" g="0" b="0"/>
        </a:fillRef>
        <a:effectRef idx="0">
          <a:scrgbClr r="0" g="0" b="0"/>
        </a:effectRef>
        <a:fontRef idx="minor"/>
      </dsp:style>
      <dsp:txBody>
        <a:bodyPr spcFirstLastPara="0" vert="horz" wrap="square" lIns="38100" tIns="38100" rIns="38100" bIns="38100" numCol="1" spcCol="1270" anchor="ctr" anchorCtr="0">
          <a:noAutofit/>
        </a:bodyPr>
        <a:lstStyle/>
        <a:p>
          <a:pPr marL="57150" lvl="1" indent="-57150" algn="just" defTabSz="444500">
            <a:lnSpc>
              <a:spcPct val="90000"/>
            </a:lnSpc>
            <a:spcBef>
              <a:spcPct val="0"/>
            </a:spcBef>
            <a:spcAft>
              <a:spcPct val="15000"/>
            </a:spcAft>
            <a:buChar char="•"/>
          </a:pPr>
          <a:r>
            <a:rPr lang="es-CO" sz="1000" kern="1200" dirty="0"/>
            <a:t>Seleccionar las cargas ambientales asociadas a los aspectos identificados para la organización, para lo cual se puede tener en cuenta el producto de la visita técnica  No. 1 de huella de carbono.</a:t>
          </a:r>
        </a:p>
      </dsp:txBody>
      <dsp:txXfrm>
        <a:off x="3465325" y="1069763"/>
        <a:ext cx="3178538" cy="937496"/>
      </dsp:txXfrm>
    </dsp:sp>
    <dsp:sp modelId="{0DA851C5-895D-4DDA-B718-5B83BF5E2A13}">
      <dsp:nvSpPr>
        <dsp:cNvPr id="0" name=""/>
        <dsp:cNvSpPr/>
      </dsp:nvSpPr>
      <dsp:spPr>
        <a:xfrm rot="5400000">
          <a:off x="4187625" y="3041909"/>
          <a:ext cx="782949" cy="891360"/>
        </a:xfrm>
        <a:prstGeom prst="bentUpArrow">
          <a:avLst>
            <a:gd name="adj1" fmla="val 32840"/>
            <a:gd name="adj2" fmla="val 25000"/>
            <a:gd name="adj3" fmla="val 35780"/>
          </a:avLst>
        </a:prstGeom>
        <a:solidFill>
          <a:schemeClr val="accent4">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65DAA22A-E297-4895-9749-B1CCA6D0D05C}">
      <dsp:nvSpPr>
        <dsp:cNvPr id="0" name=""/>
        <dsp:cNvSpPr/>
      </dsp:nvSpPr>
      <dsp:spPr>
        <a:xfrm>
          <a:off x="3490988" y="2173994"/>
          <a:ext cx="1318026" cy="922575"/>
        </a:xfrm>
        <a:prstGeom prst="roundRect">
          <a:avLst>
            <a:gd name="adj" fmla="val 16670"/>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lang="es-CO" sz="1000" b="1" kern="1200" dirty="0"/>
            <a:t>Caracterización de la información recibida</a:t>
          </a:r>
        </a:p>
      </dsp:txBody>
      <dsp:txXfrm>
        <a:off x="3536033" y="2219039"/>
        <a:ext cx="1227936" cy="832485"/>
      </dsp:txXfrm>
    </dsp:sp>
    <dsp:sp modelId="{100F53C7-D896-42A0-A9C5-5FBCAE795958}">
      <dsp:nvSpPr>
        <dsp:cNvPr id="0" name=""/>
        <dsp:cNvSpPr/>
      </dsp:nvSpPr>
      <dsp:spPr>
        <a:xfrm>
          <a:off x="4865414" y="2089491"/>
          <a:ext cx="2792958" cy="1058316"/>
        </a:xfrm>
        <a:prstGeom prst="rect">
          <a:avLst/>
        </a:prstGeom>
        <a:solidFill>
          <a:schemeClr val="accent4">
            <a:lumMod val="40000"/>
            <a:lumOff val="60000"/>
          </a:schemeClr>
        </a:solidFill>
        <a:ln>
          <a:noFill/>
        </a:ln>
        <a:effectLst/>
      </dsp:spPr>
      <dsp:style>
        <a:lnRef idx="0">
          <a:scrgbClr r="0" g="0" b="0"/>
        </a:lnRef>
        <a:fillRef idx="0">
          <a:scrgbClr r="0" g="0" b="0"/>
        </a:fillRef>
        <a:effectRef idx="0">
          <a:scrgbClr r="0" g="0" b="0"/>
        </a:effectRef>
        <a:fontRef idx="minor"/>
      </dsp:style>
      <dsp:txBody>
        <a:bodyPr spcFirstLastPara="0" vert="horz" wrap="square" lIns="38100" tIns="38100" rIns="38100" bIns="38100" numCol="1" spcCol="1270" anchor="ctr" anchorCtr="0">
          <a:noAutofit/>
        </a:bodyPr>
        <a:lstStyle/>
        <a:p>
          <a:pPr marL="57150" lvl="1" indent="-57150" algn="just" defTabSz="444500">
            <a:lnSpc>
              <a:spcPct val="90000"/>
            </a:lnSpc>
            <a:spcBef>
              <a:spcPct val="0"/>
            </a:spcBef>
            <a:spcAft>
              <a:spcPct val="15000"/>
            </a:spcAft>
            <a:buChar char="•"/>
          </a:pPr>
          <a:r>
            <a:rPr lang="es-CO" sz="1000" kern="1200" dirty="0"/>
            <a:t>Identificar aspectos relacionados con el flujo de la información como: origen, responsables de registro, reporte, soportes, revisiones, y acciones de mejoras implementadas para garantizar el funcionamiento del sistema.</a:t>
          </a:r>
        </a:p>
      </dsp:txBody>
      <dsp:txXfrm>
        <a:off x="4865414" y="2089491"/>
        <a:ext cx="2792958" cy="1058316"/>
      </dsp:txXfrm>
    </dsp:sp>
    <dsp:sp modelId="{B119A5A8-E654-4653-B2E3-84958CB25550}">
      <dsp:nvSpPr>
        <dsp:cNvPr id="0" name=""/>
        <dsp:cNvSpPr/>
      </dsp:nvSpPr>
      <dsp:spPr>
        <a:xfrm rot="5400000">
          <a:off x="6085242" y="4078266"/>
          <a:ext cx="782949" cy="891360"/>
        </a:xfrm>
        <a:prstGeom prst="bentUpArrow">
          <a:avLst>
            <a:gd name="adj1" fmla="val 32840"/>
            <a:gd name="adj2" fmla="val 25000"/>
            <a:gd name="adj3" fmla="val 35780"/>
          </a:avLst>
        </a:prstGeom>
        <a:solidFill>
          <a:schemeClr val="accent1">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E0E0F27B-B4D0-4E2D-B47F-9880F55D4B17}">
      <dsp:nvSpPr>
        <dsp:cNvPr id="0" name=""/>
        <dsp:cNvSpPr/>
      </dsp:nvSpPr>
      <dsp:spPr>
        <a:xfrm>
          <a:off x="5053435" y="3210351"/>
          <a:ext cx="1514517" cy="922575"/>
        </a:xfrm>
        <a:prstGeom prst="roundRect">
          <a:avLst>
            <a:gd name="adj" fmla="val 1667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lang="es-CO" sz="1000" b="1" kern="1200" dirty="0"/>
            <a:t>Consolidación de información  para el reporte de Huella de Carbono </a:t>
          </a:r>
        </a:p>
      </dsp:txBody>
      <dsp:txXfrm>
        <a:off x="5098480" y="3255396"/>
        <a:ext cx="1424427" cy="832485"/>
      </dsp:txXfrm>
    </dsp:sp>
    <dsp:sp modelId="{2FE27063-B36B-4D1B-BCE7-25DBA02F5A3C}">
      <dsp:nvSpPr>
        <dsp:cNvPr id="0" name=""/>
        <dsp:cNvSpPr/>
      </dsp:nvSpPr>
      <dsp:spPr>
        <a:xfrm>
          <a:off x="7195834" y="3298339"/>
          <a:ext cx="958606" cy="745666"/>
        </a:xfrm>
        <a:prstGeom prst="rect">
          <a:avLst/>
        </a:prstGeom>
        <a:noFill/>
        <a:ln>
          <a:noFill/>
        </a:ln>
        <a:effectLst/>
      </dsp:spPr>
      <dsp:style>
        <a:lnRef idx="0">
          <a:scrgbClr r="0" g="0" b="0"/>
        </a:lnRef>
        <a:fillRef idx="0">
          <a:scrgbClr r="0" g="0" b="0"/>
        </a:fillRef>
        <a:effectRef idx="0">
          <a:scrgbClr r="0" g="0" b="0"/>
        </a:effectRef>
        <a:fontRef idx="minor"/>
      </dsp:style>
    </dsp:sp>
    <dsp:sp modelId="{5E8D2394-5CCA-4C78-9D12-A3F7F661926B}">
      <dsp:nvSpPr>
        <dsp:cNvPr id="0" name=""/>
        <dsp:cNvSpPr/>
      </dsp:nvSpPr>
      <dsp:spPr>
        <a:xfrm>
          <a:off x="7033803" y="4246707"/>
          <a:ext cx="1318026" cy="922575"/>
        </a:xfrm>
        <a:prstGeom prst="roundRect">
          <a:avLst>
            <a:gd name="adj" fmla="val 16670"/>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lang="es-CO" sz="1000" b="1" kern="1200" dirty="0"/>
            <a:t>Diligenciamiento de la  Herramienta de Calculo de la Huella de Carbono e incertidumbre. </a:t>
          </a:r>
        </a:p>
      </dsp:txBody>
      <dsp:txXfrm>
        <a:off x="7078848" y="4291752"/>
        <a:ext cx="1227936" cy="832485"/>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0E7885BE-B784-4A79-8063-6D29A052C642}">
      <dsp:nvSpPr>
        <dsp:cNvPr id="0" name=""/>
        <dsp:cNvSpPr/>
      </dsp:nvSpPr>
      <dsp:spPr>
        <a:xfrm rot="5400000">
          <a:off x="897811" y="892932"/>
          <a:ext cx="782949" cy="891360"/>
        </a:xfrm>
        <a:prstGeom prst="bentUpArrow">
          <a:avLst>
            <a:gd name="adj1" fmla="val 32840"/>
            <a:gd name="adj2" fmla="val 25000"/>
            <a:gd name="adj3" fmla="val 35780"/>
          </a:avLst>
        </a:prstGeom>
        <a:solidFill>
          <a:schemeClr val="accent2">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4D2B7216-01DC-4BD1-B04C-9C69C194A568}">
      <dsp:nvSpPr>
        <dsp:cNvPr id="0" name=""/>
        <dsp:cNvSpPr/>
      </dsp:nvSpPr>
      <dsp:spPr>
        <a:xfrm>
          <a:off x="556583" y="25017"/>
          <a:ext cx="1318026" cy="922575"/>
        </a:xfrm>
        <a:prstGeom prst="roundRect">
          <a:avLst>
            <a:gd name="adj" fmla="val 16670"/>
          </a:avLst>
        </a:prstGeom>
        <a:gradFill rotWithShape="0">
          <a:gsLst>
            <a:gs pos="0">
              <a:schemeClr val="accent2">
                <a:hueOff val="0"/>
                <a:satOff val="0"/>
                <a:lumOff val="0"/>
                <a:alphaOff val="0"/>
                <a:shade val="51000"/>
                <a:satMod val="130000"/>
              </a:schemeClr>
            </a:gs>
            <a:gs pos="80000">
              <a:schemeClr val="accent2">
                <a:hueOff val="0"/>
                <a:satOff val="0"/>
                <a:lumOff val="0"/>
                <a:alphaOff val="0"/>
                <a:shade val="93000"/>
                <a:satMod val="130000"/>
              </a:schemeClr>
            </a:gs>
            <a:gs pos="100000">
              <a:schemeClr val="accent2">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l" defTabSz="444500">
            <a:lnSpc>
              <a:spcPct val="90000"/>
            </a:lnSpc>
            <a:spcBef>
              <a:spcPct val="0"/>
            </a:spcBef>
            <a:spcAft>
              <a:spcPct val="35000"/>
            </a:spcAft>
            <a:buNone/>
          </a:pPr>
          <a:r>
            <a:rPr lang="es-CO" sz="1000" b="1" kern="1200" dirty="0"/>
            <a:t>Identificación de aspectos ambientales</a:t>
          </a:r>
        </a:p>
      </dsp:txBody>
      <dsp:txXfrm>
        <a:off x="601628" y="70062"/>
        <a:ext cx="1227936" cy="832485"/>
      </dsp:txXfrm>
    </dsp:sp>
    <dsp:sp modelId="{CFC6C6F6-873C-4F6B-9327-738B0990C95B}">
      <dsp:nvSpPr>
        <dsp:cNvPr id="0" name=""/>
        <dsp:cNvSpPr/>
      </dsp:nvSpPr>
      <dsp:spPr>
        <a:xfrm>
          <a:off x="1981074" y="125921"/>
          <a:ext cx="2734147" cy="651354"/>
        </a:xfrm>
        <a:prstGeom prst="rect">
          <a:avLst/>
        </a:prstGeom>
        <a:solidFill>
          <a:schemeClr val="accent2">
            <a:lumMod val="40000"/>
            <a:lumOff val="60000"/>
          </a:schemeClr>
        </a:solidFill>
        <a:ln>
          <a:noFill/>
        </a:ln>
        <a:effectLst/>
      </dsp:spPr>
      <dsp:style>
        <a:lnRef idx="0">
          <a:scrgbClr r="0" g="0" b="0"/>
        </a:lnRef>
        <a:fillRef idx="0">
          <a:scrgbClr r="0" g="0" b="0"/>
        </a:fillRef>
        <a:effectRef idx="0">
          <a:scrgbClr r="0" g="0" b="0"/>
        </a:effectRef>
        <a:fontRef idx="minor"/>
      </dsp:style>
      <dsp:txBody>
        <a:bodyPr spcFirstLastPara="0" vert="horz" wrap="square" lIns="38100" tIns="38100" rIns="38100" bIns="38100" numCol="1" spcCol="1270" anchor="ctr" anchorCtr="0">
          <a:noAutofit/>
        </a:bodyPr>
        <a:lstStyle/>
        <a:p>
          <a:pPr marL="57150" lvl="1" indent="-57150" algn="l" defTabSz="444500">
            <a:lnSpc>
              <a:spcPct val="90000"/>
            </a:lnSpc>
            <a:spcBef>
              <a:spcPct val="0"/>
            </a:spcBef>
            <a:spcAft>
              <a:spcPct val="15000"/>
            </a:spcAft>
            <a:buChar char="•"/>
          </a:pPr>
          <a:r>
            <a:rPr lang="es-CO" sz="1000" kern="1200" dirty="0"/>
            <a:t>Identificar los aspectos ambientales relacionados con la generación directa o indirecta de GEI.</a:t>
          </a:r>
        </a:p>
      </dsp:txBody>
      <dsp:txXfrm>
        <a:off x="1981074" y="125921"/>
        <a:ext cx="2734147" cy="651354"/>
      </dsp:txXfrm>
    </dsp:sp>
    <dsp:sp modelId="{0B8D6A91-9A90-4F6B-8C9A-91D84380422D}">
      <dsp:nvSpPr>
        <dsp:cNvPr id="0" name=""/>
        <dsp:cNvSpPr/>
      </dsp:nvSpPr>
      <dsp:spPr>
        <a:xfrm rot="5400000">
          <a:off x="2282949" y="1937216"/>
          <a:ext cx="782949" cy="891360"/>
        </a:xfrm>
        <a:prstGeom prst="bentUpArrow">
          <a:avLst>
            <a:gd name="adj1" fmla="val 32840"/>
            <a:gd name="adj2" fmla="val 25000"/>
            <a:gd name="adj3" fmla="val 35780"/>
          </a:avLst>
        </a:prstGeom>
        <a:solidFill>
          <a:schemeClr val="accent3">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33475939-2E79-4E9A-8104-DF17984D3A98}">
      <dsp:nvSpPr>
        <dsp:cNvPr id="0" name=""/>
        <dsp:cNvSpPr/>
      </dsp:nvSpPr>
      <dsp:spPr>
        <a:xfrm>
          <a:off x="1706726" y="1069300"/>
          <a:ext cx="1318026" cy="922575"/>
        </a:xfrm>
        <a:prstGeom prst="roundRect">
          <a:avLst>
            <a:gd name="adj" fmla="val 16670"/>
          </a:avLst>
        </a:prstGeom>
        <a:gradFill rotWithShape="0">
          <a:gsLst>
            <a:gs pos="0">
              <a:schemeClr val="accent3">
                <a:hueOff val="0"/>
                <a:satOff val="0"/>
                <a:lumOff val="0"/>
                <a:alphaOff val="0"/>
                <a:shade val="51000"/>
                <a:satMod val="130000"/>
              </a:schemeClr>
            </a:gs>
            <a:gs pos="80000">
              <a:schemeClr val="accent3">
                <a:hueOff val="0"/>
                <a:satOff val="0"/>
                <a:lumOff val="0"/>
                <a:alphaOff val="0"/>
                <a:shade val="93000"/>
                <a:satMod val="130000"/>
              </a:schemeClr>
            </a:gs>
            <a:gs pos="100000">
              <a:schemeClr val="accent3">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l" defTabSz="444500">
            <a:lnSpc>
              <a:spcPct val="90000"/>
            </a:lnSpc>
            <a:spcBef>
              <a:spcPct val="0"/>
            </a:spcBef>
            <a:spcAft>
              <a:spcPct val="35000"/>
            </a:spcAft>
            <a:buNone/>
          </a:pPr>
          <a:r>
            <a:rPr lang="es-CO" sz="1000" b="1" kern="1200" dirty="0"/>
            <a:t>Clasificación y selección de las cargas ambientales</a:t>
          </a:r>
        </a:p>
      </dsp:txBody>
      <dsp:txXfrm>
        <a:off x="1751771" y="1114345"/>
        <a:ext cx="1227936" cy="832485"/>
      </dsp:txXfrm>
    </dsp:sp>
    <dsp:sp modelId="{3DF63D40-31C5-467F-B4B4-69CC917140B3}">
      <dsp:nvSpPr>
        <dsp:cNvPr id="0" name=""/>
        <dsp:cNvSpPr/>
      </dsp:nvSpPr>
      <dsp:spPr>
        <a:xfrm>
          <a:off x="3079562" y="1069763"/>
          <a:ext cx="3178538" cy="937496"/>
        </a:xfrm>
        <a:prstGeom prst="rect">
          <a:avLst/>
        </a:prstGeom>
        <a:solidFill>
          <a:schemeClr val="accent3">
            <a:lumMod val="40000"/>
            <a:lumOff val="60000"/>
          </a:schemeClr>
        </a:solidFill>
        <a:ln>
          <a:noFill/>
        </a:ln>
        <a:effectLst/>
      </dsp:spPr>
      <dsp:style>
        <a:lnRef idx="0">
          <a:scrgbClr r="0" g="0" b="0"/>
        </a:lnRef>
        <a:fillRef idx="0">
          <a:scrgbClr r="0" g="0" b="0"/>
        </a:fillRef>
        <a:effectRef idx="0">
          <a:scrgbClr r="0" g="0" b="0"/>
        </a:effectRef>
        <a:fontRef idx="minor"/>
      </dsp:style>
      <dsp:txBody>
        <a:bodyPr spcFirstLastPara="0" vert="horz" wrap="square" lIns="38100" tIns="38100" rIns="38100" bIns="38100" numCol="1" spcCol="1270" anchor="ctr" anchorCtr="0">
          <a:noAutofit/>
        </a:bodyPr>
        <a:lstStyle/>
        <a:p>
          <a:pPr marL="57150" lvl="1" indent="-57150" algn="l" defTabSz="444500">
            <a:lnSpc>
              <a:spcPct val="90000"/>
            </a:lnSpc>
            <a:spcBef>
              <a:spcPct val="0"/>
            </a:spcBef>
            <a:spcAft>
              <a:spcPct val="15000"/>
            </a:spcAft>
            <a:buChar char="•"/>
          </a:pPr>
          <a:r>
            <a:rPr lang="es-CO" sz="1000" kern="1200" dirty="0"/>
            <a:t>Seleccionar las cargas ambientales asociadas a los aspectos identificados para la organización, para lo cual se puede tener en cuenta el producto de la visita técnica  No. 1 de huella de carbono.</a:t>
          </a:r>
        </a:p>
      </dsp:txBody>
      <dsp:txXfrm>
        <a:off x="3079562" y="1069763"/>
        <a:ext cx="3178538" cy="937496"/>
      </dsp:txXfrm>
    </dsp:sp>
    <dsp:sp modelId="{0DA851C5-895D-4DDA-B718-5B83BF5E2A13}">
      <dsp:nvSpPr>
        <dsp:cNvPr id="0" name=""/>
        <dsp:cNvSpPr/>
      </dsp:nvSpPr>
      <dsp:spPr>
        <a:xfrm rot="5400000">
          <a:off x="3801863" y="3041909"/>
          <a:ext cx="782949" cy="891360"/>
        </a:xfrm>
        <a:prstGeom prst="bentUpArrow">
          <a:avLst>
            <a:gd name="adj1" fmla="val 32840"/>
            <a:gd name="adj2" fmla="val 25000"/>
            <a:gd name="adj3" fmla="val 35780"/>
          </a:avLst>
        </a:prstGeom>
        <a:solidFill>
          <a:schemeClr val="accent4">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65DAA22A-E297-4895-9749-B1CCA6D0D05C}">
      <dsp:nvSpPr>
        <dsp:cNvPr id="0" name=""/>
        <dsp:cNvSpPr/>
      </dsp:nvSpPr>
      <dsp:spPr>
        <a:xfrm>
          <a:off x="3105225" y="2173994"/>
          <a:ext cx="1318026" cy="922575"/>
        </a:xfrm>
        <a:prstGeom prst="roundRect">
          <a:avLst>
            <a:gd name="adj" fmla="val 16670"/>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l" defTabSz="444500">
            <a:lnSpc>
              <a:spcPct val="90000"/>
            </a:lnSpc>
            <a:spcBef>
              <a:spcPct val="0"/>
            </a:spcBef>
            <a:spcAft>
              <a:spcPct val="35000"/>
            </a:spcAft>
            <a:buNone/>
          </a:pPr>
          <a:r>
            <a:rPr lang="es-CO" sz="1000" b="1" kern="1200" dirty="0"/>
            <a:t>Caracterización de la información recibida</a:t>
          </a:r>
        </a:p>
      </dsp:txBody>
      <dsp:txXfrm>
        <a:off x="3150270" y="2219039"/>
        <a:ext cx="1227936" cy="832485"/>
      </dsp:txXfrm>
    </dsp:sp>
    <dsp:sp modelId="{100F53C7-D896-42A0-A9C5-5FBCAE795958}">
      <dsp:nvSpPr>
        <dsp:cNvPr id="0" name=""/>
        <dsp:cNvSpPr/>
      </dsp:nvSpPr>
      <dsp:spPr>
        <a:xfrm>
          <a:off x="4479652" y="2089491"/>
          <a:ext cx="2792958" cy="1058316"/>
        </a:xfrm>
        <a:prstGeom prst="rect">
          <a:avLst/>
        </a:prstGeom>
        <a:solidFill>
          <a:schemeClr val="accent4">
            <a:lumMod val="40000"/>
            <a:lumOff val="60000"/>
          </a:schemeClr>
        </a:solidFill>
        <a:ln>
          <a:noFill/>
        </a:ln>
        <a:effectLst/>
      </dsp:spPr>
      <dsp:style>
        <a:lnRef idx="0">
          <a:scrgbClr r="0" g="0" b="0"/>
        </a:lnRef>
        <a:fillRef idx="0">
          <a:scrgbClr r="0" g="0" b="0"/>
        </a:fillRef>
        <a:effectRef idx="0">
          <a:scrgbClr r="0" g="0" b="0"/>
        </a:effectRef>
        <a:fontRef idx="minor"/>
      </dsp:style>
      <dsp:txBody>
        <a:bodyPr spcFirstLastPara="0" vert="horz" wrap="square" lIns="38100" tIns="38100" rIns="38100" bIns="38100" numCol="1" spcCol="1270" anchor="ctr" anchorCtr="0">
          <a:noAutofit/>
        </a:bodyPr>
        <a:lstStyle/>
        <a:p>
          <a:pPr marL="57150" lvl="1" indent="-57150" algn="l" defTabSz="444500">
            <a:lnSpc>
              <a:spcPct val="90000"/>
            </a:lnSpc>
            <a:spcBef>
              <a:spcPct val="0"/>
            </a:spcBef>
            <a:spcAft>
              <a:spcPct val="15000"/>
            </a:spcAft>
            <a:buChar char="•"/>
          </a:pPr>
          <a:r>
            <a:rPr lang="es-CO" sz="1000" kern="1200" dirty="0"/>
            <a:t>Identificar aspectos relacionados con el flujo de la información como: origen, responsables de registro, reporte, soportes, revisiones, y acciones de mejoras implementadas para garantizar el funcionamiento del sistema.</a:t>
          </a:r>
        </a:p>
      </dsp:txBody>
      <dsp:txXfrm>
        <a:off x="4479652" y="2089491"/>
        <a:ext cx="2792958" cy="1058316"/>
      </dsp:txXfrm>
    </dsp:sp>
    <dsp:sp modelId="{B119A5A8-E654-4653-B2E3-84958CB25550}">
      <dsp:nvSpPr>
        <dsp:cNvPr id="0" name=""/>
        <dsp:cNvSpPr/>
      </dsp:nvSpPr>
      <dsp:spPr>
        <a:xfrm rot="5400000">
          <a:off x="5699480" y="4078266"/>
          <a:ext cx="782949" cy="891360"/>
        </a:xfrm>
        <a:prstGeom prst="bentUpArrow">
          <a:avLst>
            <a:gd name="adj1" fmla="val 32840"/>
            <a:gd name="adj2" fmla="val 25000"/>
            <a:gd name="adj3" fmla="val 35780"/>
          </a:avLst>
        </a:prstGeom>
        <a:solidFill>
          <a:schemeClr val="accent1">
            <a:lumMod val="40000"/>
            <a:lumOff val="60000"/>
          </a:schemeClr>
        </a:solidFill>
        <a:ln>
          <a:noFill/>
        </a:ln>
        <a:effectLst/>
        <a:scene3d>
          <a:camera prst="orthographicFront"/>
          <a:lightRig rig="threePt" dir="t">
            <a:rot lat="0" lon="0" rev="7500000"/>
          </a:lightRig>
        </a:scene3d>
        <a:sp3d z="254000" extrusionH="63500" contourW="12700" prstMaterial="matte">
          <a:contourClr>
            <a:schemeClr val="lt1"/>
          </a:contourClr>
        </a:sp3d>
      </dsp:spPr>
      <dsp:style>
        <a:lnRef idx="0">
          <a:scrgbClr r="0" g="0" b="0"/>
        </a:lnRef>
        <a:fillRef idx="1">
          <a:scrgbClr r="0" g="0" b="0"/>
        </a:fillRef>
        <a:effectRef idx="0">
          <a:scrgbClr r="0" g="0" b="0"/>
        </a:effectRef>
        <a:fontRef idx="minor"/>
      </dsp:style>
    </dsp:sp>
    <dsp:sp modelId="{E0E0F27B-B4D0-4E2D-B47F-9880F55D4B17}">
      <dsp:nvSpPr>
        <dsp:cNvPr id="0" name=""/>
        <dsp:cNvSpPr/>
      </dsp:nvSpPr>
      <dsp:spPr>
        <a:xfrm>
          <a:off x="4667673" y="3210351"/>
          <a:ext cx="1514517" cy="922575"/>
        </a:xfrm>
        <a:prstGeom prst="roundRect">
          <a:avLst>
            <a:gd name="adj" fmla="val 1667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l" defTabSz="444500">
            <a:lnSpc>
              <a:spcPct val="90000"/>
            </a:lnSpc>
            <a:spcBef>
              <a:spcPct val="0"/>
            </a:spcBef>
            <a:spcAft>
              <a:spcPct val="35000"/>
            </a:spcAft>
            <a:buNone/>
          </a:pPr>
          <a:r>
            <a:rPr lang="es-CO" sz="1000" b="1" kern="1200" dirty="0"/>
            <a:t>Consolidación de información  para el reporte de Huella de Carbono </a:t>
          </a:r>
        </a:p>
      </dsp:txBody>
      <dsp:txXfrm>
        <a:off x="4712718" y="3255396"/>
        <a:ext cx="1424427" cy="832485"/>
      </dsp:txXfrm>
    </dsp:sp>
    <dsp:sp modelId="{2FE27063-B36B-4D1B-BCE7-25DBA02F5A3C}">
      <dsp:nvSpPr>
        <dsp:cNvPr id="0" name=""/>
        <dsp:cNvSpPr/>
      </dsp:nvSpPr>
      <dsp:spPr>
        <a:xfrm>
          <a:off x="6810072" y="3298339"/>
          <a:ext cx="958606" cy="745666"/>
        </a:xfrm>
        <a:prstGeom prst="rect">
          <a:avLst/>
        </a:prstGeom>
        <a:noFill/>
        <a:ln>
          <a:noFill/>
        </a:ln>
        <a:effectLst/>
      </dsp:spPr>
      <dsp:style>
        <a:lnRef idx="0">
          <a:scrgbClr r="0" g="0" b="0"/>
        </a:lnRef>
        <a:fillRef idx="0">
          <a:scrgbClr r="0" g="0" b="0"/>
        </a:fillRef>
        <a:effectRef idx="0">
          <a:scrgbClr r="0" g="0" b="0"/>
        </a:effectRef>
        <a:fontRef idx="minor"/>
      </dsp:style>
    </dsp:sp>
    <dsp:sp modelId="{5E8D2394-5CCA-4C78-9D12-A3F7F661926B}">
      <dsp:nvSpPr>
        <dsp:cNvPr id="0" name=""/>
        <dsp:cNvSpPr/>
      </dsp:nvSpPr>
      <dsp:spPr>
        <a:xfrm>
          <a:off x="6648041" y="4246707"/>
          <a:ext cx="1318026" cy="922575"/>
        </a:xfrm>
        <a:prstGeom prst="roundRect">
          <a:avLst>
            <a:gd name="adj" fmla="val 16670"/>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lightRig rig="threePt" dir="t">
            <a:rot lat="0" lon="0" rev="7500000"/>
          </a:lightRig>
        </a:scene3d>
        <a:sp3d prstMaterial="plastic">
          <a:bevelT w="127000" h="25400" prst="relaxedInset"/>
        </a:sp3d>
      </dsp:spPr>
      <dsp:style>
        <a:lnRef idx="0">
          <a:scrgbClr r="0" g="0" b="0"/>
        </a:lnRef>
        <a:fillRef idx="3">
          <a:scrgbClr r="0" g="0" b="0"/>
        </a:fillRef>
        <a:effectRef idx="2">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l" defTabSz="444500">
            <a:lnSpc>
              <a:spcPct val="90000"/>
            </a:lnSpc>
            <a:spcBef>
              <a:spcPct val="0"/>
            </a:spcBef>
            <a:spcAft>
              <a:spcPct val="35000"/>
            </a:spcAft>
            <a:buNone/>
          </a:pPr>
          <a:r>
            <a:rPr lang="es-CO" sz="1000" b="1" kern="1200" dirty="0"/>
            <a:t>Diligenciamiento de la  Herramienta de Calculo de la Huella de Carbono e incertidumbre. </a:t>
          </a:r>
        </a:p>
      </dsp:txBody>
      <dsp:txXfrm>
        <a:off x="6693086" y="4291752"/>
        <a:ext cx="1227936" cy="832485"/>
      </dsp:txXfrm>
    </dsp:sp>
  </dsp:spTree>
</dsp:drawing>
</file>

<file path=xl/diagrams/layout1.xml><?xml version="1.0" encoding="utf-8"?>
<dgm:layoutDef xmlns:dgm="http://schemas.openxmlformats.org/drawingml/2006/diagram" xmlns:a="http://schemas.openxmlformats.org/drawingml/2006/main" uniqueId="urn:microsoft.com/office/officeart/2005/8/layout/StepDownProcess">
  <dgm:title val=""/>
  <dgm:desc val=""/>
  <dgm:catLst>
    <dgm:cat type="process" pri="1600"/>
  </dgm:catLst>
  <dgm:sampData>
    <dgm:dataModel>
      <dgm:ptLst>
        <dgm:pt modelId="0" type="doc"/>
        <dgm:pt modelId="10">
          <dgm:prSet phldr="1"/>
        </dgm:pt>
        <dgm:pt modelId="11">
          <dgm:prSet phldr="1"/>
        </dgm:pt>
        <dgm:pt modelId="20">
          <dgm:prSet phldr="1"/>
        </dgm:pt>
        <dgm:pt modelId="21">
          <dgm:prSet phldr="1"/>
        </dgm:pt>
        <dgm:pt modelId="30">
          <dgm:prSet phldr="1"/>
        </dgm:pt>
        <dgm:pt modelId="31">
          <dgm:prSet phldr="1"/>
        </dgm:pt>
      </dgm:ptLst>
      <dgm:cxnLst>
        <dgm:cxn modelId="60" srcId="0" destId="10" srcOrd="0" destOrd="0"/>
        <dgm:cxn modelId="12" srcId="10" destId="11" srcOrd="0" destOrd="0"/>
        <dgm:cxn modelId="70" srcId="0" destId="20" srcOrd="1" destOrd="0"/>
        <dgm:cxn modelId="22" srcId="20" destId="21" srcOrd="0" destOrd="0"/>
        <dgm:cxn modelId="80" srcId="0" destId="30" srcOrd="2" destOrd="0"/>
        <dgm:cxn modelId="32" srcId="30" destId="31" srcOrd="0" destOrd="0"/>
      </dgm:cxnLst>
      <dgm:bg/>
      <dgm:whole/>
    </dgm:dataModel>
  </dgm:sampData>
  <dgm:styleData>
    <dgm:dataModel>
      <dgm:ptLst>
        <dgm:pt modelId="0" type="doc"/>
        <dgm:pt modelId="10">
          <dgm:prSet phldr="1"/>
        </dgm:pt>
        <dgm:pt modelId="20">
          <dgm:prSet phldr="1"/>
        </dgm:pt>
      </dgm:ptLst>
      <dgm:cxnLst>
        <dgm:cxn modelId="60" srcId="0" destId="10" srcOrd="0" destOrd="0"/>
        <dgm:cxn modelId="70" srcId="0" destId="20" srcOrd="1" destOrd="0"/>
      </dgm:cxnLst>
      <dgm:bg/>
      <dgm:whole/>
    </dgm:dataModel>
  </dgm:styleData>
  <dgm:clrData>
    <dgm:dataModel>
      <dgm:ptLst>
        <dgm:pt modelId="0" type="doc"/>
        <dgm:pt modelId="10">
          <dgm:prSet phldr="1"/>
        </dgm:pt>
        <dgm:pt modelId="20">
          <dgm:prSet phldr="1"/>
        </dgm:pt>
        <dgm:pt modelId="30">
          <dgm:prSet phldr="1"/>
        </dgm:pt>
        <dgm:pt modelId="40">
          <dgm:prSet phldr="1"/>
        </dgm:pt>
      </dgm:ptLst>
      <dgm:cxnLst>
        <dgm:cxn modelId="60" srcId="0" destId="10" srcOrd="0" destOrd="0"/>
        <dgm:cxn modelId="70" srcId="0" destId="20" srcOrd="1" destOrd="0"/>
        <dgm:cxn modelId="80" srcId="0" destId="30" srcOrd="2" destOrd="0"/>
        <dgm:cxn modelId="90" srcId="0" destId="40" srcOrd="3" destOrd="0"/>
      </dgm:cxnLst>
      <dgm:bg/>
      <dgm:whole/>
    </dgm:dataModel>
  </dgm:clrData>
  <dgm:layoutNode name="rootnode">
    <dgm:varLst>
      <dgm:chMax/>
      <dgm:chPref/>
      <dgm:dir/>
      <dgm:animLvl val="lvl"/>
    </dgm:varLst>
    <dgm:choose name="Name0">
      <dgm:if name="Name1" func="var" arg="dir" op="equ" val="norm">
        <dgm:alg type="snake">
          <dgm:param type="grDir" val="tL"/>
          <dgm:param type="flowDir" val="row"/>
          <dgm:param type="off" val="off"/>
          <dgm:param type="bkpt" val="fixed"/>
          <dgm:param type="bkPtFixedVal" val="1"/>
        </dgm:alg>
      </dgm:if>
      <dgm:else name="Name2">
        <dgm:alg type="snake">
          <dgm:param type="grDir" val="tR"/>
          <dgm:param type="flowDir" val="row"/>
          <dgm:param type="off" val="off"/>
          <dgm:param type="bkpt" val="fixed"/>
          <dgm:param type="bkPtFixedVal" val="1"/>
        </dgm:alg>
      </dgm:else>
    </dgm:choose>
    <dgm:shape xmlns:r="http://schemas.openxmlformats.org/officeDocument/2006/relationships" r:blip="">
      <dgm:adjLst/>
    </dgm:shape>
    <dgm:choose name="Name3">
      <dgm:if name="Name4" func="var" arg="dir" op="equ" val="norm">
        <dgm:constrLst>
          <dgm:constr type="alignOff" forName="rootnode" val="0.48"/>
          <dgm:constr type="primFontSz" for="des" forName="ParentText" val="65"/>
          <dgm:constr type="primFontSz" for="des" forName="ChildText" refType="primFontSz" refFor="des" refForName="ParentText" op="lte"/>
          <dgm:constr type="w" for="ch" forName="composite" refType="w"/>
          <dgm:constr type="h" for="ch" forName="composite" refType="h"/>
          <dgm:constr type="sp" refType="h" refFor="ch" refForName="composite" op="equ" fact="-0.38"/>
        </dgm:constrLst>
      </dgm:if>
      <dgm:else name="Name5">
        <dgm:constrLst>
          <dgm:constr type="alignOff" forName="rootnode" val="0.48"/>
          <dgm:constr type="primFontSz" for="des" forName="ParentText" val="65"/>
          <dgm:constr type="primFontSz" for="des" forName="ChildText" refType="primFontSz" refFor="des" refForName="ParentText" op="lte"/>
          <dgm:constr type="w" for="ch" forName="composite" refType="w"/>
          <dgm:constr type="h" for="ch" forName="composite" refType="h"/>
          <dgm:constr type="sp" refType="h" refFor="ch" refForName="composite" op="equ" fact="-0.38"/>
        </dgm:constrLst>
      </dgm:else>
    </dgm:choose>
    <dgm:forEach name="nodesForEach" axis="ch" ptType="node">
      <dgm:layoutNode name="composite">
        <dgm:alg type="composite">
          <dgm:param type="ar" val="1.2439"/>
        </dgm:alg>
        <dgm:shape xmlns:r="http://schemas.openxmlformats.org/officeDocument/2006/relationships" r:blip="">
          <dgm:adjLst/>
        </dgm:shape>
        <dgm:choose name="Name6">
          <dgm:if name="Name7" func="var" arg="dir" op="equ" val="norm">
            <dgm:constrLst>
              <dgm:constr type="l" for="ch" forName="bentUpArrow1" refType="w" fact="0.07"/>
              <dgm:constr type="t" for="ch" forName="bentUpArrow1" refType="h" fact="0.524"/>
              <dgm:constr type="w" for="ch" forName="bentUpArrow1" refType="w" fact="0.3844"/>
              <dgm:constr type="h" for="ch" forName="bentUpArrow1" refType="h" fact="0.42"/>
              <dgm:constr type="l" for="ch" forName="ParentText" refType="w" fact="0"/>
              <dgm:constr type="t" for="ch" forName="ParentText" refType="h" fact="0"/>
              <dgm:constr type="w" for="ch" forName="ParentText" refType="w" fact="0.5684"/>
              <dgm:constr type="h" for="ch" forName="ParentText" refType="h" fact="0.4949"/>
              <dgm:constr type="l" for="ch" forName="ChildText" refType="w" refFor="ch" refForName="ParentText"/>
              <dgm:constr type="t" for="ch" forName="ChildText" refType="h" fact="0.05"/>
              <dgm:constr type="w" for="ch" forName="ChildText" refType="w" fact="0.4134"/>
              <dgm:constr type="h" for="ch" forName="ChildText" refType="h" fact="0.4"/>
              <dgm:constr type="l" for="ch" forName="FinalChildText" refType="w" refFor="ch" refForName="ParentText"/>
              <dgm:constr type="t" for="ch" forName="FinalChildText" refType="h" fact="0.05"/>
              <dgm:constr type="w" for="ch" forName="FinalChildText" refType="w" fact="0.4134"/>
              <dgm:constr type="h" for="ch" forName="FinalChildText" refType="h" fact="0.4"/>
            </dgm:constrLst>
          </dgm:if>
          <dgm:else name="Name8">
            <dgm:constrLst>
              <dgm:constr type="r" for="ch" forName="bentUpArrow1" refType="w" fact="0.97"/>
              <dgm:constr type="t" for="ch" forName="bentUpArrow1" refType="h" fact="0.524"/>
              <dgm:constr type="w" for="ch" forName="bentUpArrow1" refType="w" fact="0.3844"/>
              <dgm:constr type="h" for="ch" forName="bentUpArrow1" refType="h" fact="0.42"/>
              <dgm:constr type="l" for="ch" forName="ParentText" refType="w" fact="0.4316"/>
              <dgm:constr type="t" for="ch" forName="ParentText" refType="h" fact="0"/>
              <dgm:constr type="w" for="ch" forName="ParentText" refType="w" fact="0.5684"/>
              <dgm:constr type="h" for="ch" forName="ParentText" refType="h" fact="0.4949"/>
              <dgm:constr type="l" for="ch" forName="ChildText" refType="w" fact="0"/>
              <dgm:constr type="t" for="ch" forName="ChildText" refType="h" fact="0.05"/>
              <dgm:constr type="w" for="ch" forName="ChildText" refType="w" fact="0.4134"/>
              <dgm:constr type="h" for="ch" forName="ChildText" refType="h" fact="0.4"/>
              <dgm:constr type="l" for="ch" forName="FinalChildText" refType="w" fact="0"/>
              <dgm:constr type="t" for="ch" forName="FinalChildText" refType="h" fact="0.05"/>
              <dgm:constr type="w" for="ch" forName="FinalChildText" refType="w" fact="0.4134"/>
              <dgm:constr type="h" for="ch" forName="FinalChildText" refType="h" fact="0.4"/>
            </dgm:constrLst>
          </dgm:else>
        </dgm:choose>
        <dgm:choose name="Name9">
          <dgm:if name="Name10" axis="followSib" ptType="node" func="cnt" op="gte" val="1">
            <dgm:layoutNode name="bentUpArrow1" styleLbl="alignImgPlace1">
              <dgm:alg type="sp"/>
              <dgm:choose name="Name11">
                <dgm:if name="Name12" func="var" arg="dir" op="equ" val="norm">
                  <dgm:shape xmlns:r="http://schemas.openxmlformats.org/officeDocument/2006/relationships" rot="90" type="bentUpArrow" r:blip="">
                    <dgm:adjLst>
                      <dgm:adj idx="1" val="0.3284"/>
                      <dgm:adj idx="2" val="0.25"/>
                      <dgm:adj idx="3" val="0.3578"/>
                    </dgm:adjLst>
                  </dgm:shape>
                </dgm:if>
                <dgm:else name="Name13">
                  <dgm:shape xmlns:r="http://schemas.openxmlformats.org/officeDocument/2006/relationships" rot="180" type="bentArrow" r:blip="">
                    <dgm:adjLst>
                      <dgm:adj idx="1" val="0.3284"/>
                      <dgm:adj idx="2" val="0.25"/>
                      <dgm:adj idx="3" val="0.3578"/>
                      <dgm:adj idx="4" val="0"/>
                    </dgm:adjLst>
                  </dgm:shape>
                </dgm:else>
              </dgm:choose>
              <dgm:presOf/>
            </dgm:layoutNode>
          </dgm:if>
          <dgm:else name="Name14"/>
        </dgm:choose>
        <dgm:layoutNode name="ParentText" styleLbl="node1">
          <dgm:varLst>
            <dgm:chMax val="1"/>
            <dgm:chPref val="1"/>
            <dgm:bulletEnabled val="1"/>
          </dgm:varLst>
          <dgm:alg type="tx"/>
          <dgm:shape xmlns:r="http://schemas.openxmlformats.org/officeDocument/2006/relationships" type="roundRect" r:blip="">
            <dgm:adjLst>
              <dgm:adj idx="1" val="0.1667"/>
            </dgm:adjLst>
          </dgm:shape>
          <dgm:presOf axis="self"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choose name="Name15">
          <dgm:if name="Name16" axis="followSib" ptType="node" func="cnt" op="equ" val="0">
            <dgm:choose name="Name17">
              <dgm:if name="Name18" axis="ch" ptType="node" func="cnt" op="gte" val="1">
                <dgm:layoutNode name="FinalChildText" styleLbl="revTx">
                  <dgm:varLst>
                    <dgm:chMax val="0"/>
                    <dgm:chPref val="0"/>
                    <dgm:bulletEnabled val="1"/>
                  </dgm:varLst>
                  <dgm:alg type="tx">
                    <dgm:param type="stBulletLvl" val="1"/>
                    <dgm:param type="txAnchorVertCh" val="mid"/>
                    <dgm:param type="parTxLTRAlign" val="l"/>
                  </dgm:alg>
                  <dgm:shape xmlns:r="http://schemas.openxmlformats.org/officeDocument/2006/relationships" type="rect" r:blip="">
                    <dgm:adjLst/>
                  </dgm:shape>
                  <dgm:presOf axis="des"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19"/>
            </dgm:choose>
          </dgm:if>
          <dgm:else name="Name20">
            <dgm:layoutNode name="ChildText" styleLbl="revTx">
              <dgm:varLst>
                <dgm:chMax val="0"/>
                <dgm:chPref val="0"/>
                <dgm:bulletEnabled val="1"/>
              </dgm:varLst>
              <dgm:alg type="tx">
                <dgm:param type="stBulletLvl" val="1"/>
                <dgm:param type="txAnchorVertCh" val="mid"/>
                <dgm:param type="parTxLTRAlign" val="l"/>
              </dgm:alg>
              <dgm:shape xmlns:r="http://schemas.openxmlformats.org/officeDocument/2006/relationships" type="rect" r:blip="">
                <dgm:adjLst/>
              </dgm:shape>
              <dgm:presOf axis="des"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else>
        </dgm:choose>
      </dgm:layoutNode>
      <dgm:forEach name="sibTransForEach" axis="followSib" ptType="sibTrans" cnt="1">
        <dgm:layoutNode name="sibTrans">
          <dgm:alg type="sp"/>
          <dgm:shape xmlns:r="http://schemas.openxmlformats.org/officeDocument/2006/relationships" r:blip="">
            <dgm:adjLst/>
          </dgm:shape>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5/8/layout/StepDownProcess">
  <dgm:title val=""/>
  <dgm:desc val=""/>
  <dgm:catLst>
    <dgm:cat type="process" pri="1600"/>
  </dgm:catLst>
  <dgm:sampData>
    <dgm:dataModel>
      <dgm:ptLst>
        <dgm:pt modelId="0" type="doc"/>
        <dgm:pt modelId="10">
          <dgm:prSet phldr="1"/>
        </dgm:pt>
        <dgm:pt modelId="11">
          <dgm:prSet phldr="1"/>
        </dgm:pt>
        <dgm:pt modelId="20">
          <dgm:prSet phldr="1"/>
        </dgm:pt>
        <dgm:pt modelId="21">
          <dgm:prSet phldr="1"/>
        </dgm:pt>
        <dgm:pt modelId="30">
          <dgm:prSet phldr="1"/>
        </dgm:pt>
        <dgm:pt modelId="31">
          <dgm:prSet phldr="1"/>
        </dgm:pt>
      </dgm:ptLst>
      <dgm:cxnLst>
        <dgm:cxn modelId="60" srcId="0" destId="10" srcOrd="0" destOrd="0"/>
        <dgm:cxn modelId="12" srcId="10" destId="11" srcOrd="0" destOrd="0"/>
        <dgm:cxn modelId="70" srcId="0" destId="20" srcOrd="1" destOrd="0"/>
        <dgm:cxn modelId="22" srcId="20" destId="21" srcOrd="0" destOrd="0"/>
        <dgm:cxn modelId="80" srcId="0" destId="30" srcOrd="2" destOrd="0"/>
        <dgm:cxn modelId="32" srcId="30" destId="31" srcOrd="0" destOrd="0"/>
      </dgm:cxnLst>
      <dgm:bg/>
      <dgm:whole/>
    </dgm:dataModel>
  </dgm:sampData>
  <dgm:styleData>
    <dgm:dataModel>
      <dgm:ptLst>
        <dgm:pt modelId="0" type="doc"/>
        <dgm:pt modelId="10">
          <dgm:prSet phldr="1"/>
        </dgm:pt>
        <dgm:pt modelId="20">
          <dgm:prSet phldr="1"/>
        </dgm:pt>
      </dgm:ptLst>
      <dgm:cxnLst>
        <dgm:cxn modelId="60" srcId="0" destId="10" srcOrd="0" destOrd="0"/>
        <dgm:cxn modelId="70" srcId="0" destId="20" srcOrd="1" destOrd="0"/>
      </dgm:cxnLst>
      <dgm:bg/>
      <dgm:whole/>
    </dgm:dataModel>
  </dgm:styleData>
  <dgm:clrData>
    <dgm:dataModel>
      <dgm:ptLst>
        <dgm:pt modelId="0" type="doc"/>
        <dgm:pt modelId="10">
          <dgm:prSet phldr="1"/>
        </dgm:pt>
        <dgm:pt modelId="20">
          <dgm:prSet phldr="1"/>
        </dgm:pt>
        <dgm:pt modelId="30">
          <dgm:prSet phldr="1"/>
        </dgm:pt>
        <dgm:pt modelId="40">
          <dgm:prSet phldr="1"/>
        </dgm:pt>
      </dgm:ptLst>
      <dgm:cxnLst>
        <dgm:cxn modelId="60" srcId="0" destId="10" srcOrd="0" destOrd="0"/>
        <dgm:cxn modelId="70" srcId="0" destId="20" srcOrd="1" destOrd="0"/>
        <dgm:cxn modelId="80" srcId="0" destId="30" srcOrd="2" destOrd="0"/>
        <dgm:cxn modelId="90" srcId="0" destId="40" srcOrd="3" destOrd="0"/>
      </dgm:cxnLst>
      <dgm:bg/>
      <dgm:whole/>
    </dgm:dataModel>
  </dgm:clrData>
  <dgm:layoutNode name="rootnode">
    <dgm:varLst>
      <dgm:chMax/>
      <dgm:chPref/>
      <dgm:dir/>
      <dgm:animLvl val="lvl"/>
    </dgm:varLst>
    <dgm:choose name="Name0">
      <dgm:if name="Name1" func="var" arg="dir" op="equ" val="norm">
        <dgm:alg type="snake">
          <dgm:param type="grDir" val="tL"/>
          <dgm:param type="flowDir" val="row"/>
          <dgm:param type="off" val="off"/>
          <dgm:param type="bkpt" val="fixed"/>
          <dgm:param type="bkPtFixedVal" val="1"/>
        </dgm:alg>
      </dgm:if>
      <dgm:else name="Name2">
        <dgm:alg type="snake">
          <dgm:param type="grDir" val="tR"/>
          <dgm:param type="flowDir" val="row"/>
          <dgm:param type="off" val="off"/>
          <dgm:param type="bkpt" val="fixed"/>
          <dgm:param type="bkPtFixedVal" val="1"/>
        </dgm:alg>
      </dgm:else>
    </dgm:choose>
    <dgm:shape xmlns:r="http://schemas.openxmlformats.org/officeDocument/2006/relationships" r:blip="">
      <dgm:adjLst/>
    </dgm:shape>
    <dgm:choose name="Name3">
      <dgm:if name="Name4" func="var" arg="dir" op="equ" val="norm">
        <dgm:constrLst>
          <dgm:constr type="alignOff" forName="rootnode" val="0.48"/>
          <dgm:constr type="primFontSz" for="des" forName="ParentText" val="65"/>
          <dgm:constr type="primFontSz" for="des" forName="ChildText" refType="primFontSz" refFor="des" refForName="ParentText" op="lte"/>
          <dgm:constr type="w" for="ch" forName="composite" refType="w"/>
          <dgm:constr type="h" for="ch" forName="composite" refType="h"/>
          <dgm:constr type="sp" refType="h" refFor="ch" refForName="composite" op="equ" fact="-0.38"/>
        </dgm:constrLst>
      </dgm:if>
      <dgm:else name="Name5">
        <dgm:constrLst>
          <dgm:constr type="alignOff" forName="rootnode" val="0.48"/>
          <dgm:constr type="primFontSz" for="des" forName="ParentText" val="65"/>
          <dgm:constr type="primFontSz" for="des" forName="ChildText" refType="primFontSz" refFor="des" refForName="ParentText" op="lte"/>
          <dgm:constr type="w" for="ch" forName="composite" refType="w"/>
          <dgm:constr type="h" for="ch" forName="composite" refType="h"/>
          <dgm:constr type="sp" refType="h" refFor="ch" refForName="composite" op="equ" fact="-0.38"/>
        </dgm:constrLst>
      </dgm:else>
    </dgm:choose>
    <dgm:forEach name="nodesForEach" axis="ch" ptType="node">
      <dgm:layoutNode name="composite">
        <dgm:alg type="composite">
          <dgm:param type="ar" val="1.2439"/>
        </dgm:alg>
        <dgm:shape xmlns:r="http://schemas.openxmlformats.org/officeDocument/2006/relationships" r:blip="">
          <dgm:adjLst/>
        </dgm:shape>
        <dgm:choose name="Name6">
          <dgm:if name="Name7" func="var" arg="dir" op="equ" val="norm">
            <dgm:constrLst>
              <dgm:constr type="l" for="ch" forName="bentUpArrow1" refType="w" fact="0.07"/>
              <dgm:constr type="t" for="ch" forName="bentUpArrow1" refType="h" fact="0.524"/>
              <dgm:constr type="w" for="ch" forName="bentUpArrow1" refType="w" fact="0.3844"/>
              <dgm:constr type="h" for="ch" forName="bentUpArrow1" refType="h" fact="0.42"/>
              <dgm:constr type="l" for="ch" forName="ParentText" refType="w" fact="0"/>
              <dgm:constr type="t" for="ch" forName="ParentText" refType="h" fact="0"/>
              <dgm:constr type="w" for="ch" forName="ParentText" refType="w" fact="0.5684"/>
              <dgm:constr type="h" for="ch" forName="ParentText" refType="h" fact="0.4949"/>
              <dgm:constr type="l" for="ch" forName="ChildText" refType="w" refFor="ch" refForName="ParentText"/>
              <dgm:constr type="t" for="ch" forName="ChildText" refType="h" fact="0.05"/>
              <dgm:constr type="w" for="ch" forName="ChildText" refType="w" fact="0.4134"/>
              <dgm:constr type="h" for="ch" forName="ChildText" refType="h" fact="0.4"/>
              <dgm:constr type="l" for="ch" forName="FinalChildText" refType="w" refFor="ch" refForName="ParentText"/>
              <dgm:constr type="t" for="ch" forName="FinalChildText" refType="h" fact="0.05"/>
              <dgm:constr type="w" for="ch" forName="FinalChildText" refType="w" fact="0.4134"/>
              <dgm:constr type="h" for="ch" forName="FinalChildText" refType="h" fact="0.4"/>
            </dgm:constrLst>
          </dgm:if>
          <dgm:else name="Name8">
            <dgm:constrLst>
              <dgm:constr type="r" for="ch" forName="bentUpArrow1" refType="w" fact="0.97"/>
              <dgm:constr type="t" for="ch" forName="bentUpArrow1" refType="h" fact="0.524"/>
              <dgm:constr type="w" for="ch" forName="bentUpArrow1" refType="w" fact="0.3844"/>
              <dgm:constr type="h" for="ch" forName="bentUpArrow1" refType="h" fact="0.42"/>
              <dgm:constr type="l" for="ch" forName="ParentText" refType="w" fact="0.4316"/>
              <dgm:constr type="t" for="ch" forName="ParentText" refType="h" fact="0"/>
              <dgm:constr type="w" for="ch" forName="ParentText" refType="w" fact="0.5684"/>
              <dgm:constr type="h" for="ch" forName="ParentText" refType="h" fact="0.4949"/>
              <dgm:constr type="l" for="ch" forName="ChildText" refType="w" fact="0"/>
              <dgm:constr type="t" for="ch" forName="ChildText" refType="h" fact="0.05"/>
              <dgm:constr type="w" for="ch" forName="ChildText" refType="w" fact="0.4134"/>
              <dgm:constr type="h" for="ch" forName="ChildText" refType="h" fact="0.4"/>
              <dgm:constr type="l" for="ch" forName="FinalChildText" refType="w" fact="0"/>
              <dgm:constr type="t" for="ch" forName="FinalChildText" refType="h" fact="0.05"/>
              <dgm:constr type="w" for="ch" forName="FinalChildText" refType="w" fact="0.4134"/>
              <dgm:constr type="h" for="ch" forName="FinalChildText" refType="h" fact="0.4"/>
            </dgm:constrLst>
          </dgm:else>
        </dgm:choose>
        <dgm:choose name="Name9">
          <dgm:if name="Name10" axis="followSib" ptType="node" func="cnt" op="gte" val="1">
            <dgm:layoutNode name="bentUpArrow1" styleLbl="alignImgPlace1">
              <dgm:alg type="sp"/>
              <dgm:choose name="Name11">
                <dgm:if name="Name12" func="var" arg="dir" op="equ" val="norm">
                  <dgm:shape xmlns:r="http://schemas.openxmlformats.org/officeDocument/2006/relationships" rot="90" type="bentUpArrow" r:blip="">
                    <dgm:adjLst>
                      <dgm:adj idx="1" val="0.3284"/>
                      <dgm:adj idx="2" val="0.25"/>
                      <dgm:adj idx="3" val="0.3578"/>
                    </dgm:adjLst>
                  </dgm:shape>
                </dgm:if>
                <dgm:else name="Name13">
                  <dgm:shape xmlns:r="http://schemas.openxmlformats.org/officeDocument/2006/relationships" rot="180" type="bentArrow" r:blip="">
                    <dgm:adjLst>
                      <dgm:adj idx="1" val="0.3284"/>
                      <dgm:adj idx="2" val="0.25"/>
                      <dgm:adj idx="3" val="0.3578"/>
                      <dgm:adj idx="4" val="0"/>
                    </dgm:adjLst>
                  </dgm:shape>
                </dgm:else>
              </dgm:choose>
              <dgm:presOf/>
            </dgm:layoutNode>
          </dgm:if>
          <dgm:else name="Name14"/>
        </dgm:choose>
        <dgm:layoutNode name="ParentText" styleLbl="node1">
          <dgm:varLst>
            <dgm:chMax val="1"/>
            <dgm:chPref val="1"/>
            <dgm:bulletEnabled val="1"/>
          </dgm:varLst>
          <dgm:alg type="tx"/>
          <dgm:shape xmlns:r="http://schemas.openxmlformats.org/officeDocument/2006/relationships" type="roundRect" r:blip="">
            <dgm:adjLst>
              <dgm:adj idx="1" val="0.1667"/>
            </dgm:adjLst>
          </dgm:shape>
          <dgm:presOf axis="self"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choose name="Name15">
          <dgm:if name="Name16" axis="followSib" ptType="node" func="cnt" op="equ" val="0">
            <dgm:choose name="Name17">
              <dgm:if name="Name18" axis="ch" ptType="node" func="cnt" op="gte" val="1">
                <dgm:layoutNode name="FinalChildText" styleLbl="revTx">
                  <dgm:varLst>
                    <dgm:chMax val="0"/>
                    <dgm:chPref val="0"/>
                    <dgm:bulletEnabled val="1"/>
                  </dgm:varLst>
                  <dgm:alg type="tx">
                    <dgm:param type="stBulletLvl" val="1"/>
                    <dgm:param type="txAnchorVertCh" val="mid"/>
                    <dgm:param type="parTxLTRAlign" val="l"/>
                  </dgm:alg>
                  <dgm:shape xmlns:r="http://schemas.openxmlformats.org/officeDocument/2006/relationships" type="rect" r:blip="">
                    <dgm:adjLst/>
                  </dgm:shape>
                  <dgm:presOf axis="des"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19"/>
            </dgm:choose>
          </dgm:if>
          <dgm:else name="Name20">
            <dgm:layoutNode name="ChildText" styleLbl="revTx">
              <dgm:varLst>
                <dgm:chMax val="0"/>
                <dgm:chPref val="0"/>
                <dgm:bulletEnabled val="1"/>
              </dgm:varLst>
              <dgm:alg type="tx">
                <dgm:param type="stBulletLvl" val="1"/>
                <dgm:param type="txAnchorVertCh" val="mid"/>
                <dgm:param type="parTxLTRAlign" val="l"/>
              </dgm:alg>
              <dgm:shape xmlns:r="http://schemas.openxmlformats.org/officeDocument/2006/relationships" type="rect" r:blip="">
                <dgm:adjLst/>
              </dgm:shape>
              <dgm:presOf axis="des"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else>
        </dgm:choose>
      </dgm:layoutNode>
      <dgm:forEach name="sibTransForEach" axis="followSib" ptType="sibTrans" cnt="1">
        <dgm:layoutNode name="sibTrans">
          <dgm:alg type="sp"/>
          <dgm:shape xmlns:r="http://schemas.openxmlformats.org/officeDocument/2006/relationships" r:blip="">
            <dgm:adjLst/>
          </dgm:shap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3d2">
  <dgm:title val=""/>
  <dgm:desc val=""/>
  <dgm:catLst>
    <dgm:cat type="3D" pri="11200"/>
  </dgm:catLst>
  <dgm:scene3d>
    <a:camera prst="orthographicFront"/>
    <a:lightRig rig="threePt" dir="t"/>
  </dgm:scene3d>
  <dgm:styleLbl name="node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a:rot lat="0" lon="0" rev="7500000"/>
      </a:lightRig>
    </dgm:scene3d>
    <dgm:sp3d prstMaterial="plastic">
      <a:bevelT w="127000" h="25400" prst="relaxedInset"/>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tx1"/>
      </a:fontRef>
    </dgm:style>
  </dgm:styleLbl>
  <dgm:styleLbl name="aling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dgm:style>
  </dgm:styleLbl>
  <dgm:styleLbl name="alignImgPlace1">
    <dgm:scene3d>
      <a:camera prst="orthographicFront"/>
      <a:lightRig rig="threePt" dir="t">
        <a:rot lat="0" lon="0" rev="7500000"/>
      </a:lightRig>
    </dgm:scene3d>
    <dgm:sp3d z="2540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bgImgPlace1">
    <dgm:scene3d>
      <a:camera prst="orthographicFront"/>
      <a:lightRig rig="threePt" dir="t">
        <a:rot lat="0" lon="0" rev="7500000"/>
      </a:lightRig>
    </dgm:scene3d>
    <dgm:sp3d z="-1524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sibTrans2D1">
    <dgm:scene3d>
      <a:camera prst="orthographicFront"/>
      <a:lightRig rig="threePt" dir="t">
        <a:rot lat="0" lon="0" rev="7500000"/>
      </a:lightRig>
    </dgm:scene3d>
    <dgm:sp3d z="-700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f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b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sibTrans1D1">
    <dgm:scene3d>
      <a:camera prst="orthographicFront"/>
      <a:lightRig rig="threePt" dir="t">
        <a:rot lat="0" lon="0" rev="7500000"/>
      </a:lightRig>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a:rot lat="0" lon="0" rev="7500000"/>
      </a:lightRig>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parChTrans2D2">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a:schemeClr val="lt1"/>
      </a:fontRef>
    </dgm:style>
  </dgm:styleLbl>
  <dgm:styleLbl name="parChTrans2D3">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a:rot lat="0" lon="0" rev="7500000"/>
      </a:lightRig>
    </dgm:scene3d>
    <dgm:sp3d extrusionH="190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a:rot lat="0" lon="0" rev="7500000"/>
      </a:lightRig>
    </dgm:scene3d>
    <dgm:sp3d prstMaterial="plastic">
      <a:bevelT w="127000" h="35400"/>
    </dgm:sp3d>
    <dgm:txPr/>
    <dgm:style>
      <a:lnRef idx="1">
        <a:scrgbClr r="0" g="0" b="0"/>
      </a:lnRef>
      <a:fillRef idx="1">
        <a:scrgbClr r="0" g="0" b="0"/>
      </a:fillRef>
      <a:effectRef idx="2">
        <a:scrgbClr r="0" g="0" b="0"/>
      </a:effectRef>
      <a:fontRef idx="minor">
        <a:schemeClr val="lt1"/>
      </a:fontRef>
    </dgm:style>
  </dgm:styleLbl>
  <dgm:styleLbl name="bgAcc1">
    <dgm:scene3d>
      <a:camera prst="orthographicFront"/>
      <a:lightRig rig="threePt" dir="t">
        <a:rot lat="0" lon="0" rev="7500000"/>
      </a:lightRig>
    </dgm:scene3d>
    <dgm:sp3d z="-152400" extrusionH="63500" prstMaterial="dkEdge">
      <a:bevelT w="124450" h="16350" prst="relaxedInset"/>
      <a:contourClr>
        <a:schemeClr val="bg1"/>
      </a:contourClr>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a:rot lat="0" lon="0" rev="7500000"/>
      </a:lightRig>
    </dgm:scene3d>
    <dgm:sp3d z="152400" extrusionH="63500" prstMaterial="dkEdge">
      <a:bevelT w="120800" h="19050" prst="relaxedInset"/>
      <a:contourClr>
        <a:schemeClr val="bg1"/>
      </a:contourClr>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a:rot lat="0" lon="0" rev="7500000"/>
      </a:lightRig>
    </dgm:scene3d>
    <dgm:sp3d extrusionH="190500" prstMaterial="dkEdge">
      <a:bevelT w="120650" h="38100" prst="relaxedInset"/>
      <a:contourClr>
        <a:schemeClr val="bg1"/>
      </a:contourClr>
    </dgm:sp3d>
    <dgm:txPr/>
    <dgm:style>
      <a:lnRef idx="1">
        <a:scrgbClr r="0" g="0" b="0"/>
      </a:lnRef>
      <a:fillRef idx="1">
        <a:scrgbClr r="0" g="0" b="0"/>
      </a:fillRef>
      <a:effectRef idx="2">
        <a:scrgbClr r="0" g="0" b="0"/>
      </a:effectRef>
      <a:fontRef idx="minor"/>
    </dgm:style>
  </dgm:styleLbl>
  <dgm:styleLbl name="solidBgAcc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a:rot lat="0" lon="0" rev="7500000"/>
      </a:lightRig>
    </dgm:scene3d>
    <dgm:sp3d extrusionH="190500" prstMaterial="dkEdge">
      <a:bevelT w="120650" h="38100" prst="relaxedInset"/>
      <a:bevelB w="120650" h="57150" prst="relaxedInset"/>
      <a:contourClr>
        <a:schemeClr val="bg1"/>
      </a:contourClr>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a:rot lat="0" lon="0" rev="7500000"/>
      </a:lightRig>
    </dgm:scene3d>
    <dgm:sp3d z="-152400" extrusionH="63500" prstMaterial="matte">
      <a:bevelT w="144450" h="6350" prst="relaxedInset"/>
      <a:contourClr>
        <a:schemeClr val="bg1"/>
      </a:contourClr>
    </dgm:sp3d>
    <dgm:txPr/>
    <dgm:style>
      <a:lnRef idx="0">
        <a:scrgbClr r="0" g="0" b="0"/>
      </a:lnRef>
      <a:fillRef idx="3">
        <a:scrgbClr r="0" g="0" b="0"/>
      </a:fillRef>
      <a:effectRef idx="0">
        <a:scrgbClr r="0" g="0" b="0"/>
      </a:effectRef>
      <a:fontRef idx="minor"/>
    </dgm:style>
  </dgm:styleLbl>
  <dgm:styleLbl name="dkBgShp">
    <dgm:scene3d>
      <a:camera prst="orthographicFront"/>
      <a:lightRig rig="threePt" dir="t">
        <a:rot lat="0" lon="0" rev="7500000"/>
      </a:lightRig>
    </dgm:scene3d>
    <dgm:sp3d prstMaterial="plastic">
      <a:bevelT w="127000" h="25400" prst="relaxedInset"/>
      <a:bevelB w="88900" h="121750" prst="angle"/>
    </dgm:sp3d>
    <dgm:txPr/>
    <dgm:style>
      <a:lnRef idx="0">
        <a:scrgbClr r="0" g="0" b="0"/>
      </a:lnRef>
      <a:fillRef idx="1">
        <a:scrgbClr r="0" g="0" b="0"/>
      </a:fillRef>
      <a:effectRef idx="2">
        <a:scrgbClr r="0" g="0" b="0"/>
      </a:effectRef>
      <a:fontRef idx="minor">
        <a:schemeClr val="lt1"/>
      </a:fontRef>
    </dgm:style>
  </dgm:styleLbl>
  <dgm:styleLbl name="trBgShp">
    <dgm:scene3d>
      <a:camera prst="orthographicFront"/>
      <a:lightRig rig="threePt" dir="t"/>
    </dgm:scene3d>
    <dgm:sp3d z="-152400" prstMaterial="matte"/>
    <dgm:txPr/>
    <dgm:style>
      <a:lnRef idx="0">
        <a:scrgbClr r="0" g="0" b="0"/>
      </a:lnRef>
      <a:fillRef idx="1">
        <a:scrgbClr r="0" g="0" b="0"/>
      </a:fillRef>
      <a:effectRef idx="0">
        <a:scrgbClr r="0" g="0" b="0"/>
      </a:effectRef>
      <a:fontRef idx="minor"/>
    </dgm:style>
  </dgm:styleLbl>
  <dgm:styleLbl name="fgShp">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3d2">
  <dgm:title val=""/>
  <dgm:desc val=""/>
  <dgm:catLst>
    <dgm:cat type="3D" pri="11200"/>
  </dgm:catLst>
  <dgm:scene3d>
    <a:camera prst="orthographicFront"/>
    <a:lightRig rig="threePt" dir="t"/>
  </dgm:scene3d>
  <dgm:styleLbl name="node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a:rot lat="0" lon="0" rev="7500000"/>
      </a:lightRig>
    </dgm:scene3d>
    <dgm:sp3d prstMaterial="plastic">
      <a:bevelT w="127000" h="25400" prst="relaxedInset"/>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tx1"/>
      </a:fontRef>
    </dgm:style>
  </dgm:styleLbl>
  <dgm:styleLbl name="aling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dgm:style>
  </dgm:styleLbl>
  <dgm:styleLbl name="alignImgPlace1">
    <dgm:scene3d>
      <a:camera prst="orthographicFront"/>
      <a:lightRig rig="threePt" dir="t">
        <a:rot lat="0" lon="0" rev="7500000"/>
      </a:lightRig>
    </dgm:scene3d>
    <dgm:sp3d z="2540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bgImgPlace1">
    <dgm:scene3d>
      <a:camera prst="orthographicFront"/>
      <a:lightRig rig="threePt" dir="t">
        <a:rot lat="0" lon="0" rev="7500000"/>
      </a:lightRig>
    </dgm:scene3d>
    <dgm:sp3d z="-152400" extrusionH="63500" contourW="12700" prstMaterial="matte">
      <a:contourClr>
        <a:schemeClr val="lt1"/>
      </a:contourClr>
    </dgm:sp3d>
    <dgm:txPr/>
    <dgm:style>
      <a:lnRef idx="0">
        <a:scrgbClr r="0" g="0" b="0"/>
      </a:lnRef>
      <a:fillRef idx="1">
        <a:scrgbClr r="0" g="0" b="0"/>
      </a:fillRef>
      <a:effectRef idx="0">
        <a:scrgbClr r="0" g="0" b="0"/>
      </a:effectRef>
      <a:fontRef idx="minor"/>
    </dgm:style>
  </dgm:styleLbl>
  <dgm:styleLbl name="sibTrans2D1">
    <dgm:scene3d>
      <a:camera prst="orthographicFront"/>
      <a:lightRig rig="threePt" dir="t">
        <a:rot lat="0" lon="0" rev="7500000"/>
      </a:lightRig>
    </dgm:scene3d>
    <dgm:sp3d z="-700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f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bgSibTrans2D1">
    <dgm:scene3d>
      <a:camera prst="orthographicFront"/>
      <a:lightRig rig="threePt" dir="t">
        <a:rot lat="0" lon="0" rev="7500000"/>
      </a:lightRig>
    </dgm:scene3d>
    <dgm:sp3d z="-152400" extrusionH="63500" prstMaterial="matte">
      <a:bevelT w="25400" h="63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sibTrans1D1">
    <dgm:scene3d>
      <a:camera prst="orthographicFront"/>
      <a:lightRig rig="threePt" dir="t">
        <a:rot lat="0" lon="0" rev="7500000"/>
      </a:lightRig>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a:rot lat="0" lon="0" rev="7500000"/>
      </a:lightRig>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a:rot lat="0" lon="0" rev="7500000"/>
      </a:lightRig>
    </dgm:scene3d>
    <dgm:sp3d prstMaterial="plastic">
      <a:bevelT w="127000" h="25400" prst="relaxedInset"/>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parChTrans2D2">
    <dgm:scene3d>
      <a:camera prst="orthographicFront"/>
      <a:lightRig rig="threePt" dir="t">
        <a:rot lat="0" lon="0" rev="7500000"/>
      </a:lightRig>
    </dgm:scene3d>
    <dgm:sp3d extrusionH="63500" prstMaterial="matte">
      <a:bevelT w="50800" h="19050" prst="relaxedInset"/>
      <a:contourClr>
        <a:schemeClr val="bg1"/>
      </a:contourClr>
    </dgm:sp3d>
    <dgm:txPr/>
    <dgm:style>
      <a:lnRef idx="0">
        <a:scrgbClr r="0" g="0" b="0"/>
      </a:lnRef>
      <a:fillRef idx="1">
        <a:scrgbClr r="0" g="0" b="0"/>
      </a:fillRef>
      <a:effectRef idx="0">
        <a:scrgbClr r="0" g="0" b="0"/>
      </a:effectRef>
      <a:fontRef idx="minor">
        <a:schemeClr val="lt1"/>
      </a:fontRef>
    </dgm:style>
  </dgm:styleLbl>
  <dgm:styleLbl name="parChTrans2D3">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threePt" dir="t">
        <a:rot lat="0" lon="0" rev="7500000"/>
      </a:lightRig>
    </dgm:scene3d>
    <dgm:sp3d z="60000" prstMaterial="flat">
      <a:bevelT w="120900" h="88900"/>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a:rot lat="0" lon="0" rev="7500000"/>
      </a:lightRig>
    </dgm:scene3d>
    <dgm:sp3d z="-40000" prstMaterial="matte"/>
    <dgm:txPr/>
    <dgm:style>
      <a:lnRef idx="2">
        <a:scrgbClr r="0" g="0" b="0"/>
      </a:lnRef>
      <a:fillRef idx="0">
        <a:scrgbClr r="0" g="0" b="0"/>
      </a:fillRef>
      <a:effectRef idx="0">
        <a:scrgbClr r="0" g="0" b="0"/>
      </a:effectRef>
      <a:fontRef idx="minor"/>
    </dgm:style>
  </dgm:styleLbl>
  <dgm:styleLbl name="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conFgAcc1">
    <dgm:scene3d>
      <a:camera prst="orthographicFront"/>
      <a:lightRig rig="threePt" dir="t">
        <a:rot lat="0" lon="0" rev="7500000"/>
      </a:lightRig>
    </dgm:scene3d>
    <dgm:sp3d z="152400" extrusionH="63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alignAcc1">
    <dgm:scene3d>
      <a:camera prst="orthographicFront"/>
      <a:lightRig rig="threePt" dir="t">
        <a:rot lat="0" lon="0" rev="7500000"/>
      </a:lightRig>
    </dgm:scene3d>
    <dgm:sp3d extrusionH="190500" prstMaterial="dkEdge">
      <a:bevelT w="135400" h="16350" prst="relaxedInset"/>
      <a:contourClr>
        <a:schemeClr val="bg1"/>
      </a:contourClr>
    </dgm:sp3d>
    <dgm:txPr/>
    <dgm:style>
      <a:lnRef idx="1">
        <a:scrgbClr r="0" g="0" b="0"/>
      </a:lnRef>
      <a:fillRef idx="1">
        <a:scrgbClr r="0" g="0" b="0"/>
      </a:fillRef>
      <a:effectRef idx="2">
        <a:scrgbClr r="0" g="0" b="0"/>
      </a:effectRef>
      <a:fontRef idx="minor"/>
    </dgm:style>
  </dgm:styleLbl>
  <dgm:styleLbl name="trAlignAcc1">
    <dgm:scene3d>
      <a:camera prst="orthographicFront"/>
      <a:lightRig rig="threePt" dir="t">
        <a:rot lat="0" lon="0" rev="7500000"/>
      </a:lightRig>
    </dgm:scene3d>
    <dgm:sp3d prstMaterial="plastic">
      <a:bevelT w="127000" h="35400"/>
    </dgm:sp3d>
    <dgm:txPr/>
    <dgm:style>
      <a:lnRef idx="1">
        <a:scrgbClr r="0" g="0" b="0"/>
      </a:lnRef>
      <a:fillRef idx="1">
        <a:scrgbClr r="0" g="0" b="0"/>
      </a:fillRef>
      <a:effectRef idx="2">
        <a:scrgbClr r="0" g="0" b="0"/>
      </a:effectRef>
      <a:fontRef idx="minor">
        <a:schemeClr val="lt1"/>
      </a:fontRef>
    </dgm:style>
  </dgm:styleLbl>
  <dgm:styleLbl name="bgAcc1">
    <dgm:scene3d>
      <a:camera prst="orthographicFront"/>
      <a:lightRig rig="threePt" dir="t">
        <a:rot lat="0" lon="0" rev="7500000"/>
      </a:lightRig>
    </dgm:scene3d>
    <dgm:sp3d z="-152400" extrusionH="63500" prstMaterial="dkEdge">
      <a:bevelT w="124450" h="16350" prst="relaxedInset"/>
      <a:contourClr>
        <a:schemeClr val="bg1"/>
      </a:contourClr>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a:rot lat="0" lon="0" rev="7500000"/>
      </a:lightRig>
    </dgm:scene3d>
    <dgm:sp3d z="152400" extrusionH="63500" prstMaterial="dkEdge">
      <a:bevelT w="120800" h="19050" prst="relaxedInset"/>
      <a:contourClr>
        <a:schemeClr val="bg1"/>
      </a:contourClr>
    </dgm:sp3d>
    <dgm:txPr/>
    <dgm:style>
      <a:lnRef idx="1">
        <a:scrgbClr r="0" g="0" b="0"/>
      </a:lnRef>
      <a:fillRef idx="1">
        <a:scrgbClr r="0" g="0" b="0"/>
      </a:fillRef>
      <a:effectRef idx="2">
        <a:scrgbClr r="0" g="0" b="0"/>
      </a:effectRef>
      <a:fontRef idx="minor"/>
    </dgm:style>
  </dgm:styleLbl>
  <dgm:styleLbl name="solidAlignAcc1">
    <dgm:scene3d>
      <a:camera prst="orthographicFront"/>
      <a:lightRig rig="threePt" dir="t">
        <a:rot lat="0" lon="0" rev="7500000"/>
      </a:lightRig>
    </dgm:scene3d>
    <dgm:sp3d extrusionH="190500" prstMaterial="dkEdge">
      <a:bevelT w="120650" h="38100" prst="relaxedInset"/>
      <a:contourClr>
        <a:schemeClr val="bg1"/>
      </a:contourClr>
    </dgm:sp3d>
    <dgm:txPr/>
    <dgm:style>
      <a:lnRef idx="1">
        <a:scrgbClr r="0" g="0" b="0"/>
      </a:lnRef>
      <a:fillRef idx="1">
        <a:scrgbClr r="0" g="0" b="0"/>
      </a:fillRef>
      <a:effectRef idx="2">
        <a:scrgbClr r="0" g="0" b="0"/>
      </a:effectRef>
      <a:fontRef idx="minor"/>
    </dgm:style>
  </dgm:styleLbl>
  <dgm:styleLbl name="solidBgAcc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a:rot lat="0" lon="0" rev="7500000"/>
      </a:lightRig>
    </dgm:scene3d>
    <dgm:sp3d extrusionH="190500" prstMaterial="dkEdge">
      <a:bevelT w="120650" h="38100" prst="relaxedInset"/>
      <a:bevelB w="120650" h="57150" prst="relaxedInset"/>
      <a:contourClr>
        <a:schemeClr val="bg1"/>
      </a:contourClr>
    </dgm:sp3d>
    <dgm:txPr/>
    <dgm:style>
      <a:lnRef idx="1">
        <a:scrgbClr r="0" g="0" b="0"/>
      </a:lnRef>
      <a:fillRef idx="1">
        <a:scrgbClr r="0" g="0" b="0"/>
      </a:fillRef>
      <a:effectRef idx="2">
        <a:scrgbClr r="0" g="0" b="0"/>
      </a:effectRef>
      <a:fontRef idx="minor"/>
    </dgm:style>
  </dgm:styleLbl>
  <dgm:styleLbl name="bgAccFollowNode1">
    <dgm:scene3d>
      <a:camera prst="orthographicFront"/>
      <a:lightRig rig="threePt" dir="t">
        <a:rot lat="0" lon="0" rev="7500000"/>
      </a:lightRig>
    </dgm:scene3d>
    <dgm:sp3d z="-152400" extrusionH="63500" prstMaterial="dkEdge">
      <a:bevelT w="144450" h="36350" prst="relaxedInset"/>
      <a:contourClr>
        <a:schemeClr val="bg1"/>
      </a:contourClr>
    </dgm:sp3d>
    <dgm:txPr/>
    <dgm:style>
      <a:lnRef idx="1">
        <a:scrgbClr r="0" g="0" b="0"/>
      </a:lnRef>
      <a:fillRef idx="1">
        <a:scrgbClr r="0" g="0" b="0"/>
      </a:fillRef>
      <a:effectRef idx="2">
        <a:scrgbClr r="0" g="0" b="0"/>
      </a:effectRef>
      <a:fontRef idx="minor"/>
    </dgm:style>
  </dgm:styleLbl>
  <dgm:styleLbl name="fgAcc0">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2">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3">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fgAcc4">
    <dgm:scene3d>
      <a:camera prst="orthographicFront"/>
      <a:lightRig rig="threePt" dir="t">
        <a:rot lat="0" lon="0" rev="7500000"/>
      </a:lightRig>
    </dgm:scene3d>
    <dgm:sp3d z="152400" extrusionH="63500" prstMaterial="dkEdge">
      <a:bevelT w="125400" h="36350" prst="relaxedInset"/>
      <a:contourClr>
        <a:schemeClr val="bg1"/>
      </a:contourClr>
    </dgm:sp3d>
    <dgm:txPr/>
    <dgm:style>
      <a:lnRef idx="1">
        <a:scrgbClr r="0" g="0" b="0"/>
      </a:lnRef>
      <a:fillRef idx="1">
        <a:scrgbClr r="0" g="0" b="0"/>
      </a:fillRef>
      <a:effectRef idx="2">
        <a:scrgbClr r="0" g="0" b="0"/>
      </a:effectRef>
      <a:fontRef idx="minor"/>
    </dgm:style>
  </dgm:styleLbl>
  <dgm:styleLbl name="bgShp">
    <dgm:scene3d>
      <a:camera prst="orthographicFront"/>
      <a:lightRig rig="threePt" dir="t">
        <a:rot lat="0" lon="0" rev="7500000"/>
      </a:lightRig>
    </dgm:scene3d>
    <dgm:sp3d z="-152400" extrusionH="63500" prstMaterial="matte">
      <a:bevelT w="144450" h="6350" prst="relaxedInset"/>
      <a:contourClr>
        <a:schemeClr val="bg1"/>
      </a:contourClr>
    </dgm:sp3d>
    <dgm:txPr/>
    <dgm:style>
      <a:lnRef idx="0">
        <a:scrgbClr r="0" g="0" b="0"/>
      </a:lnRef>
      <a:fillRef idx="3">
        <a:scrgbClr r="0" g="0" b="0"/>
      </a:fillRef>
      <a:effectRef idx="0">
        <a:scrgbClr r="0" g="0" b="0"/>
      </a:effectRef>
      <a:fontRef idx="minor"/>
    </dgm:style>
  </dgm:styleLbl>
  <dgm:styleLbl name="dkBgShp">
    <dgm:scene3d>
      <a:camera prst="orthographicFront"/>
      <a:lightRig rig="threePt" dir="t">
        <a:rot lat="0" lon="0" rev="7500000"/>
      </a:lightRig>
    </dgm:scene3d>
    <dgm:sp3d prstMaterial="plastic">
      <a:bevelT w="127000" h="25400" prst="relaxedInset"/>
      <a:bevelB w="88900" h="121750" prst="angle"/>
    </dgm:sp3d>
    <dgm:txPr/>
    <dgm:style>
      <a:lnRef idx="0">
        <a:scrgbClr r="0" g="0" b="0"/>
      </a:lnRef>
      <a:fillRef idx="1">
        <a:scrgbClr r="0" g="0" b="0"/>
      </a:fillRef>
      <a:effectRef idx="2">
        <a:scrgbClr r="0" g="0" b="0"/>
      </a:effectRef>
      <a:fontRef idx="minor">
        <a:schemeClr val="lt1"/>
      </a:fontRef>
    </dgm:style>
  </dgm:styleLbl>
  <dgm:styleLbl name="trBgShp">
    <dgm:scene3d>
      <a:camera prst="orthographicFront"/>
      <a:lightRig rig="threePt" dir="t"/>
    </dgm:scene3d>
    <dgm:sp3d z="-152400" prstMaterial="matte"/>
    <dgm:txPr/>
    <dgm:style>
      <a:lnRef idx="0">
        <a:scrgbClr r="0" g="0" b="0"/>
      </a:lnRef>
      <a:fillRef idx="1">
        <a:scrgbClr r="0" g="0" b="0"/>
      </a:fillRef>
      <a:effectRef idx="0">
        <a:scrgbClr r="0" g="0" b="0"/>
      </a:effectRef>
      <a:fontRef idx="minor"/>
    </dgm:style>
  </dgm:styleLbl>
  <dgm:styleLbl name="fgShp">
    <dgm:scene3d>
      <a:camera prst="orthographicFront"/>
      <a:lightRig rig="threePt" dir="t">
        <a:rot lat="0" lon="0" rev="7500000"/>
      </a:lightRig>
    </dgm:scene3d>
    <dgm:sp3d z="152400" extrusionH="63500" prstMaterial="matte">
      <a:bevelT w="50800" h="19050" prst="relaxedInset"/>
      <a:contourClr>
        <a:schemeClr val="bg1"/>
      </a:contourClr>
    </dgm:sp3d>
    <dgm:txPr/>
    <dgm:style>
      <a:lnRef idx="0">
        <a:scrgbClr r="0" g="0" b="0"/>
      </a:lnRef>
      <a:fillRef idx="1">
        <a:scrgbClr r="0" g="0" b="0"/>
      </a:fillRef>
      <a:effectRef idx="2">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5.jpeg"/><Relationship Id="rId3" Type="http://schemas.openxmlformats.org/officeDocument/2006/relationships/diagramQuickStyle" Target="../diagrams/quickStyle1.xml"/><Relationship Id="rId7" Type="http://schemas.openxmlformats.org/officeDocument/2006/relationships/image" Target="../media/image1.png"/><Relationship Id="rId2" Type="http://schemas.openxmlformats.org/officeDocument/2006/relationships/diagramLayout" Target="../diagrams/layout1.xml"/><Relationship Id="rId1" Type="http://schemas.openxmlformats.org/officeDocument/2006/relationships/diagramData" Target="../diagrams/data1.xml"/><Relationship Id="rId6" Type="http://schemas.openxmlformats.org/officeDocument/2006/relationships/image" Target="../media/image4.gif"/><Relationship Id="rId5" Type="http://schemas.microsoft.com/office/2007/relationships/diagramDrawing" Target="../diagrams/drawing1.xml"/><Relationship Id="rId4" Type="http://schemas.openxmlformats.org/officeDocument/2006/relationships/diagramColors" Target="../diagrams/colors1.xml"/><Relationship Id="rId9" Type="http://schemas.openxmlformats.org/officeDocument/2006/relationships/image" Target="../media/image6.jpeg"/></Relationships>
</file>

<file path=xl/drawings/_rels/drawing3.xml.rels><?xml version="1.0" encoding="UTF-8" standalone="yes"?>
<Relationships xmlns="http://schemas.openxmlformats.org/package/2006/relationships"><Relationship Id="rId3" Type="http://schemas.openxmlformats.org/officeDocument/2006/relationships/image" Target="../media/image8.jpeg"/><Relationship Id="rId2" Type="http://schemas.openxmlformats.org/officeDocument/2006/relationships/image" Target="../media/image7.jpeg"/><Relationship Id="rId1" Type="http://schemas.openxmlformats.org/officeDocument/2006/relationships/image" Target="../media/image1.png"/><Relationship Id="rId4" Type="http://schemas.openxmlformats.org/officeDocument/2006/relationships/image" Target="../media/image9.png"/></Relationships>
</file>

<file path=xl/drawings/_rels/drawing4.xml.rels><?xml version="1.0" encoding="UTF-8" standalone="yes"?>
<Relationships xmlns="http://schemas.openxmlformats.org/package/2006/relationships"><Relationship Id="rId8" Type="http://schemas.microsoft.com/office/2007/relationships/diagramDrawing" Target="../diagrams/drawing2.xml"/><Relationship Id="rId3" Type="http://schemas.openxmlformats.org/officeDocument/2006/relationships/image" Target="../media/image6.jpeg"/><Relationship Id="rId7" Type="http://schemas.openxmlformats.org/officeDocument/2006/relationships/diagramColors" Target="../diagrams/colors2.xml"/><Relationship Id="rId2" Type="http://schemas.openxmlformats.org/officeDocument/2006/relationships/image" Target="../media/image10.jpeg"/><Relationship Id="rId1" Type="http://schemas.openxmlformats.org/officeDocument/2006/relationships/image" Target="../media/image1.png"/><Relationship Id="rId6" Type="http://schemas.openxmlformats.org/officeDocument/2006/relationships/diagramQuickStyle" Target="../diagrams/quickStyle2.xml"/><Relationship Id="rId5" Type="http://schemas.openxmlformats.org/officeDocument/2006/relationships/diagramLayout" Target="../diagrams/layout2.xml"/><Relationship Id="rId4" Type="http://schemas.openxmlformats.org/officeDocument/2006/relationships/diagramData" Target="../diagrams/data2.xml"/><Relationship Id="rId9" Type="http://schemas.openxmlformats.org/officeDocument/2006/relationships/hyperlink" Target="#'HC CORPORATIVA-INCERTIDUMBRE'!A1"/></Relationships>
</file>

<file path=xl/drawings/_rels/drawing5.xml.rels><?xml version="1.0" encoding="UTF-8" standalone="yes"?>
<Relationships xmlns="http://schemas.openxmlformats.org/package/2006/relationships"><Relationship Id="rId3" Type="http://schemas.openxmlformats.org/officeDocument/2006/relationships/image" Target="../media/image12.jpeg"/><Relationship Id="rId2" Type="http://schemas.openxmlformats.org/officeDocument/2006/relationships/image" Target="../media/image11.jpeg"/><Relationship Id="rId1" Type="http://schemas.openxmlformats.org/officeDocument/2006/relationships/image" Target="../media/image1.png"/><Relationship Id="rId5" Type="http://schemas.openxmlformats.org/officeDocument/2006/relationships/image" Target="../media/image14.jpeg"/><Relationship Id="rId4" Type="http://schemas.openxmlformats.org/officeDocument/2006/relationships/image" Target="../media/image13.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2.jpeg"/><Relationship Id="rId2" Type="http://schemas.openxmlformats.org/officeDocument/2006/relationships/image" Target="../media/image15.jpeg"/><Relationship Id="rId1" Type="http://schemas.openxmlformats.org/officeDocument/2006/relationships/image" Target="../media/image1.png"/><Relationship Id="rId5" Type="http://schemas.openxmlformats.org/officeDocument/2006/relationships/image" Target="../media/image14.jpeg"/><Relationship Id="rId4" Type="http://schemas.openxmlformats.org/officeDocument/2006/relationships/image" Target="../media/image13.jpeg"/></Relationships>
</file>

<file path=xl/drawings/_rels/drawing7.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19</xdr:row>
      <xdr:rowOff>18186</xdr:rowOff>
    </xdr:from>
    <xdr:to>
      <xdr:col>8</xdr:col>
      <xdr:colOff>504825</xdr:colOff>
      <xdr:row>24</xdr:row>
      <xdr:rowOff>12370</xdr:rowOff>
    </xdr:to>
    <xdr:sp macro="" textlink="">
      <xdr:nvSpPr>
        <xdr:cNvPr id="2" name="1 Pentágono">
          <a:extLst>
            <a:ext uri="{FF2B5EF4-FFF2-40B4-BE49-F238E27FC236}">
              <a16:creationId xmlns:a16="http://schemas.microsoft.com/office/drawing/2014/main" id="{00000000-0008-0000-0000-000002000000}"/>
            </a:ext>
          </a:extLst>
        </xdr:cNvPr>
        <xdr:cNvSpPr/>
      </xdr:nvSpPr>
      <xdr:spPr>
        <a:xfrm>
          <a:off x="1756558" y="6153770"/>
          <a:ext cx="4339566" cy="921944"/>
        </a:xfrm>
        <a:prstGeom prst="homePlate">
          <a:avLst/>
        </a:prstGeom>
        <a:solidFill>
          <a:schemeClr val="bg2">
            <a:lumMod val="25000"/>
          </a:schemeClr>
        </a:solidFill>
        <a:ln>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ES" sz="1200" b="0" i="1"/>
            <a:t>La</a:t>
          </a:r>
          <a:r>
            <a:rPr lang="es-ES" sz="1200" b="0" i="1" baseline="0"/>
            <a:t> revisión, actualización e implementación de acciones de mejora efectuadas durante el proceso de inventario de los GEI permitirá a la empresa el cumplimiento de los siguientes Principios:</a:t>
          </a:r>
          <a:endParaRPr lang="es-ES" sz="1200" b="0" i="1"/>
        </a:p>
      </xdr:txBody>
    </xdr:sp>
    <xdr:clientData/>
  </xdr:twoCellAnchor>
  <xdr:twoCellAnchor editAs="oneCell">
    <xdr:from>
      <xdr:col>17</xdr:col>
      <xdr:colOff>653142</xdr:colOff>
      <xdr:row>2</xdr:row>
      <xdr:rowOff>83085</xdr:rowOff>
    </xdr:from>
    <xdr:to>
      <xdr:col>20</xdr:col>
      <xdr:colOff>749507</xdr:colOff>
      <xdr:row>4</xdr:row>
      <xdr:rowOff>197923</xdr:rowOff>
    </xdr:to>
    <xdr:pic>
      <xdr:nvPicPr>
        <xdr:cNvPr id="3" name="2 Imagen">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13557661" y="439345"/>
          <a:ext cx="2471430" cy="520578"/>
        </a:xfrm>
        <a:prstGeom prst="rect">
          <a:avLst/>
        </a:prstGeom>
      </xdr:spPr>
    </xdr:pic>
    <xdr:clientData/>
  </xdr:twoCellAnchor>
  <xdr:twoCellAnchor editAs="oneCell">
    <xdr:from>
      <xdr:col>21</xdr:col>
      <xdr:colOff>217713</xdr:colOff>
      <xdr:row>1</xdr:row>
      <xdr:rowOff>59376</xdr:rowOff>
    </xdr:from>
    <xdr:to>
      <xdr:col>21</xdr:col>
      <xdr:colOff>692726</xdr:colOff>
      <xdr:row>5</xdr:row>
      <xdr:rowOff>94184</xdr:rowOff>
    </xdr:to>
    <xdr:pic>
      <xdr:nvPicPr>
        <xdr:cNvPr id="4" name="3 Imagen">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288986" y="237506"/>
          <a:ext cx="475013" cy="846288"/>
        </a:xfrm>
        <a:prstGeom prst="rect">
          <a:avLst/>
        </a:prstGeom>
      </xdr:spPr>
    </xdr:pic>
    <xdr:clientData/>
  </xdr:twoCellAnchor>
  <xdr:twoCellAnchor editAs="oneCell">
    <xdr:from>
      <xdr:col>1</xdr:col>
      <xdr:colOff>89066</xdr:colOff>
      <xdr:row>1</xdr:row>
      <xdr:rowOff>49480</xdr:rowOff>
    </xdr:from>
    <xdr:to>
      <xdr:col>2</xdr:col>
      <xdr:colOff>504701</xdr:colOff>
      <xdr:row>5</xdr:row>
      <xdr:rowOff>143493</xdr:rowOff>
    </xdr:to>
    <xdr:pic>
      <xdr:nvPicPr>
        <xdr:cNvPr id="18" name="17 Imagen">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6572" y="227610"/>
          <a:ext cx="1207324" cy="905493"/>
        </a:xfrm>
        <a:prstGeom prst="rect">
          <a:avLst/>
        </a:prstGeom>
      </xdr:spPr>
    </xdr:pic>
    <xdr:clientData/>
  </xdr:twoCellAnchor>
  <mc:AlternateContent xmlns:mc="http://schemas.openxmlformats.org/markup-compatibility/2006">
    <mc:Choice xmlns:a14="http://schemas.microsoft.com/office/drawing/2010/main" Requires="a14">
      <xdr:twoCellAnchor>
        <xdr:from>
          <xdr:col>10</xdr:col>
          <xdr:colOff>247650</xdr:colOff>
          <xdr:row>19</xdr:row>
          <xdr:rowOff>104775</xdr:rowOff>
        </xdr:from>
        <xdr:to>
          <xdr:col>11</xdr:col>
          <xdr:colOff>247650</xdr:colOff>
          <xdr:row>21</xdr:row>
          <xdr:rowOff>76200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247650</xdr:colOff>
          <xdr:row>22</xdr:row>
          <xdr:rowOff>0</xdr:rowOff>
        </xdr:from>
        <xdr:to>
          <xdr:col>11</xdr:col>
          <xdr:colOff>247650</xdr:colOff>
          <xdr:row>23</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247650</xdr:colOff>
          <xdr:row>23</xdr:row>
          <xdr:rowOff>161925</xdr:rowOff>
        </xdr:from>
        <xdr:to>
          <xdr:col>11</xdr:col>
          <xdr:colOff>247650</xdr:colOff>
          <xdr:row>25</xdr:row>
          <xdr:rowOff>19050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19</xdr:row>
          <xdr:rowOff>152400</xdr:rowOff>
        </xdr:from>
        <xdr:to>
          <xdr:col>15</xdr:col>
          <xdr:colOff>247650</xdr:colOff>
          <xdr:row>21</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22</xdr:row>
          <xdr:rowOff>0</xdr:rowOff>
        </xdr:from>
        <xdr:to>
          <xdr:col>15</xdr:col>
          <xdr:colOff>247650</xdr:colOff>
          <xdr:row>23</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279400</xdr:colOff>
      <xdr:row>7</xdr:row>
      <xdr:rowOff>171450</xdr:rowOff>
    </xdr:from>
    <xdr:to>
      <xdr:col>12</xdr:col>
      <xdr:colOff>660400</xdr:colOff>
      <xdr:row>10</xdr:row>
      <xdr:rowOff>1905000</xdr:rowOff>
    </xdr:to>
    <xdr:sp macro="" textlink="">
      <xdr:nvSpPr>
        <xdr:cNvPr id="17" name="16 Rectángulo redondeado">
          <a:extLst>
            <a:ext uri="{FF2B5EF4-FFF2-40B4-BE49-F238E27FC236}">
              <a16:creationId xmlns:a16="http://schemas.microsoft.com/office/drawing/2014/main" id="{00000000-0008-0000-0100-000011000000}"/>
            </a:ext>
          </a:extLst>
        </xdr:cNvPr>
        <xdr:cNvSpPr/>
      </xdr:nvSpPr>
      <xdr:spPr>
        <a:xfrm>
          <a:off x="1549400" y="2584450"/>
          <a:ext cx="7467600" cy="4425950"/>
        </a:xfrm>
        <a:prstGeom prst="roundRect">
          <a:avLst>
            <a:gd name="adj" fmla="val 11318"/>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CO" sz="1100"/>
        </a:p>
      </xdr:txBody>
    </xdr:sp>
    <xdr:clientData/>
  </xdr:twoCellAnchor>
  <xdr:twoCellAnchor>
    <xdr:from>
      <xdr:col>2</xdr:col>
      <xdr:colOff>406400</xdr:colOff>
      <xdr:row>7</xdr:row>
      <xdr:rowOff>288924</xdr:rowOff>
    </xdr:from>
    <xdr:to>
      <xdr:col>15</xdr:col>
      <xdr:colOff>215900</xdr:colOff>
      <xdr:row>10</xdr:row>
      <xdr:rowOff>2806700</xdr:rowOff>
    </xdr:to>
    <xdr:graphicFrame macro="">
      <xdr:nvGraphicFramePr>
        <xdr:cNvPr id="2" name="3 Diagrama">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editAs="oneCell">
    <xdr:from>
      <xdr:col>10</xdr:col>
      <xdr:colOff>247650</xdr:colOff>
      <xdr:row>15</xdr:row>
      <xdr:rowOff>657225</xdr:rowOff>
    </xdr:from>
    <xdr:to>
      <xdr:col>15</xdr:col>
      <xdr:colOff>628650</xdr:colOff>
      <xdr:row>15</xdr:row>
      <xdr:rowOff>2886075</xdr:rowOff>
    </xdr:to>
    <xdr:pic>
      <xdr:nvPicPr>
        <xdr:cNvPr id="3" name="2 Imagen" descr="http://www.accionrse.cl/uploads/doc/reporte2008/images/graficos/emisiones-co2.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9391650" y="11077575"/>
          <a:ext cx="4191000" cy="2228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71120</xdr:colOff>
      <xdr:row>0</xdr:row>
      <xdr:rowOff>100239</xdr:rowOff>
    </xdr:from>
    <xdr:to>
      <xdr:col>16</xdr:col>
      <xdr:colOff>165110</xdr:colOff>
      <xdr:row>2</xdr:row>
      <xdr:rowOff>173777</xdr:rowOff>
    </xdr:to>
    <xdr:pic>
      <xdr:nvPicPr>
        <xdr:cNvPr id="13" name="12 Imagen">
          <a:extLst>
            <a:ext uri="{FF2B5EF4-FFF2-40B4-BE49-F238E27FC236}">
              <a16:creationId xmlns:a16="http://schemas.microsoft.com/office/drawing/2014/main" id="{00000000-0008-0000-0100-00000D000000}"/>
            </a:ext>
          </a:extLst>
        </xdr:cNvPr>
        <xdr:cNvPicPr>
          <a:picLocks noChangeAspect="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17709" t="41636" r="17945" b="40729"/>
        <a:stretch/>
      </xdr:blipFill>
      <xdr:spPr>
        <a:xfrm>
          <a:off x="11938000" y="100239"/>
          <a:ext cx="2471430" cy="520578"/>
        </a:xfrm>
        <a:prstGeom prst="rect">
          <a:avLst/>
        </a:prstGeom>
      </xdr:spPr>
    </xdr:pic>
    <xdr:clientData/>
  </xdr:twoCellAnchor>
  <xdr:twoCellAnchor editAs="oneCell">
    <xdr:from>
      <xdr:col>16</xdr:col>
      <xdr:colOff>193502</xdr:colOff>
      <xdr:row>0</xdr:row>
      <xdr:rowOff>119742</xdr:rowOff>
    </xdr:from>
    <xdr:to>
      <xdr:col>17</xdr:col>
      <xdr:colOff>1361</xdr:colOff>
      <xdr:row>5</xdr:row>
      <xdr:rowOff>56589</xdr:rowOff>
    </xdr:to>
    <xdr:pic>
      <xdr:nvPicPr>
        <xdr:cNvPr id="14" name="13 Imagen">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13495845" y="119742"/>
          <a:ext cx="579384" cy="1014533"/>
        </a:xfrm>
        <a:prstGeom prst="rect">
          <a:avLst/>
        </a:prstGeom>
      </xdr:spPr>
    </xdr:pic>
    <xdr:clientData/>
  </xdr:twoCellAnchor>
  <xdr:twoCellAnchor editAs="oneCell">
    <xdr:from>
      <xdr:col>0</xdr:col>
      <xdr:colOff>150950</xdr:colOff>
      <xdr:row>0</xdr:row>
      <xdr:rowOff>65314</xdr:rowOff>
    </xdr:from>
    <xdr:to>
      <xdr:col>3</xdr:col>
      <xdr:colOff>1362</xdr:colOff>
      <xdr:row>4</xdr:row>
      <xdr:rowOff>24673</xdr:rowOff>
    </xdr:to>
    <xdr:pic>
      <xdr:nvPicPr>
        <xdr:cNvPr id="15" name="14 Imagen">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150950" y="65314"/>
          <a:ext cx="1100908" cy="80844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2480206</xdr:colOff>
      <xdr:row>1</xdr:row>
      <xdr:rowOff>143566</xdr:rowOff>
    </xdr:from>
    <xdr:to>
      <xdr:col>19</xdr:col>
      <xdr:colOff>783735</xdr:colOff>
      <xdr:row>4</xdr:row>
      <xdr:rowOff>34098</xdr:rowOff>
    </xdr:to>
    <xdr:pic>
      <xdr:nvPicPr>
        <xdr:cNvPr id="10" name="9 Imagen">
          <a:extLst>
            <a:ext uri="{FF2B5EF4-FFF2-40B4-BE49-F238E27FC236}">
              <a16:creationId xmlns:a16="http://schemas.microsoft.com/office/drawing/2014/main" id="{00000000-0008-0000-0200-00000A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31679163" y="331305"/>
          <a:ext cx="2477962" cy="508967"/>
        </a:xfrm>
        <a:prstGeom prst="rect">
          <a:avLst/>
        </a:prstGeom>
      </xdr:spPr>
    </xdr:pic>
    <xdr:clientData/>
  </xdr:twoCellAnchor>
  <xdr:twoCellAnchor editAs="oneCell">
    <xdr:from>
      <xdr:col>19</xdr:col>
      <xdr:colOff>812126</xdr:colOff>
      <xdr:row>0</xdr:row>
      <xdr:rowOff>8460</xdr:rowOff>
    </xdr:from>
    <xdr:to>
      <xdr:col>19</xdr:col>
      <xdr:colOff>1391510</xdr:colOff>
      <xdr:row>4</xdr:row>
      <xdr:rowOff>203212</xdr:rowOff>
    </xdr:to>
    <xdr:pic>
      <xdr:nvPicPr>
        <xdr:cNvPr id="11" name="10 Imagen">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185517" y="8460"/>
          <a:ext cx="579384" cy="1014533"/>
        </a:xfrm>
        <a:prstGeom prst="rect">
          <a:avLst/>
        </a:prstGeom>
      </xdr:spPr>
    </xdr:pic>
    <xdr:clientData/>
  </xdr:twoCellAnchor>
  <xdr:twoCellAnchor editAs="oneCell">
    <xdr:from>
      <xdr:col>1</xdr:col>
      <xdr:colOff>55218</xdr:colOff>
      <xdr:row>0</xdr:row>
      <xdr:rowOff>143565</xdr:rowOff>
    </xdr:from>
    <xdr:to>
      <xdr:col>1</xdr:col>
      <xdr:colOff>1156126</xdr:colOff>
      <xdr:row>4</xdr:row>
      <xdr:rowOff>132229</xdr:rowOff>
    </xdr:to>
    <xdr:pic>
      <xdr:nvPicPr>
        <xdr:cNvPr id="12" name="11 Imagen">
          <a:extLst>
            <a:ext uri="{FF2B5EF4-FFF2-40B4-BE49-F238E27FC236}">
              <a16:creationId xmlns:a16="http://schemas.microsoft.com/office/drawing/2014/main" id="{00000000-0008-0000-0200-00000C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5305" y="143565"/>
          <a:ext cx="1100908" cy="808445"/>
        </a:xfrm>
        <a:prstGeom prst="rect">
          <a:avLst/>
        </a:prstGeom>
      </xdr:spPr>
    </xdr:pic>
    <xdr:clientData/>
  </xdr:twoCellAnchor>
  <xdr:twoCellAnchor editAs="oneCell">
    <xdr:from>
      <xdr:col>17</xdr:col>
      <xdr:colOff>2480206</xdr:colOff>
      <xdr:row>1</xdr:row>
      <xdr:rowOff>143566</xdr:rowOff>
    </xdr:from>
    <xdr:to>
      <xdr:col>19</xdr:col>
      <xdr:colOff>783736</xdr:colOff>
      <xdr:row>4</xdr:row>
      <xdr:rowOff>34098</xdr:rowOff>
    </xdr:to>
    <xdr:pic>
      <xdr:nvPicPr>
        <xdr:cNvPr id="5" name="4 Imagen">
          <a:extLst>
            <a:ext uri="{FF2B5EF4-FFF2-40B4-BE49-F238E27FC236}">
              <a16:creationId xmlns:a16="http://schemas.microsoft.com/office/drawing/2014/main" id="{00000000-0008-0000-02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31121881" y="334066"/>
          <a:ext cx="2361179" cy="519182"/>
        </a:xfrm>
        <a:prstGeom prst="rect">
          <a:avLst/>
        </a:prstGeom>
      </xdr:spPr>
    </xdr:pic>
    <xdr:clientData/>
  </xdr:twoCellAnchor>
  <xdr:twoCellAnchor editAs="oneCell">
    <xdr:from>
      <xdr:col>19</xdr:col>
      <xdr:colOff>812126</xdr:colOff>
      <xdr:row>0</xdr:row>
      <xdr:rowOff>8460</xdr:rowOff>
    </xdr:from>
    <xdr:to>
      <xdr:col>19</xdr:col>
      <xdr:colOff>1391510</xdr:colOff>
      <xdr:row>4</xdr:row>
      <xdr:rowOff>203212</xdr:rowOff>
    </xdr:to>
    <xdr:pic>
      <xdr:nvPicPr>
        <xdr:cNvPr id="6" name="5 Imagen">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3511451" y="8460"/>
          <a:ext cx="579384" cy="1027509"/>
        </a:xfrm>
        <a:prstGeom prst="rect">
          <a:avLst/>
        </a:prstGeom>
      </xdr:spPr>
    </xdr:pic>
    <xdr:clientData/>
  </xdr:twoCellAnchor>
  <xdr:twoCellAnchor editAs="oneCell">
    <xdr:from>
      <xdr:col>1</xdr:col>
      <xdr:colOff>55218</xdr:colOff>
      <xdr:row>0</xdr:row>
      <xdr:rowOff>143565</xdr:rowOff>
    </xdr:from>
    <xdr:to>
      <xdr:col>1</xdr:col>
      <xdr:colOff>1156126</xdr:colOff>
      <xdr:row>4</xdr:row>
      <xdr:rowOff>132229</xdr:rowOff>
    </xdr:to>
    <xdr:pic>
      <xdr:nvPicPr>
        <xdr:cNvPr id="7" name="6 Imagen">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83818" y="143565"/>
          <a:ext cx="1100908" cy="821421"/>
        </a:xfrm>
        <a:prstGeom prst="rect">
          <a:avLst/>
        </a:prstGeom>
      </xdr:spPr>
    </xdr:pic>
    <xdr:clientData/>
  </xdr:twoCellAnchor>
  <xdr:oneCellAnchor>
    <xdr:from>
      <xdr:col>1</xdr:col>
      <xdr:colOff>1190625</xdr:colOff>
      <xdr:row>0</xdr:row>
      <xdr:rowOff>171450</xdr:rowOff>
    </xdr:from>
    <xdr:ext cx="4086000" cy="720000"/>
    <xdr:pic>
      <xdr:nvPicPr>
        <xdr:cNvPr id="8" name="2 Imagen">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419225" y="171450"/>
          <a:ext cx="4086000" cy="72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xdr:from>
      <xdr:col>9</xdr:col>
      <xdr:colOff>558800</xdr:colOff>
      <xdr:row>10</xdr:row>
      <xdr:rowOff>1511300</xdr:rowOff>
    </xdr:from>
    <xdr:to>
      <xdr:col>14</xdr:col>
      <xdr:colOff>12700</xdr:colOff>
      <xdr:row>10</xdr:row>
      <xdr:rowOff>2819400</xdr:rowOff>
    </xdr:to>
    <xdr:sp macro="" textlink="">
      <xdr:nvSpPr>
        <xdr:cNvPr id="2" name="1 Rectángulo redondeado">
          <a:extLst>
            <a:ext uri="{FF2B5EF4-FFF2-40B4-BE49-F238E27FC236}">
              <a16:creationId xmlns:a16="http://schemas.microsoft.com/office/drawing/2014/main" id="{00000000-0008-0000-0400-000002000000}"/>
            </a:ext>
          </a:extLst>
        </xdr:cNvPr>
        <xdr:cNvSpPr/>
      </xdr:nvSpPr>
      <xdr:spPr>
        <a:xfrm>
          <a:off x="6553200" y="6083300"/>
          <a:ext cx="3390900" cy="13081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CO" sz="1100"/>
        </a:p>
      </xdr:txBody>
    </xdr:sp>
    <xdr:clientData/>
  </xdr:twoCellAnchor>
  <xdr:twoCellAnchor editAs="oneCell">
    <xdr:from>
      <xdr:col>12</xdr:col>
      <xdr:colOff>71120</xdr:colOff>
      <xdr:row>0</xdr:row>
      <xdr:rowOff>100239</xdr:rowOff>
    </xdr:from>
    <xdr:to>
      <xdr:col>15</xdr:col>
      <xdr:colOff>165110</xdr:colOff>
      <xdr:row>2</xdr:row>
      <xdr:rowOff>173777</xdr:rowOff>
    </xdr:to>
    <xdr:pic>
      <xdr:nvPicPr>
        <xdr:cNvPr id="6" name="5 Imagen">
          <a:extLst>
            <a:ext uri="{FF2B5EF4-FFF2-40B4-BE49-F238E27FC236}">
              <a16:creationId xmlns:a16="http://schemas.microsoft.com/office/drawing/2014/main" id="{00000000-0008-0000-0400-000006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10853420" y="100239"/>
          <a:ext cx="2471430" cy="515498"/>
        </a:xfrm>
        <a:prstGeom prst="rect">
          <a:avLst/>
        </a:prstGeom>
      </xdr:spPr>
    </xdr:pic>
    <xdr:clientData/>
  </xdr:twoCellAnchor>
  <xdr:twoCellAnchor editAs="oneCell">
    <xdr:from>
      <xdr:col>15</xdr:col>
      <xdr:colOff>193502</xdr:colOff>
      <xdr:row>0</xdr:row>
      <xdr:rowOff>119742</xdr:rowOff>
    </xdr:from>
    <xdr:to>
      <xdr:col>16</xdr:col>
      <xdr:colOff>1361</xdr:colOff>
      <xdr:row>5</xdr:row>
      <xdr:rowOff>56589</xdr:rowOff>
    </xdr:to>
    <xdr:pic>
      <xdr:nvPicPr>
        <xdr:cNvPr id="7" name="6 Imagen">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53242" y="119742"/>
          <a:ext cx="592719" cy="1018887"/>
        </a:xfrm>
        <a:prstGeom prst="rect">
          <a:avLst/>
        </a:prstGeom>
      </xdr:spPr>
    </xdr:pic>
    <xdr:clientData/>
  </xdr:twoCellAnchor>
  <xdr:twoCellAnchor editAs="oneCell">
    <xdr:from>
      <xdr:col>0</xdr:col>
      <xdr:colOff>150950</xdr:colOff>
      <xdr:row>0</xdr:row>
      <xdr:rowOff>65314</xdr:rowOff>
    </xdr:from>
    <xdr:to>
      <xdr:col>3</xdr:col>
      <xdr:colOff>1362</xdr:colOff>
      <xdr:row>4</xdr:row>
      <xdr:rowOff>24673</xdr:rowOff>
    </xdr:to>
    <xdr:pic>
      <xdr:nvPicPr>
        <xdr:cNvPr id="8" name="7 Imagen">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0950" y="65314"/>
          <a:ext cx="1122952" cy="812799"/>
        </a:xfrm>
        <a:prstGeom prst="rect">
          <a:avLst/>
        </a:prstGeom>
      </xdr:spPr>
    </xdr:pic>
    <xdr:clientData/>
  </xdr:twoCellAnchor>
  <xdr:twoCellAnchor>
    <xdr:from>
      <xdr:col>2</xdr:col>
      <xdr:colOff>533400</xdr:colOff>
      <xdr:row>7</xdr:row>
      <xdr:rowOff>263524</xdr:rowOff>
    </xdr:from>
    <xdr:to>
      <xdr:col>14</xdr:col>
      <xdr:colOff>342900</xdr:colOff>
      <xdr:row>10</xdr:row>
      <xdr:rowOff>2781300</xdr:rowOff>
    </xdr:to>
    <xdr:graphicFrame macro="">
      <xdr:nvGraphicFramePr>
        <xdr:cNvPr id="9" name="3 Diagrama">
          <a:extLst>
            <a:ext uri="{FF2B5EF4-FFF2-40B4-BE49-F238E27FC236}">
              <a16:creationId xmlns:a16="http://schemas.microsoft.com/office/drawing/2014/main" id="{00000000-0008-0000-0400-000009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4" r:lo="rId5" r:qs="rId6" r:cs="rId7"/>
        </a:graphicData>
      </a:graphic>
    </xdr:graphicFrame>
    <xdr:clientData/>
  </xdr:twoCellAnchor>
  <xdr:twoCellAnchor>
    <xdr:from>
      <xdr:col>12</xdr:col>
      <xdr:colOff>576580</xdr:colOff>
      <xdr:row>10</xdr:row>
      <xdr:rowOff>1475740</xdr:rowOff>
    </xdr:from>
    <xdr:to>
      <xdr:col>13</xdr:col>
      <xdr:colOff>662940</xdr:colOff>
      <xdr:row>10</xdr:row>
      <xdr:rowOff>1971040</xdr:rowOff>
    </xdr:to>
    <xdr:sp macro="" textlink="">
      <xdr:nvSpPr>
        <xdr:cNvPr id="10" name="9 Elipse">
          <a:hlinkClick xmlns:r="http://schemas.openxmlformats.org/officeDocument/2006/relationships" r:id="rId9"/>
          <a:extLst>
            <a:ext uri="{FF2B5EF4-FFF2-40B4-BE49-F238E27FC236}">
              <a16:creationId xmlns:a16="http://schemas.microsoft.com/office/drawing/2014/main" id="{00000000-0008-0000-0400-00000A000000}"/>
            </a:ext>
          </a:extLst>
        </xdr:cNvPr>
        <xdr:cNvSpPr/>
      </xdr:nvSpPr>
      <xdr:spPr>
        <a:xfrm>
          <a:off x="8933180" y="6047740"/>
          <a:ext cx="873760" cy="495300"/>
        </a:xfrm>
        <a:prstGeom prst="ellipse">
          <a:avLst/>
        </a:prstGeom>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s-CO" sz="800"/>
            <a:t>Click</a:t>
          </a:r>
          <a:r>
            <a:rPr lang="es-CO" sz="800" baseline="0"/>
            <a:t> para la herramienta</a:t>
          </a:r>
          <a:endParaRPr lang="es-CO" sz="8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24</xdr:col>
      <xdr:colOff>54423</xdr:colOff>
      <xdr:row>1</xdr:row>
      <xdr:rowOff>6615</xdr:rowOff>
    </xdr:from>
    <xdr:to>
      <xdr:col>25</xdr:col>
      <xdr:colOff>1006481</xdr:colOff>
      <xdr:row>2</xdr:row>
      <xdr:rowOff>278092</xdr:rowOff>
    </xdr:to>
    <xdr:pic>
      <xdr:nvPicPr>
        <xdr:cNvPr id="10" name="9 Imagen">
          <a:extLst>
            <a:ext uri="{FF2B5EF4-FFF2-40B4-BE49-F238E27FC236}">
              <a16:creationId xmlns:a16="http://schemas.microsoft.com/office/drawing/2014/main" id="{00000000-0008-0000-0500-00000A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25914798" y="355865"/>
          <a:ext cx="2317307" cy="509602"/>
        </a:xfrm>
        <a:prstGeom prst="rect">
          <a:avLst/>
        </a:prstGeom>
      </xdr:spPr>
    </xdr:pic>
    <xdr:clientData/>
  </xdr:twoCellAnchor>
  <xdr:twoCellAnchor editAs="oneCell">
    <xdr:from>
      <xdr:col>26</xdr:col>
      <xdr:colOff>476072</xdr:colOff>
      <xdr:row>0</xdr:row>
      <xdr:rowOff>79375</xdr:rowOff>
    </xdr:from>
    <xdr:to>
      <xdr:col>27</xdr:col>
      <xdr:colOff>60506</xdr:colOff>
      <xdr:row>3</xdr:row>
      <xdr:rowOff>19050</xdr:rowOff>
    </xdr:to>
    <xdr:pic>
      <xdr:nvPicPr>
        <xdr:cNvPr id="11" name="10 Imagen">
          <a:extLst>
            <a:ext uri="{FF2B5EF4-FFF2-40B4-BE49-F238E27FC236}">
              <a16:creationId xmlns:a16="http://schemas.microsoft.com/office/drawing/2014/main" id="{00000000-0008-0000-05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781197" y="79375"/>
          <a:ext cx="505184" cy="892175"/>
        </a:xfrm>
        <a:prstGeom prst="rect">
          <a:avLst/>
        </a:prstGeom>
      </xdr:spPr>
    </xdr:pic>
    <xdr:clientData/>
  </xdr:twoCellAnchor>
  <xdr:twoCellAnchor editAs="oneCell">
    <xdr:from>
      <xdr:col>1</xdr:col>
      <xdr:colOff>127635</xdr:colOff>
      <xdr:row>0</xdr:row>
      <xdr:rowOff>106530</xdr:rowOff>
    </xdr:from>
    <xdr:to>
      <xdr:col>1</xdr:col>
      <xdr:colOff>1220923</xdr:colOff>
      <xdr:row>2</xdr:row>
      <xdr:rowOff>333950</xdr:rowOff>
    </xdr:to>
    <xdr:pic>
      <xdr:nvPicPr>
        <xdr:cNvPr id="12" name="11 Imagen">
          <a:extLst>
            <a:ext uri="{FF2B5EF4-FFF2-40B4-BE49-F238E27FC236}">
              <a16:creationId xmlns:a16="http://schemas.microsoft.com/office/drawing/2014/main" id="{00000000-0008-0000-0500-00000C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8635" y="106530"/>
          <a:ext cx="1093288" cy="798920"/>
        </a:xfrm>
        <a:prstGeom prst="rect">
          <a:avLst/>
        </a:prstGeom>
      </xdr:spPr>
    </xdr:pic>
    <xdr:clientData/>
  </xdr:twoCellAnchor>
  <xdr:twoCellAnchor editAs="absolute">
    <xdr:from>
      <xdr:col>1</xdr:col>
      <xdr:colOff>2226469</xdr:colOff>
      <xdr:row>1</xdr:row>
      <xdr:rowOff>0</xdr:rowOff>
    </xdr:from>
    <xdr:to>
      <xdr:col>2</xdr:col>
      <xdr:colOff>593986</xdr:colOff>
      <xdr:row>3</xdr:row>
      <xdr:rowOff>18030</xdr:rowOff>
    </xdr:to>
    <xdr:pic>
      <xdr:nvPicPr>
        <xdr:cNvPr id="5" name="4 Imagen">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598964" y="340179"/>
          <a:ext cx="891642" cy="630351"/>
        </a:xfrm>
        <a:prstGeom prst="rect">
          <a:avLst/>
        </a:prstGeom>
      </xdr:spPr>
    </xdr:pic>
    <xdr:clientData/>
  </xdr:twoCellAnchor>
  <xdr:twoCellAnchor editAs="absolute">
    <xdr:from>
      <xdr:col>2</xdr:col>
      <xdr:colOff>748068</xdr:colOff>
      <xdr:row>1</xdr:row>
      <xdr:rowOff>1</xdr:rowOff>
    </xdr:from>
    <xdr:to>
      <xdr:col>2</xdr:col>
      <xdr:colOff>1228986</xdr:colOff>
      <xdr:row>2</xdr:row>
      <xdr:rowOff>317273</xdr:rowOff>
    </xdr:to>
    <xdr:pic>
      <xdr:nvPicPr>
        <xdr:cNvPr id="6" name="5 Imagen">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644688" y="340180"/>
          <a:ext cx="480918" cy="562200"/>
        </a:xfrm>
        <a:prstGeom prst="rect">
          <a:avLst/>
        </a:prstGeom>
      </xdr:spPr>
    </xdr:pic>
    <xdr:clientData/>
  </xdr:twoCellAnchor>
  <xdr:twoCellAnchor>
    <xdr:from>
      <xdr:col>2</xdr:col>
      <xdr:colOff>2299607</xdr:colOff>
      <xdr:row>0</xdr:row>
      <xdr:rowOff>136071</xdr:rowOff>
    </xdr:from>
    <xdr:to>
      <xdr:col>2</xdr:col>
      <xdr:colOff>3823607</xdr:colOff>
      <xdr:row>2</xdr:row>
      <xdr:rowOff>353786</xdr:rowOff>
    </xdr:to>
    <xdr:sp macro="" textlink="">
      <xdr:nvSpPr>
        <xdr:cNvPr id="2" name="1 Rectángulo">
          <a:extLst>
            <a:ext uri="{FF2B5EF4-FFF2-40B4-BE49-F238E27FC236}">
              <a16:creationId xmlns:a16="http://schemas.microsoft.com/office/drawing/2014/main" id="{00000000-0008-0000-0500-000002000000}"/>
            </a:ext>
          </a:extLst>
        </xdr:cNvPr>
        <xdr:cNvSpPr/>
      </xdr:nvSpPr>
      <xdr:spPr>
        <a:xfrm>
          <a:off x="4898571" y="136071"/>
          <a:ext cx="1524000" cy="80282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t>Inserte su LOGO</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30</xdr:col>
      <xdr:colOff>0</xdr:colOff>
      <xdr:row>0</xdr:row>
      <xdr:rowOff>282840</xdr:rowOff>
    </xdr:from>
    <xdr:to>
      <xdr:col>31</xdr:col>
      <xdr:colOff>682182</xdr:colOff>
      <xdr:row>2</xdr:row>
      <xdr:rowOff>122517</xdr:rowOff>
    </xdr:to>
    <xdr:pic>
      <xdr:nvPicPr>
        <xdr:cNvPr id="2" name="1 Imagen">
          <a:extLst>
            <a:ext uri="{FF2B5EF4-FFF2-40B4-BE49-F238E27FC236}">
              <a16:creationId xmlns:a16="http://schemas.microsoft.com/office/drawing/2014/main" id="{00000000-0008-0000-06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709" t="41636" r="17945" b="40729"/>
        <a:stretch/>
      </xdr:blipFill>
      <xdr:spPr>
        <a:xfrm>
          <a:off x="49978123" y="282840"/>
          <a:ext cx="2323657" cy="503252"/>
        </a:xfrm>
        <a:prstGeom prst="rect">
          <a:avLst/>
        </a:prstGeom>
      </xdr:spPr>
    </xdr:pic>
    <xdr:clientData/>
  </xdr:twoCellAnchor>
  <xdr:twoCellAnchor editAs="oneCell">
    <xdr:from>
      <xdr:col>31</xdr:col>
      <xdr:colOff>857072</xdr:colOff>
      <xdr:row>0</xdr:row>
      <xdr:rowOff>38100</xdr:rowOff>
    </xdr:from>
    <xdr:to>
      <xdr:col>32</xdr:col>
      <xdr:colOff>127000</xdr:colOff>
      <xdr:row>2</xdr:row>
      <xdr:rowOff>279400</xdr:rowOff>
    </xdr:to>
    <xdr:pic>
      <xdr:nvPicPr>
        <xdr:cNvPr id="3" name="2 Imagen">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955822" y="38100"/>
          <a:ext cx="603428" cy="886883"/>
        </a:xfrm>
        <a:prstGeom prst="rect">
          <a:avLst/>
        </a:prstGeom>
      </xdr:spPr>
    </xdr:pic>
    <xdr:clientData/>
  </xdr:twoCellAnchor>
  <xdr:twoCellAnchor editAs="oneCell">
    <xdr:from>
      <xdr:col>1</xdr:col>
      <xdr:colOff>95885</xdr:colOff>
      <xdr:row>0</xdr:row>
      <xdr:rowOff>79375</xdr:rowOff>
    </xdr:from>
    <xdr:to>
      <xdr:col>1</xdr:col>
      <xdr:colOff>1397001</xdr:colOff>
      <xdr:row>3</xdr:row>
      <xdr:rowOff>115583</xdr:rowOff>
    </xdr:to>
    <xdr:pic>
      <xdr:nvPicPr>
        <xdr:cNvPr id="4" name="3 Imagen">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61010" y="79375"/>
          <a:ext cx="1301116" cy="988708"/>
        </a:xfrm>
        <a:prstGeom prst="rect">
          <a:avLst/>
        </a:prstGeom>
      </xdr:spPr>
    </xdr:pic>
    <xdr:clientData/>
  </xdr:twoCellAnchor>
  <xdr:twoCellAnchor editAs="oneCell">
    <xdr:from>
      <xdr:col>1</xdr:col>
      <xdr:colOff>127635</xdr:colOff>
      <xdr:row>0</xdr:row>
      <xdr:rowOff>106530</xdr:rowOff>
    </xdr:from>
    <xdr:to>
      <xdr:col>1</xdr:col>
      <xdr:colOff>1220923</xdr:colOff>
      <xdr:row>3</xdr:row>
      <xdr:rowOff>575</xdr:rowOff>
    </xdr:to>
    <xdr:pic>
      <xdr:nvPicPr>
        <xdr:cNvPr id="5" name="4 Imagen">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99110" y="106530"/>
          <a:ext cx="1093288" cy="808445"/>
        </a:xfrm>
        <a:prstGeom prst="rect">
          <a:avLst/>
        </a:prstGeom>
      </xdr:spPr>
    </xdr:pic>
    <xdr:clientData/>
  </xdr:twoCellAnchor>
  <xdr:twoCellAnchor>
    <xdr:from>
      <xdr:col>2</xdr:col>
      <xdr:colOff>2240076</xdr:colOff>
      <xdr:row>0</xdr:row>
      <xdr:rowOff>124165</xdr:rowOff>
    </xdr:from>
    <xdr:to>
      <xdr:col>2</xdr:col>
      <xdr:colOff>3230676</xdr:colOff>
      <xdr:row>2</xdr:row>
      <xdr:rowOff>294255</xdr:rowOff>
    </xdr:to>
    <xdr:sp macro="" textlink="">
      <xdr:nvSpPr>
        <xdr:cNvPr id="6" name="5 Rectángulo">
          <a:extLst>
            <a:ext uri="{FF2B5EF4-FFF2-40B4-BE49-F238E27FC236}">
              <a16:creationId xmlns:a16="http://schemas.microsoft.com/office/drawing/2014/main" id="{00000000-0008-0000-0600-000006000000}"/>
            </a:ext>
          </a:extLst>
        </xdr:cNvPr>
        <xdr:cNvSpPr/>
      </xdr:nvSpPr>
      <xdr:spPr>
        <a:xfrm>
          <a:off x="5252357" y="124165"/>
          <a:ext cx="990600" cy="82493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t>Inserte su LOGO</a:t>
          </a:r>
        </a:p>
      </xdr:txBody>
    </xdr:sp>
    <xdr:clientData/>
  </xdr:twoCellAnchor>
  <xdr:twoCellAnchor editAs="absolute">
    <xdr:from>
      <xdr:col>2</xdr:col>
      <xdr:colOff>0</xdr:colOff>
      <xdr:row>1</xdr:row>
      <xdr:rowOff>0</xdr:rowOff>
    </xdr:from>
    <xdr:to>
      <xdr:col>2</xdr:col>
      <xdr:colOff>891642</xdr:colOff>
      <xdr:row>3</xdr:row>
      <xdr:rowOff>11226</xdr:rowOff>
    </xdr:to>
    <xdr:pic>
      <xdr:nvPicPr>
        <xdr:cNvPr id="7" name="6 Imagen">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012281" y="345281"/>
          <a:ext cx="891642" cy="630351"/>
        </a:xfrm>
        <a:prstGeom prst="rect">
          <a:avLst/>
        </a:prstGeom>
      </xdr:spPr>
    </xdr:pic>
    <xdr:clientData/>
  </xdr:twoCellAnchor>
  <xdr:twoCellAnchor editAs="absolute">
    <xdr:from>
      <xdr:col>2</xdr:col>
      <xdr:colOff>1045724</xdr:colOff>
      <xdr:row>1</xdr:row>
      <xdr:rowOff>1</xdr:rowOff>
    </xdr:from>
    <xdr:to>
      <xdr:col>2</xdr:col>
      <xdr:colOff>1526642</xdr:colOff>
      <xdr:row>2</xdr:row>
      <xdr:rowOff>252638</xdr:rowOff>
    </xdr:to>
    <xdr:pic>
      <xdr:nvPicPr>
        <xdr:cNvPr id="8" name="7 Imagen">
          <a:extLst>
            <a:ext uri="{FF2B5EF4-FFF2-40B4-BE49-F238E27FC236}">
              <a16:creationId xmlns:a16="http://schemas.microsoft.com/office/drawing/2014/main" id="{00000000-0008-0000-0600-000008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058005" y="345282"/>
          <a:ext cx="480918" cy="5622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11</xdr:col>
      <xdr:colOff>31750</xdr:colOff>
      <xdr:row>1</xdr:row>
      <xdr:rowOff>125942</xdr:rowOff>
    </xdr:from>
    <xdr:to>
      <xdr:col>19</xdr:col>
      <xdr:colOff>279400</xdr:colOff>
      <xdr:row>17</xdr:row>
      <xdr:rowOff>10584</xdr:rowOff>
    </xdr:to>
    <xdr:graphicFrame macro="">
      <xdr:nvGraphicFramePr>
        <xdr:cNvPr id="2" name="1 Gráfico">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754591</xdr:colOff>
      <xdr:row>13</xdr:row>
      <xdr:rowOff>350291</xdr:rowOff>
    </xdr:from>
    <xdr:to>
      <xdr:col>14</xdr:col>
      <xdr:colOff>628591</xdr:colOff>
      <xdr:row>15</xdr:row>
      <xdr:rowOff>13741</xdr:rowOff>
    </xdr:to>
    <xdr:sp macro="" textlink="">
      <xdr:nvSpPr>
        <xdr:cNvPr id="3" name="2 Rectángulo">
          <a:extLst>
            <a:ext uri="{FF2B5EF4-FFF2-40B4-BE49-F238E27FC236}">
              <a16:creationId xmlns:a16="http://schemas.microsoft.com/office/drawing/2014/main" id="{00000000-0008-0000-0700-000003000000}"/>
            </a:ext>
          </a:extLst>
        </xdr:cNvPr>
        <xdr:cNvSpPr/>
      </xdr:nvSpPr>
      <xdr:spPr>
        <a:xfrm>
          <a:off x="12142258" y="3715791"/>
          <a:ext cx="2160000" cy="256117"/>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1</a:t>
          </a:r>
        </a:p>
      </xdr:txBody>
    </xdr:sp>
    <xdr:clientData/>
  </xdr:twoCellAnchor>
  <xdr:twoCellAnchor>
    <xdr:from>
      <xdr:col>16</xdr:col>
      <xdr:colOff>202141</xdr:colOff>
      <xdr:row>13</xdr:row>
      <xdr:rowOff>350291</xdr:rowOff>
    </xdr:from>
    <xdr:to>
      <xdr:col>19</xdr:col>
      <xdr:colOff>76141</xdr:colOff>
      <xdr:row>15</xdr:row>
      <xdr:rowOff>13741</xdr:rowOff>
    </xdr:to>
    <xdr:sp macro="" textlink="">
      <xdr:nvSpPr>
        <xdr:cNvPr id="4" name="3 Rectángulo">
          <a:extLst>
            <a:ext uri="{FF2B5EF4-FFF2-40B4-BE49-F238E27FC236}">
              <a16:creationId xmlns:a16="http://schemas.microsoft.com/office/drawing/2014/main" id="{00000000-0008-0000-0700-000004000000}"/>
            </a:ext>
          </a:extLst>
        </xdr:cNvPr>
        <xdr:cNvSpPr/>
      </xdr:nvSpPr>
      <xdr:spPr>
        <a:xfrm>
          <a:off x="15399808" y="3715791"/>
          <a:ext cx="2160000" cy="256117"/>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3</a:t>
          </a:r>
        </a:p>
      </xdr:txBody>
    </xdr:sp>
    <xdr:clientData/>
  </xdr:twoCellAnchor>
  <xdr:twoCellAnchor>
    <xdr:from>
      <xdr:col>15</xdr:col>
      <xdr:colOff>68792</xdr:colOff>
      <xdr:row>13</xdr:row>
      <xdr:rowOff>350291</xdr:rowOff>
    </xdr:from>
    <xdr:to>
      <xdr:col>15</xdr:col>
      <xdr:colOff>716792</xdr:colOff>
      <xdr:row>15</xdr:row>
      <xdr:rowOff>13741</xdr:rowOff>
    </xdr:to>
    <xdr:sp macro="" textlink="">
      <xdr:nvSpPr>
        <xdr:cNvPr id="5" name="4 Rectángulo">
          <a:extLst>
            <a:ext uri="{FF2B5EF4-FFF2-40B4-BE49-F238E27FC236}">
              <a16:creationId xmlns:a16="http://schemas.microsoft.com/office/drawing/2014/main" id="{00000000-0008-0000-0700-000005000000}"/>
            </a:ext>
          </a:extLst>
        </xdr:cNvPr>
        <xdr:cNvSpPr/>
      </xdr:nvSpPr>
      <xdr:spPr>
        <a:xfrm>
          <a:off x="14504459" y="3715791"/>
          <a:ext cx="648000" cy="256117"/>
        </a:xfrm>
        <a:prstGeom prst="rect">
          <a:avLst/>
        </a:prstGeom>
        <a:solidFill>
          <a:schemeClr val="bg1"/>
        </a:solidFill>
        <a:ln>
          <a:solidFill>
            <a:schemeClr val="tx2">
              <a:lumMod val="60000"/>
              <a:lumOff val="40000"/>
            </a:schemeClr>
          </a:solidFill>
        </a:ln>
      </xdr:spPr>
      <xdr:style>
        <a:lnRef idx="2">
          <a:schemeClr val="accent3"/>
        </a:lnRef>
        <a:fillRef idx="1">
          <a:schemeClr val="lt1"/>
        </a:fillRef>
        <a:effectRef idx="0">
          <a:schemeClr val="accent3"/>
        </a:effectRef>
        <a:fontRef idx="minor">
          <a:schemeClr val="dk1"/>
        </a:fontRef>
      </xdr:style>
      <xdr:txBody>
        <a:bodyPr vertOverflow="clip" rtlCol="0" anchor="ctr"/>
        <a:lstStyle/>
        <a:p>
          <a:pPr algn="ctr"/>
          <a:r>
            <a:rPr lang="es-ES" sz="1100"/>
            <a:t>2</a:t>
          </a:r>
        </a:p>
      </xdr:txBody>
    </xdr:sp>
    <xdr:clientData/>
  </xdr:twoCellAnchor>
  <xdr:twoCellAnchor>
    <xdr:from>
      <xdr:col>11</xdr:col>
      <xdr:colOff>31750</xdr:colOff>
      <xdr:row>18</xdr:row>
      <xdr:rowOff>189442</xdr:rowOff>
    </xdr:from>
    <xdr:to>
      <xdr:col>17</xdr:col>
      <xdr:colOff>730250</xdr:colOff>
      <xdr:row>35</xdr:row>
      <xdr:rowOff>85725</xdr:rowOff>
    </xdr:to>
    <xdr:graphicFrame macro="">
      <xdr:nvGraphicFramePr>
        <xdr:cNvPr id="6" name="5 Gráfico">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cueducto-my.sharepoint.com/Users/oficina/Downloads/Herramienta%20CalculoHC%20291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INSTRUCCIONES GESTIÓN DE LA INF"/>
      <sheetName val="FORMATO"/>
      <sheetName val="INSTRUCCIONES INCERTIDUMBRE"/>
      <sheetName val="HC CORPORATIVA-INCERTIDUMBRE"/>
      <sheetName val="Otros factores"/>
    </sheetNames>
    <sheetDataSet>
      <sheetData sheetId="0" refreshError="1"/>
      <sheetData sheetId="1" refreshError="1"/>
      <sheetData sheetId="2">
        <row r="261">
          <cell r="B261" t="str">
            <v>Combustibles_Solidos</v>
          </cell>
        </row>
        <row r="262">
          <cell r="B262" t="str">
            <v>Combustibles_Gaseosos</v>
          </cell>
        </row>
        <row r="263">
          <cell r="B263" t="str">
            <v>Combustibles_Liquidos</v>
          </cell>
        </row>
        <row r="264">
          <cell r="B264" t="str">
            <v>Gases_Refrigerantes</v>
          </cell>
        </row>
        <row r="265">
          <cell r="B265" t="str">
            <v>Tratamiento_de_Residuos</v>
          </cell>
        </row>
        <row r="266">
          <cell r="B266" t="str">
            <v>Procesos_Agropecuarios</v>
          </cell>
        </row>
        <row r="267">
          <cell r="B267" t="str">
            <v>Energia_Electrica</v>
          </cell>
        </row>
        <row r="268">
          <cell r="B268" t="str">
            <v>Otras</v>
          </cell>
        </row>
      </sheetData>
      <sheetData sheetId="3" refreshError="1"/>
      <sheetData sheetId="4"/>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hyperlink" Target="mailto:mpcruz@acueducto.com.co" TargetMode="External"/><Relationship Id="rId7" Type="http://schemas.openxmlformats.org/officeDocument/2006/relationships/vmlDrawing" Target="../drawings/vmlDrawing3.vml"/><Relationship Id="rId2" Type="http://schemas.openxmlformats.org/officeDocument/2006/relationships/hyperlink" Target="http://www.lindeus.com/internet.lg.lg.usa/en/images/Linde%20R290%20Refrigerant%20Grade%20Propane138_11493.pdf" TargetMode="External"/><Relationship Id="rId1" Type="http://schemas.openxmlformats.org/officeDocument/2006/relationships/hyperlink" Target="http://www.gas-servei.com/images/Ficha-tecnica-R404A.pdf" TargetMode="External"/><Relationship Id="rId6" Type="http://schemas.openxmlformats.org/officeDocument/2006/relationships/drawing" Target="../drawings/drawing5.xml"/><Relationship Id="rId5" Type="http://schemas.openxmlformats.org/officeDocument/2006/relationships/printerSettings" Target="../printerSettings/printerSettings5.bin"/><Relationship Id="rId4" Type="http://schemas.openxmlformats.org/officeDocument/2006/relationships/hyperlink" Target="https://www.ipcc-nggip.iges.or.jp/public/2006gl/spanish/pdf/4_Volume4/V4_p_Ap3_WetlandsCH4.pdf" TargetMode="Externa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hyperlink" Target="mailto:mpcruz@acueducto.com.co" TargetMode="External"/><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48"/>
  <sheetViews>
    <sheetView zoomScale="77" zoomScaleNormal="77" workbookViewId="0">
      <selection activeCell="D3" sqref="D3:E4"/>
    </sheetView>
  </sheetViews>
  <sheetFormatPr baseColWidth="10" defaultRowHeight="15" x14ac:dyDescent="0.25"/>
  <cols>
    <col min="1" max="1" width="3.42578125" customWidth="1"/>
  </cols>
  <sheetData>
    <row r="1" spans="1:25" x14ac:dyDescent="0.25">
      <c r="A1" s="2"/>
      <c r="B1" s="2"/>
      <c r="C1" s="2"/>
      <c r="D1" s="2"/>
      <c r="E1" s="2"/>
      <c r="F1" s="2"/>
      <c r="G1" s="2"/>
      <c r="H1" s="2"/>
      <c r="I1" s="2"/>
      <c r="J1" s="2"/>
      <c r="K1" s="2"/>
      <c r="L1" s="2"/>
      <c r="M1" s="2"/>
      <c r="N1" s="2"/>
      <c r="O1" s="2"/>
      <c r="P1" s="2"/>
      <c r="Q1" s="2"/>
      <c r="R1" s="2"/>
      <c r="S1" s="2"/>
      <c r="T1" s="2"/>
      <c r="U1" s="2"/>
      <c r="V1" s="2"/>
      <c r="W1" s="2"/>
      <c r="X1" s="2"/>
      <c r="Y1" s="2"/>
    </row>
    <row r="2" spans="1:25" x14ac:dyDescent="0.25">
      <c r="A2" s="2"/>
      <c r="B2" s="3"/>
      <c r="C2" s="32"/>
      <c r="D2" s="32"/>
      <c r="E2" s="33"/>
      <c r="F2" s="33"/>
      <c r="G2" s="33"/>
      <c r="H2" s="33"/>
      <c r="I2" s="33"/>
      <c r="J2" s="33"/>
      <c r="K2" s="33"/>
      <c r="L2" s="33"/>
      <c r="M2" s="33"/>
      <c r="N2" s="33"/>
      <c r="O2" s="33"/>
      <c r="P2" s="32"/>
      <c r="Q2" s="32"/>
      <c r="R2" s="34"/>
      <c r="S2" s="34"/>
      <c r="T2" s="34"/>
      <c r="U2" s="32"/>
      <c r="V2" s="32"/>
      <c r="W2" s="4"/>
      <c r="X2" s="2"/>
      <c r="Y2" s="2"/>
    </row>
    <row r="3" spans="1:25" x14ac:dyDescent="0.25">
      <c r="A3" s="2"/>
      <c r="B3" s="5"/>
      <c r="C3" s="1"/>
      <c r="D3" s="653" t="s">
        <v>856</v>
      </c>
      <c r="E3" s="653"/>
      <c r="F3" s="35"/>
      <c r="G3" s="35"/>
      <c r="H3" s="35"/>
      <c r="I3" s="35"/>
      <c r="J3" s="35"/>
      <c r="K3" s="35"/>
      <c r="L3" s="35"/>
      <c r="M3" s="35"/>
      <c r="N3" s="35"/>
      <c r="O3" s="35"/>
      <c r="P3" s="35"/>
      <c r="Q3" s="36"/>
      <c r="R3" s="9"/>
      <c r="S3" s="9"/>
      <c r="T3" s="9"/>
      <c r="U3" s="8"/>
      <c r="V3" s="8"/>
      <c r="W3" s="6"/>
      <c r="X3" s="2"/>
      <c r="Y3" s="2"/>
    </row>
    <row r="4" spans="1:25" ht="18.75" x14ac:dyDescent="0.25">
      <c r="A4" s="2"/>
      <c r="B4" s="5"/>
      <c r="C4" s="48"/>
      <c r="D4" s="653"/>
      <c r="E4" s="653"/>
      <c r="F4" s="35"/>
      <c r="G4" s="35"/>
      <c r="H4" s="35"/>
      <c r="I4" s="35"/>
      <c r="J4" s="35"/>
      <c r="K4" s="35"/>
      <c r="L4" s="37"/>
      <c r="M4" s="35"/>
      <c r="N4" s="35"/>
      <c r="O4" s="35"/>
      <c r="P4" s="35"/>
      <c r="Q4" s="38"/>
      <c r="R4" s="38"/>
      <c r="S4" s="38"/>
      <c r="T4" s="38"/>
      <c r="U4" s="38"/>
      <c r="V4" s="39"/>
      <c r="W4" s="6"/>
      <c r="X4" s="2"/>
      <c r="Y4" s="2"/>
    </row>
    <row r="5" spans="1:25" ht="18.75" x14ac:dyDescent="0.25">
      <c r="A5" s="2"/>
      <c r="B5" s="5"/>
      <c r="C5" s="8"/>
      <c r="D5" s="79"/>
      <c r="E5" s="80"/>
      <c r="F5" s="35"/>
      <c r="G5" s="35"/>
      <c r="H5" s="8"/>
      <c r="I5" s="35"/>
      <c r="J5" s="35"/>
      <c r="K5" s="35"/>
      <c r="L5" s="35"/>
      <c r="M5" s="35"/>
      <c r="N5" s="35"/>
      <c r="O5" s="35"/>
      <c r="P5" s="35"/>
      <c r="Q5" s="38"/>
      <c r="R5" s="38"/>
      <c r="S5" s="38"/>
      <c r="T5" s="38"/>
      <c r="U5" s="38"/>
      <c r="V5" s="39"/>
      <c r="W5" s="6"/>
      <c r="X5" s="2"/>
      <c r="Y5" s="2"/>
    </row>
    <row r="6" spans="1:25" x14ac:dyDescent="0.25">
      <c r="A6" s="2"/>
      <c r="B6" s="5"/>
      <c r="C6" s="8"/>
      <c r="D6" s="9"/>
      <c r="E6" s="40"/>
      <c r="F6" s="9"/>
      <c r="G6" s="9"/>
      <c r="H6" s="9"/>
      <c r="I6" s="9"/>
      <c r="J6" s="9"/>
      <c r="K6" s="9"/>
      <c r="L6" s="9"/>
      <c r="M6" s="9"/>
      <c r="N6" s="9"/>
      <c r="O6" s="9"/>
      <c r="P6" s="9"/>
      <c r="Q6" s="9"/>
      <c r="R6" s="655"/>
      <c r="S6" s="655"/>
      <c r="T6" s="655"/>
      <c r="U6" s="655"/>
      <c r="V6" s="655"/>
      <c r="W6" s="6"/>
      <c r="X6" s="2"/>
      <c r="Y6" s="2"/>
    </row>
    <row r="7" spans="1:25" x14ac:dyDescent="0.25">
      <c r="A7" s="2"/>
      <c r="B7" s="5"/>
      <c r="C7" s="10"/>
      <c r="D7" s="11"/>
      <c r="E7" s="12"/>
      <c r="F7" s="11"/>
      <c r="G7" s="11"/>
      <c r="H7" s="11"/>
      <c r="I7" s="11"/>
      <c r="J7" s="11"/>
      <c r="K7" s="11"/>
      <c r="L7" s="11"/>
      <c r="M7" s="11"/>
      <c r="N7" s="11"/>
      <c r="O7" s="11"/>
      <c r="P7" s="11"/>
      <c r="Q7" s="11"/>
      <c r="R7" s="11"/>
      <c r="S7" s="11"/>
      <c r="T7" s="11"/>
      <c r="U7" s="13"/>
      <c r="V7" s="14"/>
      <c r="W7" s="6"/>
      <c r="X7" s="2"/>
      <c r="Y7" s="2"/>
    </row>
    <row r="8" spans="1:25" ht="31.5" customHeight="1" x14ac:dyDescent="0.25">
      <c r="A8" s="2"/>
      <c r="B8" s="5"/>
      <c r="C8" s="15"/>
      <c r="D8" s="16"/>
      <c r="E8" s="657" t="s">
        <v>208</v>
      </c>
      <c r="F8" s="657"/>
      <c r="G8" s="657"/>
      <c r="H8" s="657"/>
      <c r="I8" s="657"/>
      <c r="J8" s="657"/>
      <c r="K8" s="657"/>
      <c r="L8" s="657"/>
      <c r="M8" s="657"/>
      <c r="N8" s="657"/>
      <c r="O8" s="657"/>
      <c r="P8" s="657"/>
      <c r="Q8" s="657"/>
      <c r="R8" s="657"/>
      <c r="S8" s="657"/>
      <c r="T8" s="657"/>
      <c r="U8" s="16"/>
      <c r="V8" s="17"/>
      <c r="W8" s="6"/>
      <c r="X8" s="2"/>
      <c r="Y8" s="2"/>
    </row>
    <row r="9" spans="1:25" ht="31.5" x14ac:dyDescent="0.25">
      <c r="A9" s="2"/>
      <c r="B9" s="5"/>
      <c r="C9" s="15"/>
      <c r="D9" s="16"/>
      <c r="E9" s="657"/>
      <c r="F9" s="657"/>
      <c r="G9" s="657"/>
      <c r="H9" s="657"/>
      <c r="I9" s="657"/>
      <c r="J9" s="657"/>
      <c r="K9" s="657"/>
      <c r="L9" s="657"/>
      <c r="M9" s="657"/>
      <c r="N9" s="657"/>
      <c r="O9" s="657"/>
      <c r="P9" s="657"/>
      <c r="Q9" s="657"/>
      <c r="R9" s="657"/>
      <c r="S9" s="657"/>
      <c r="T9" s="657"/>
      <c r="U9" s="16"/>
      <c r="V9" s="17"/>
      <c r="W9" s="6"/>
      <c r="X9" s="2"/>
      <c r="Y9" s="2"/>
    </row>
    <row r="10" spans="1:25" ht="31.5" x14ac:dyDescent="0.25">
      <c r="A10" s="2"/>
      <c r="B10" s="5"/>
      <c r="C10" s="15"/>
      <c r="D10" s="16"/>
      <c r="E10" s="657"/>
      <c r="F10" s="657"/>
      <c r="G10" s="657"/>
      <c r="H10" s="657"/>
      <c r="I10" s="657"/>
      <c r="J10" s="657"/>
      <c r="K10" s="657"/>
      <c r="L10" s="657"/>
      <c r="M10" s="657"/>
      <c r="N10" s="657"/>
      <c r="O10" s="657"/>
      <c r="P10" s="657"/>
      <c r="Q10" s="657"/>
      <c r="R10" s="657"/>
      <c r="S10" s="657"/>
      <c r="T10" s="657"/>
      <c r="U10" s="16"/>
      <c r="V10" s="17"/>
      <c r="W10" s="6"/>
      <c r="X10" s="2"/>
      <c r="Y10" s="2"/>
    </row>
    <row r="11" spans="1:25" ht="31.5" x14ac:dyDescent="0.25">
      <c r="A11" s="2"/>
      <c r="B11" s="5"/>
      <c r="C11" s="15"/>
      <c r="D11" s="16"/>
      <c r="E11" s="16"/>
      <c r="F11" s="16"/>
      <c r="G11" s="16"/>
      <c r="H11" s="16"/>
      <c r="I11" s="16"/>
      <c r="J11" s="16"/>
      <c r="K11" s="16"/>
      <c r="L11" s="16"/>
      <c r="M11" s="16"/>
      <c r="N11" s="16"/>
      <c r="O11" s="16"/>
      <c r="P11" s="16"/>
      <c r="Q11" s="16"/>
      <c r="R11" s="16"/>
      <c r="S11" s="16"/>
      <c r="T11" s="16"/>
      <c r="U11" s="16"/>
      <c r="V11" s="17"/>
      <c r="W11" s="6"/>
      <c r="X11" s="2"/>
      <c r="Y11" s="2"/>
    </row>
    <row r="12" spans="1:25" ht="98.25" customHeight="1" x14ac:dyDescent="0.25">
      <c r="A12" s="2"/>
      <c r="B12" s="5"/>
      <c r="C12" s="15"/>
      <c r="D12" s="16"/>
      <c r="E12" s="658" t="s">
        <v>231</v>
      </c>
      <c r="F12" s="658"/>
      <c r="G12" s="658"/>
      <c r="H12" s="658"/>
      <c r="I12" s="658"/>
      <c r="J12" s="658"/>
      <c r="K12" s="658"/>
      <c r="L12" s="658"/>
      <c r="M12" s="659" t="s">
        <v>232</v>
      </c>
      <c r="N12" s="659"/>
      <c r="O12" s="659"/>
      <c r="P12" s="659"/>
      <c r="Q12" s="659"/>
      <c r="R12" s="659"/>
      <c r="S12" s="659"/>
      <c r="T12" s="659"/>
      <c r="U12" s="16"/>
      <c r="V12" s="17"/>
      <c r="W12" s="6"/>
      <c r="X12" s="2"/>
      <c r="Y12" s="2"/>
    </row>
    <row r="13" spans="1:25" ht="31.5" x14ac:dyDescent="0.25">
      <c r="A13" s="2"/>
      <c r="B13" s="5"/>
      <c r="C13" s="15"/>
      <c r="D13" s="16"/>
      <c r="E13" s="658"/>
      <c r="F13" s="658"/>
      <c r="G13" s="658"/>
      <c r="H13" s="658"/>
      <c r="I13" s="658"/>
      <c r="J13" s="658"/>
      <c r="K13" s="658"/>
      <c r="L13" s="658"/>
      <c r="M13" s="659"/>
      <c r="N13" s="659"/>
      <c r="O13" s="659"/>
      <c r="P13" s="659"/>
      <c r="Q13" s="659"/>
      <c r="R13" s="659"/>
      <c r="S13" s="659"/>
      <c r="T13" s="659"/>
      <c r="U13" s="16"/>
      <c r="V13" s="17"/>
      <c r="W13" s="6"/>
      <c r="X13" s="2"/>
      <c r="Y13" s="2"/>
    </row>
    <row r="14" spans="1:25" ht="31.5" x14ac:dyDescent="0.25">
      <c r="A14" s="2"/>
      <c r="B14" s="5"/>
      <c r="C14" s="15"/>
      <c r="D14" s="16"/>
      <c r="E14" s="16"/>
      <c r="F14" s="16"/>
      <c r="G14" s="16"/>
      <c r="H14" s="16"/>
      <c r="I14" s="16"/>
      <c r="J14" s="16"/>
      <c r="K14" s="16"/>
      <c r="L14" s="16"/>
      <c r="M14" s="16"/>
      <c r="N14" s="16"/>
      <c r="O14" s="16"/>
      <c r="P14" s="16"/>
      <c r="Q14" s="16"/>
      <c r="R14" s="16"/>
      <c r="S14" s="16"/>
      <c r="T14" s="16"/>
      <c r="U14" s="16"/>
      <c r="V14" s="17"/>
      <c r="W14" s="6"/>
      <c r="X14" s="2"/>
      <c r="Y14" s="2"/>
    </row>
    <row r="15" spans="1:25" x14ac:dyDescent="0.25">
      <c r="A15" s="2"/>
      <c r="B15" s="5"/>
      <c r="C15" s="15"/>
      <c r="D15" s="18"/>
      <c r="E15" s="18"/>
      <c r="F15" s="18"/>
      <c r="G15" s="18"/>
      <c r="H15" s="18"/>
      <c r="I15" s="18"/>
      <c r="J15" s="18"/>
      <c r="K15" s="18"/>
      <c r="L15" s="18"/>
      <c r="M15" s="18"/>
      <c r="N15" s="18"/>
      <c r="O15" s="18"/>
      <c r="P15" s="18"/>
      <c r="Q15" s="18"/>
      <c r="R15" s="18"/>
      <c r="S15" s="18"/>
      <c r="T15" s="18"/>
      <c r="U15" s="18"/>
      <c r="V15" s="17"/>
      <c r="W15" s="6"/>
      <c r="X15" s="2"/>
      <c r="Y15" s="2"/>
    </row>
    <row r="16" spans="1:25" x14ac:dyDescent="0.25">
      <c r="A16" s="2"/>
      <c r="B16" s="41"/>
      <c r="C16" s="19"/>
      <c r="D16" s="656" t="s">
        <v>262</v>
      </c>
      <c r="E16" s="656"/>
      <c r="F16" s="656"/>
      <c r="G16" s="656"/>
      <c r="H16" s="656"/>
      <c r="I16" s="656"/>
      <c r="J16" s="656"/>
      <c r="K16" s="656"/>
      <c r="L16" s="656"/>
      <c r="M16" s="656"/>
      <c r="N16" s="656"/>
      <c r="O16" s="656"/>
      <c r="P16" s="656"/>
      <c r="Q16" s="656"/>
      <c r="R16" s="656"/>
      <c r="S16" s="656"/>
      <c r="T16" s="656"/>
      <c r="U16" s="656"/>
      <c r="V16" s="20"/>
      <c r="W16" s="42"/>
      <c r="X16" s="2"/>
      <c r="Y16" s="2"/>
    </row>
    <row r="17" spans="1:25" x14ac:dyDescent="0.25">
      <c r="A17" s="2"/>
      <c r="B17" s="41"/>
      <c r="C17" s="19"/>
      <c r="D17" s="656"/>
      <c r="E17" s="656"/>
      <c r="F17" s="656"/>
      <c r="G17" s="656"/>
      <c r="H17" s="656"/>
      <c r="I17" s="656"/>
      <c r="J17" s="656"/>
      <c r="K17" s="656"/>
      <c r="L17" s="656"/>
      <c r="M17" s="656"/>
      <c r="N17" s="656"/>
      <c r="O17" s="656"/>
      <c r="P17" s="656"/>
      <c r="Q17" s="656"/>
      <c r="R17" s="656"/>
      <c r="S17" s="656"/>
      <c r="T17" s="656"/>
      <c r="U17" s="656"/>
      <c r="V17" s="20"/>
      <c r="W17" s="42"/>
      <c r="X17" s="2"/>
      <c r="Y17" s="2"/>
    </row>
    <row r="18" spans="1:25" ht="30" customHeight="1" x14ac:dyDescent="0.25">
      <c r="A18" s="2"/>
      <c r="B18" s="41"/>
      <c r="C18" s="19"/>
      <c r="D18" s="656"/>
      <c r="E18" s="656"/>
      <c r="F18" s="656"/>
      <c r="G18" s="656"/>
      <c r="H18" s="656"/>
      <c r="I18" s="656"/>
      <c r="J18" s="656"/>
      <c r="K18" s="656"/>
      <c r="L18" s="656"/>
      <c r="M18" s="656"/>
      <c r="N18" s="656"/>
      <c r="O18" s="656"/>
      <c r="P18" s="656"/>
      <c r="Q18" s="656"/>
      <c r="R18" s="656"/>
      <c r="S18" s="656"/>
      <c r="T18" s="656"/>
      <c r="U18" s="656"/>
      <c r="V18" s="20"/>
      <c r="W18" s="42"/>
      <c r="X18" s="2"/>
      <c r="Y18" s="2"/>
    </row>
    <row r="19" spans="1:25" ht="15.75" x14ac:dyDescent="0.25">
      <c r="A19" s="2"/>
      <c r="B19" s="41"/>
      <c r="C19" s="19"/>
      <c r="D19" s="21"/>
      <c r="E19" s="21"/>
      <c r="F19" s="21"/>
      <c r="G19" s="21"/>
      <c r="H19" s="21"/>
      <c r="I19" s="21"/>
      <c r="J19" s="21"/>
      <c r="K19" s="21"/>
      <c r="L19" s="22"/>
      <c r="M19" s="21"/>
      <c r="N19" s="21"/>
      <c r="O19" s="21"/>
      <c r="P19" s="21"/>
      <c r="Q19" s="21"/>
      <c r="R19" s="21"/>
      <c r="S19" s="21"/>
      <c r="T19" s="21"/>
      <c r="U19" s="21"/>
      <c r="V19" s="20"/>
      <c r="W19" s="42"/>
      <c r="X19" s="2"/>
      <c r="Y19" s="2"/>
    </row>
    <row r="20" spans="1:25" ht="15.75" x14ac:dyDescent="0.25">
      <c r="A20" s="2"/>
      <c r="B20" s="41"/>
      <c r="C20" s="19"/>
      <c r="D20" s="23"/>
      <c r="E20" s="23"/>
      <c r="F20" s="23"/>
      <c r="G20" s="23"/>
      <c r="H20" s="23"/>
      <c r="I20" s="21"/>
      <c r="J20" s="24"/>
      <c r="K20" s="24"/>
      <c r="L20" s="25"/>
      <c r="M20" s="24"/>
      <c r="N20" s="24"/>
      <c r="O20" s="24"/>
      <c r="P20" s="24"/>
      <c r="Q20" s="24"/>
      <c r="R20" s="24"/>
      <c r="S20" s="24"/>
      <c r="T20" s="24"/>
      <c r="U20" s="24"/>
      <c r="V20" s="20"/>
      <c r="W20" s="42"/>
      <c r="X20" s="2"/>
      <c r="Y20" s="2"/>
    </row>
    <row r="21" spans="1:25" ht="15.75" x14ac:dyDescent="0.25">
      <c r="A21" s="2"/>
      <c r="B21" s="41"/>
      <c r="C21" s="19"/>
      <c r="D21" s="23"/>
      <c r="E21" s="23"/>
      <c r="F21" s="23"/>
      <c r="G21" s="23"/>
      <c r="H21" s="23"/>
      <c r="I21" s="21"/>
      <c r="J21" s="26"/>
      <c r="K21" s="26"/>
      <c r="L21" s="654" t="s">
        <v>2</v>
      </c>
      <c r="M21" s="654"/>
      <c r="N21" s="654"/>
      <c r="O21" s="24"/>
      <c r="P21" s="654" t="s">
        <v>3</v>
      </c>
      <c r="Q21" s="654"/>
      <c r="R21" s="654"/>
      <c r="S21" s="654"/>
      <c r="T21" s="654"/>
      <c r="U21" s="24"/>
      <c r="V21" s="20"/>
      <c r="W21" s="42"/>
      <c r="X21" s="2"/>
      <c r="Y21" s="2"/>
    </row>
    <row r="22" spans="1:25" ht="15.75" x14ac:dyDescent="0.25">
      <c r="A22" s="2"/>
      <c r="B22" s="41"/>
      <c r="C22" s="19"/>
      <c r="D22" s="23"/>
      <c r="E22" s="23"/>
      <c r="F22" s="23"/>
      <c r="G22" s="23"/>
      <c r="H22" s="23"/>
      <c r="I22" s="21"/>
      <c r="J22" s="26"/>
      <c r="K22" s="26"/>
      <c r="L22" s="26"/>
      <c r="M22" s="26"/>
      <c r="N22" s="24"/>
      <c r="O22" s="24"/>
      <c r="P22" s="27"/>
      <c r="Q22" s="27"/>
      <c r="R22" s="27"/>
      <c r="S22" s="27"/>
      <c r="T22" s="27"/>
      <c r="U22" s="24"/>
      <c r="V22" s="20"/>
      <c r="W22" s="42"/>
      <c r="X22" s="2"/>
      <c r="Y22" s="2"/>
    </row>
    <row r="23" spans="1:25" ht="15.75" x14ac:dyDescent="0.25">
      <c r="A23" s="2"/>
      <c r="B23" s="41"/>
      <c r="C23" s="19"/>
      <c r="D23" s="23"/>
      <c r="E23" s="21"/>
      <c r="F23" s="21"/>
      <c r="G23" s="21"/>
      <c r="H23" s="21"/>
      <c r="I23" s="21"/>
      <c r="J23" s="26"/>
      <c r="K23" s="26"/>
      <c r="L23" s="654" t="s">
        <v>4</v>
      </c>
      <c r="M23" s="654"/>
      <c r="N23" s="654"/>
      <c r="O23" s="24"/>
      <c r="P23" s="654" t="s">
        <v>5</v>
      </c>
      <c r="Q23" s="654"/>
      <c r="R23" s="654"/>
      <c r="S23" s="654"/>
      <c r="T23" s="654"/>
      <c r="U23" s="24"/>
      <c r="V23" s="20"/>
      <c r="W23" s="42"/>
      <c r="X23" s="2"/>
      <c r="Y23" s="2"/>
    </row>
    <row r="24" spans="1:25" ht="15.75" x14ac:dyDescent="0.25">
      <c r="A24" s="2"/>
      <c r="B24" s="41"/>
      <c r="C24" s="19"/>
      <c r="D24" s="21"/>
      <c r="E24" s="21"/>
      <c r="F24" s="21"/>
      <c r="G24" s="21"/>
      <c r="H24" s="21"/>
      <c r="I24" s="21"/>
      <c r="J24" s="26"/>
      <c r="K24" s="26"/>
      <c r="L24" s="26"/>
      <c r="M24" s="26"/>
      <c r="N24" s="24"/>
      <c r="O24" s="24"/>
      <c r="P24" s="27"/>
      <c r="Q24" s="27"/>
      <c r="R24" s="27"/>
      <c r="S24" s="27"/>
      <c r="T24" s="27"/>
      <c r="U24" s="24"/>
      <c r="V24" s="20"/>
      <c r="W24" s="42"/>
      <c r="X24" s="2"/>
      <c r="Y24" s="2"/>
    </row>
    <row r="25" spans="1:25" ht="15.75" x14ac:dyDescent="0.25">
      <c r="A25" s="2"/>
      <c r="B25" s="41"/>
      <c r="C25" s="19"/>
      <c r="D25" s="21"/>
      <c r="E25" s="21"/>
      <c r="F25" s="21"/>
      <c r="G25" s="21"/>
      <c r="H25" s="21"/>
      <c r="I25" s="21"/>
      <c r="J25" s="26"/>
      <c r="K25" s="26"/>
      <c r="L25" s="654" t="s">
        <v>6</v>
      </c>
      <c r="M25" s="654"/>
      <c r="N25" s="654"/>
      <c r="O25" s="24"/>
      <c r="P25" s="654"/>
      <c r="Q25" s="654"/>
      <c r="R25" s="654"/>
      <c r="S25" s="654"/>
      <c r="T25" s="654"/>
      <c r="U25" s="24"/>
      <c r="V25" s="20"/>
      <c r="W25" s="42"/>
      <c r="X25" s="2"/>
      <c r="Y25" s="2"/>
    </row>
    <row r="26" spans="1:25" ht="15.75" x14ac:dyDescent="0.25">
      <c r="A26" s="2"/>
      <c r="B26" s="41"/>
      <c r="C26" s="19"/>
      <c r="D26" s="21"/>
      <c r="E26" s="21"/>
      <c r="F26" s="21"/>
      <c r="G26" s="21"/>
      <c r="H26" s="21"/>
      <c r="I26" s="21"/>
      <c r="J26" s="24"/>
      <c r="K26" s="24"/>
      <c r="L26" s="25"/>
      <c r="M26" s="24"/>
      <c r="N26" s="24"/>
      <c r="O26" s="24"/>
      <c r="P26" s="24"/>
      <c r="Q26" s="24"/>
      <c r="R26" s="24"/>
      <c r="S26" s="24"/>
      <c r="T26" s="24"/>
      <c r="U26" s="24"/>
      <c r="V26" s="20"/>
      <c r="W26" s="42"/>
      <c r="X26" s="2"/>
      <c r="Y26" s="2"/>
    </row>
    <row r="27" spans="1:25" x14ac:dyDescent="0.25">
      <c r="A27" s="2"/>
      <c r="B27" s="41"/>
      <c r="C27" s="28"/>
      <c r="D27" s="29"/>
      <c r="E27" s="29"/>
      <c r="F27" s="29"/>
      <c r="G27" s="29"/>
      <c r="H27" s="29"/>
      <c r="I27" s="30"/>
      <c r="J27" s="30"/>
      <c r="K27" s="30"/>
      <c r="L27" s="30"/>
      <c r="M27" s="30"/>
      <c r="N27" s="30"/>
      <c r="O27" s="30"/>
      <c r="P27" s="30"/>
      <c r="Q27" s="30"/>
      <c r="R27" s="30"/>
      <c r="S27" s="30"/>
      <c r="T27" s="30"/>
      <c r="U27" s="30"/>
      <c r="V27" s="31"/>
      <c r="W27" s="42"/>
      <c r="X27" s="2"/>
      <c r="Y27" s="2"/>
    </row>
    <row r="28" spans="1:25" x14ac:dyDescent="0.25">
      <c r="A28" s="2"/>
      <c r="B28" s="41"/>
      <c r="C28" s="8"/>
      <c r="D28" s="9"/>
      <c r="E28" s="40"/>
      <c r="F28" s="9"/>
      <c r="G28" s="9"/>
      <c r="H28" s="9"/>
      <c r="I28" s="9"/>
      <c r="J28" s="9"/>
      <c r="K28" s="8"/>
      <c r="L28" s="8"/>
      <c r="M28" s="8"/>
      <c r="N28" s="9"/>
      <c r="O28" s="9"/>
      <c r="P28" s="9"/>
      <c r="Q28" s="9"/>
      <c r="R28" s="9"/>
      <c r="S28" s="9"/>
      <c r="T28" s="9"/>
      <c r="U28" s="8"/>
      <c r="V28" s="8"/>
      <c r="W28" s="42"/>
      <c r="X28" s="2"/>
      <c r="Y28" s="2"/>
    </row>
    <row r="29" spans="1:25" x14ac:dyDescent="0.25">
      <c r="A29" s="2"/>
      <c r="B29" s="41"/>
      <c r="C29" s="43"/>
      <c r="D29" s="44"/>
      <c r="E29" s="44"/>
      <c r="F29" s="43"/>
      <c r="G29" s="43"/>
      <c r="H29" s="43"/>
      <c r="I29" s="43"/>
      <c r="J29" s="43"/>
      <c r="K29" s="43"/>
      <c r="L29" s="43"/>
      <c r="M29" s="43"/>
      <c r="N29" s="43"/>
      <c r="O29" s="43"/>
      <c r="P29" s="43"/>
      <c r="Q29" s="43"/>
      <c r="R29" s="43"/>
      <c r="S29" s="43"/>
      <c r="T29" s="43"/>
      <c r="U29" s="45"/>
      <c r="V29" s="45"/>
      <c r="W29" s="42"/>
      <c r="X29" s="2"/>
      <c r="Y29" s="2"/>
    </row>
    <row r="30" spans="1:25" x14ac:dyDescent="0.25">
      <c r="A30" s="2"/>
      <c r="B30" s="7"/>
      <c r="C30" s="46"/>
      <c r="D30" s="46"/>
      <c r="E30" s="46"/>
      <c r="F30" s="46"/>
      <c r="G30" s="46"/>
      <c r="H30" s="46"/>
      <c r="I30" s="46"/>
      <c r="J30" s="46"/>
      <c r="K30" s="46"/>
      <c r="L30" s="46"/>
      <c r="M30" s="46"/>
      <c r="N30" s="46"/>
      <c r="O30" s="46"/>
      <c r="P30" s="46"/>
      <c r="Q30" s="46"/>
      <c r="R30" s="46"/>
      <c r="S30" s="46"/>
      <c r="T30" s="46"/>
      <c r="U30" s="46"/>
      <c r="V30" s="46"/>
      <c r="W30" s="47"/>
      <c r="X30" s="2"/>
      <c r="Y30" s="2"/>
    </row>
    <row r="31" spans="1:25" x14ac:dyDescent="0.25">
      <c r="A31" s="2"/>
      <c r="B31" s="2"/>
      <c r="C31" s="2"/>
      <c r="D31" s="2"/>
      <c r="E31" s="2"/>
      <c r="F31" s="2"/>
      <c r="G31" s="2"/>
      <c r="H31" s="2"/>
      <c r="I31" s="2"/>
      <c r="J31" s="2"/>
      <c r="K31" s="2"/>
      <c r="L31" s="2"/>
      <c r="M31" s="2"/>
      <c r="N31" s="2"/>
      <c r="O31" s="2"/>
      <c r="P31" s="2"/>
      <c r="Q31" s="2"/>
      <c r="R31" s="2"/>
      <c r="S31" s="2"/>
      <c r="T31" s="2"/>
      <c r="U31" s="2"/>
      <c r="V31" s="2"/>
      <c r="W31" s="2"/>
      <c r="X31" s="2"/>
      <c r="Y31" s="2"/>
    </row>
    <row r="32" spans="1:25" x14ac:dyDescent="0.25">
      <c r="A32" s="2"/>
      <c r="B32" s="2"/>
      <c r="C32" s="2"/>
      <c r="D32" s="2"/>
      <c r="E32" s="2"/>
      <c r="F32" s="2"/>
      <c r="G32" s="2"/>
      <c r="H32" s="2"/>
      <c r="I32" s="2"/>
      <c r="J32" s="2"/>
      <c r="K32" s="2"/>
      <c r="L32" s="2"/>
      <c r="M32" s="2"/>
      <c r="N32" s="2"/>
      <c r="O32" s="2"/>
      <c r="P32" s="2"/>
      <c r="Q32" s="2"/>
      <c r="R32" s="2"/>
      <c r="S32" s="2"/>
      <c r="T32" s="2"/>
      <c r="U32" s="2"/>
      <c r="V32" s="2"/>
      <c r="W32" s="2"/>
      <c r="X32" s="2"/>
      <c r="Y32" s="2"/>
    </row>
    <row r="33" spans="1:25" x14ac:dyDescent="0.25">
      <c r="A33" s="2"/>
      <c r="B33" s="2"/>
      <c r="C33" s="2"/>
      <c r="D33" s="2"/>
      <c r="E33" s="2"/>
      <c r="F33" s="2"/>
      <c r="G33" s="2"/>
      <c r="H33" s="2"/>
      <c r="I33" s="2"/>
      <c r="J33" s="2"/>
      <c r="K33" s="2"/>
      <c r="L33" s="2"/>
      <c r="M33" s="2"/>
      <c r="N33" s="2"/>
      <c r="O33" s="2"/>
      <c r="P33" s="2"/>
      <c r="Q33" s="2"/>
      <c r="R33" s="2"/>
      <c r="S33" s="2"/>
      <c r="T33" s="2"/>
      <c r="U33" s="2"/>
      <c r="V33" s="2"/>
      <c r="W33" s="2"/>
      <c r="X33" s="2"/>
      <c r="Y33" s="2"/>
    </row>
    <row r="34" spans="1:25" x14ac:dyDescent="0.25">
      <c r="A34" s="49"/>
      <c r="B34" s="49"/>
      <c r="C34" s="49"/>
      <c r="D34" s="49"/>
      <c r="E34" s="49"/>
      <c r="F34" s="49"/>
      <c r="G34" s="49"/>
      <c r="H34" s="49"/>
      <c r="I34" s="49"/>
      <c r="J34" s="49"/>
      <c r="K34" s="49"/>
      <c r="L34" s="49"/>
      <c r="M34" s="49"/>
      <c r="N34" s="49"/>
      <c r="O34" s="49"/>
      <c r="P34" s="49"/>
      <c r="Q34" s="49"/>
      <c r="R34" s="49"/>
      <c r="S34" s="49"/>
      <c r="T34" s="49"/>
      <c r="U34" s="49"/>
      <c r="V34" s="49"/>
      <c r="W34" s="49"/>
      <c r="X34" s="49"/>
      <c r="Y34" s="49"/>
    </row>
    <row r="35" spans="1:25" x14ac:dyDescent="0.25">
      <c r="A35" s="49"/>
      <c r="B35" s="49"/>
      <c r="C35" s="49"/>
      <c r="D35" s="49"/>
      <c r="E35" s="49"/>
      <c r="F35" s="49"/>
      <c r="G35" s="49"/>
      <c r="H35" s="49"/>
      <c r="I35" s="49"/>
      <c r="J35" s="49"/>
      <c r="K35" s="49"/>
      <c r="L35" s="49"/>
      <c r="M35" s="49"/>
      <c r="N35" s="49"/>
      <c r="O35" s="49"/>
      <c r="P35" s="49"/>
      <c r="Q35" s="49"/>
      <c r="R35" s="49"/>
      <c r="S35" s="49"/>
      <c r="T35" s="49"/>
      <c r="U35" s="49"/>
      <c r="V35" s="49"/>
      <c r="W35" s="49"/>
      <c r="X35" s="49"/>
      <c r="Y35" s="49"/>
    </row>
    <row r="36" spans="1:25" x14ac:dyDescent="0.25">
      <c r="A36" s="49"/>
      <c r="B36" s="49"/>
      <c r="C36" s="49"/>
      <c r="D36" s="49"/>
      <c r="E36" s="49"/>
      <c r="F36" s="49"/>
      <c r="G36" s="49"/>
      <c r="H36" s="49"/>
      <c r="I36" s="49"/>
      <c r="J36" s="49"/>
      <c r="K36" s="49"/>
      <c r="L36" s="49"/>
      <c r="M36" s="49"/>
      <c r="N36" s="49"/>
      <c r="O36" s="49"/>
      <c r="P36" s="49"/>
      <c r="Q36" s="49"/>
      <c r="R36" s="49"/>
      <c r="S36" s="49"/>
      <c r="T36" s="49"/>
      <c r="U36" s="49"/>
      <c r="V36" s="49"/>
      <c r="W36" s="49"/>
      <c r="X36" s="49"/>
      <c r="Y36" s="49"/>
    </row>
    <row r="37" spans="1:25" x14ac:dyDescent="0.25">
      <c r="A37" s="49"/>
      <c r="B37" s="49"/>
      <c r="C37" s="49"/>
      <c r="D37" s="49"/>
      <c r="E37" s="49"/>
      <c r="F37" s="49"/>
      <c r="G37" s="49"/>
      <c r="H37" s="49"/>
      <c r="I37" s="49"/>
      <c r="J37" s="49"/>
      <c r="K37" s="49"/>
      <c r="L37" s="49"/>
      <c r="M37" s="49"/>
      <c r="N37" s="49"/>
      <c r="O37" s="49"/>
      <c r="P37" s="49"/>
      <c r="Q37" s="49"/>
      <c r="R37" s="49"/>
      <c r="S37" s="49"/>
      <c r="T37" s="49"/>
      <c r="U37" s="49"/>
      <c r="V37" s="49"/>
      <c r="W37" s="49"/>
      <c r="X37" s="49"/>
      <c r="Y37" s="49"/>
    </row>
    <row r="38" spans="1:25" x14ac:dyDescent="0.25">
      <c r="A38" s="49"/>
      <c r="B38" s="49"/>
      <c r="C38" s="49"/>
      <c r="D38" s="49"/>
      <c r="E38" s="49"/>
      <c r="F38" s="49"/>
      <c r="G38" s="49"/>
      <c r="H38" s="49"/>
      <c r="I38" s="49"/>
      <c r="J38" s="49"/>
      <c r="K38" s="49"/>
      <c r="L38" s="49"/>
      <c r="M38" s="49"/>
      <c r="N38" s="49"/>
      <c r="O38" s="49"/>
      <c r="P38" s="49"/>
      <c r="Q38" s="49"/>
      <c r="R38" s="49"/>
      <c r="S38" s="49"/>
      <c r="T38" s="49"/>
      <c r="U38" s="49"/>
      <c r="V38" s="49"/>
      <c r="W38" s="49"/>
      <c r="X38" s="49"/>
      <c r="Y38" s="49"/>
    </row>
    <row r="39" spans="1:25" x14ac:dyDescent="0.25">
      <c r="A39" s="49"/>
      <c r="B39" s="49"/>
      <c r="C39" s="49"/>
      <c r="D39" s="49"/>
      <c r="E39" s="49"/>
      <c r="F39" s="49"/>
      <c r="G39" s="49"/>
      <c r="H39" s="49"/>
      <c r="I39" s="49"/>
      <c r="J39" s="49"/>
      <c r="K39" s="49"/>
      <c r="L39" s="49"/>
      <c r="M39" s="49"/>
      <c r="N39" s="49"/>
      <c r="O39" s="49"/>
      <c r="P39" s="49"/>
      <c r="Q39" s="49"/>
      <c r="R39" s="49"/>
      <c r="S39" s="49"/>
      <c r="T39" s="49"/>
      <c r="U39" s="49"/>
      <c r="V39" s="49"/>
      <c r="W39" s="49"/>
      <c r="X39" s="49"/>
      <c r="Y39" s="49"/>
    </row>
    <row r="40" spans="1:25" x14ac:dyDescent="0.25">
      <c r="A40" s="49"/>
      <c r="B40" s="49"/>
      <c r="C40" s="49"/>
      <c r="D40" s="49"/>
      <c r="E40" s="49"/>
      <c r="F40" s="49"/>
      <c r="G40" s="49"/>
      <c r="H40" s="49"/>
      <c r="I40" s="49"/>
      <c r="J40" s="49"/>
      <c r="K40" s="49"/>
      <c r="L40" s="49"/>
      <c r="M40" s="49"/>
      <c r="N40" s="49"/>
      <c r="O40" s="49"/>
      <c r="P40" s="49"/>
      <c r="Q40" s="49"/>
      <c r="R40" s="49"/>
      <c r="S40" s="49"/>
      <c r="T40" s="49"/>
      <c r="U40" s="49"/>
      <c r="V40" s="49"/>
      <c r="W40" s="49"/>
      <c r="X40" s="49"/>
      <c r="Y40" s="49"/>
    </row>
    <row r="41" spans="1:25" x14ac:dyDescent="0.25">
      <c r="A41" s="49"/>
      <c r="B41" s="49"/>
      <c r="C41" s="49"/>
      <c r="D41" s="49"/>
      <c r="E41" s="49"/>
      <c r="F41" s="49"/>
      <c r="G41" s="49"/>
      <c r="H41" s="49"/>
      <c r="I41" s="49"/>
      <c r="J41" s="49"/>
      <c r="K41" s="49"/>
      <c r="L41" s="49"/>
      <c r="M41" s="49"/>
      <c r="N41" s="49"/>
      <c r="O41" s="49"/>
      <c r="P41" s="49"/>
      <c r="Q41" s="49"/>
      <c r="R41" s="49"/>
      <c r="S41" s="49"/>
      <c r="T41" s="49"/>
      <c r="U41" s="49"/>
      <c r="V41" s="49"/>
      <c r="W41" s="49"/>
      <c r="X41" s="49"/>
      <c r="Y41" s="49"/>
    </row>
    <row r="42" spans="1:25" x14ac:dyDescent="0.25">
      <c r="A42" s="49"/>
      <c r="B42" s="49"/>
      <c r="C42" s="49"/>
      <c r="D42" s="49"/>
      <c r="E42" s="49"/>
      <c r="F42" s="49"/>
      <c r="G42" s="49"/>
      <c r="H42" s="49"/>
      <c r="I42" s="49"/>
      <c r="J42" s="49"/>
      <c r="K42" s="49"/>
      <c r="L42" s="49"/>
      <c r="M42" s="49"/>
      <c r="N42" s="49"/>
      <c r="O42" s="49"/>
      <c r="P42" s="49"/>
      <c r="Q42" s="49"/>
      <c r="R42" s="49"/>
      <c r="S42" s="49"/>
      <c r="T42" s="49"/>
      <c r="U42" s="49"/>
      <c r="V42" s="49"/>
      <c r="W42" s="49"/>
      <c r="X42" s="49"/>
      <c r="Y42" s="49"/>
    </row>
    <row r="43" spans="1:25" x14ac:dyDescent="0.25">
      <c r="A43" s="49"/>
      <c r="B43" s="49"/>
      <c r="C43" s="49"/>
      <c r="D43" s="49"/>
      <c r="E43" s="49"/>
      <c r="F43" s="49"/>
      <c r="G43" s="49"/>
      <c r="H43" s="49"/>
      <c r="I43" s="49"/>
      <c r="J43" s="49"/>
      <c r="K43" s="49"/>
      <c r="L43" s="49"/>
      <c r="M43" s="49"/>
      <c r="N43" s="49"/>
      <c r="O43" s="49"/>
      <c r="P43" s="49"/>
      <c r="Q43" s="49"/>
      <c r="R43" s="49"/>
      <c r="S43" s="49"/>
      <c r="T43" s="49"/>
      <c r="U43" s="49"/>
      <c r="V43" s="49"/>
      <c r="W43" s="49"/>
      <c r="X43" s="49"/>
      <c r="Y43" s="49"/>
    </row>
    <row r="44" spans="1:25" x14ac:dyDescent="0.25">
      <c r="A44" s="49"/>
      <c r="B44" s="49"/>
      <c r="C44" s="49"/>
      <c r="D44" s="49"/>
      <c r="E44" s="49"/>
      <c r="F44" s="49"/>
      <c r="G44" s="49"/>
      <c r="H44" s="49"/>
      <c r="I44" s="49"/>
      <c r="J44" s="49"/>
      <c r="K44" s="49"/>
      <c r="L44" s="49"/>
      <c r="M44" s="49"/>
      <c r="N44" s="49"/>
      <c r="O44" s="49"/>
      <c r="P44" s="49"/>
      <c r="Q44" s="49"/>
      <c r="R44" s="49"/>
      <c r="S44" s="49"/>
      <c r="T44" s="49"/>
      <c r="U44" s="49"/>
      <c r="V44" s="49"/>
      <c r="W44" s="49"/>
      <c r="X44" s="49"/>
      <c r="Y44" s="49"/>
    </row>
    <row r="45" spans="1:25" x14ac:dyDescent="0.25">
      <c r="A45" s="49"/>
      <c r="B45" s="49"/>
      <c r="C45" s="49"/>
      <c r="D45" s="49"/>
      <c r="E45" s="49"/>
      <c r="F45" s="49"/>
      <c r="G45" s="49"/>
      <c r="H45" s="49"/>
      <c r="I45" s="49"/>
      <c r="J45" s="49"/>
      <c r="K45" s="49"/>
      <c r="L45" s="49"/>
      <c r="M45" s="49"/>
      <c r="N45" s="49"/>
      <c r="O45" s="49"/>
      <c r="P45" s="49"/>
      <c r="Q45" s="49"/>
      <c r="R45" s="49"/>
      <c r="S45" s="49"/>
      <c r="T45" s="49"/>
      <c r="U45" s="49"/>
      <c r="V45" s="49"/>
      <c r="W45" s="49"/>
      <c r="X45" s="49"/>
      <c r="Y45" s="49"/>
    </row>
    <row r="46" spans="1:25" x14ac:dyDescent="0.25">
      <c r="A46" s="49"/>
      <c r="B46" s="49"/>
      <c r="C46" s="49"/>
      <c r="D46" s="49"/>
      <c r="E46" s="49"/>
      <c r="F46" s="49"/>
      <c r="G46" s="49"/>
      <c r="H46" s="49"/>
      <c r="I46" s="49"/>
      <c r="J46" s="49"/>
      <c r="K46" s="49"/>
      <c r="L46" s="49"/>
      <c r="M46" s="49"/>
      <c r="N46" s="49"/>
      <c r="O46" s="49"/>
      <c r="P46" s="49"/>
      <c r="Q46" s="49"/>
      <c r="R46" s="49"/>
      <c r="S46" s="49"/>
      <c r="T46" s="49"/>
      <c r="U46" s="49"/>
      <c r="V46" s="49"/>
      <c r="W46" s="49"/>
      <c r="X46" s="49"/>
      <c r="Y46" s="49"/>
    </row>
    <row r="47" spans="1:25" x14ac:dyDescent="0.25">
      <c r="A47" s="49"/>
      <c r="B47" s="49"/>
      <c r="C47" s="49"/>
      <c r="D47" s="49"/>
      <c r="E47" s="49"/>
      <c r="F47" s="49"/>
      <c r="G47" s="49"/>
      <c r="H47" s="49"/>
      <c r="I47" s="49"/>
      <c r="J47" s="49"/>
      <c r="K47" s="49"/>
      <c r="L47" s="49"/>
      <c r="M47" s="49"/>
      <c r="N47" s="49"/>
      <c r="O47" s="49"/>
      <c r="P47" s="49"/>
      <c r="Q47" s="49"/>
      <c r="R47" s="49"/>
      <c r="S47" s="49"/>
      <c r="T47" s="49"/>
      <c r="U47" s="49"/>
      <c r="V47" s="49"/>
      <c r="W47" s="49"/>
      <c r="X47" s="49"/>
      <c r="Y47" s="49"/>
    </row>
    <row r="48" spans="1:25" x14ac:dyDescent="0.25">
      <c r="A48" s="49"/>
      <c r="B48" s="49"/>
      <c r="C48" s="49"/>
      <c r="D48" s="49"/>
      <c r="E48" s="49"/>
      <c r="F48" s="49"/>
      <c r="G48" s="49"/>
      <c r="H48" s="49"/>
      <c r="I48" s="49"/>
      <c r="J48" s="49"/>
      <c r="K48" s="49"/>
      <c r="L48" s="49"/>
      <c r="M48" s="49"/>
      <c r="N48" s="49"/>
      <c r="O48" s="49"/>
      <c r="P48" s="49"/>
      <c r="Q48" s="49"/>
      <c r="R48" s="49"/>
      <c r="S48" s="49"/>
      <c r="T48" s="49"/>
      <c r="U48" s="49"/>
      <c r="V48" s="49"/>
      <c r="W48" s="49"/>
      <c r="X48" s="49"/>
      <c r="Y48" s="49"/>
    </row>
  </sheetData>
  <sheetProtection algorithmName="SHA-512" hashValue="nUczYw6yDGBC3kqzdOSeM1XjeIfuEVbH0NfZv7TuRnqlb7PScCcQRgxLG2oAEyasabHddGy6JyvsM7XW31ZUrA==" saltValue="yb7NON8Jw8A3L7b0avaRJw==" spinCount="100000" sheet="1" objects="1" scenarios="1"/>
  <mergeCells count="12">
    <mergeCell ref="D3:E4"/>
    <mergeCell ref="L25:N25"/>
    <mergeCell ref="P25:T25"/>
    <mergeCell ref="R6:V6"/>
    <mergeCell ref="D16:U18"/>
    <mergeCell ref="L21:N21"/>
    <mergeCell ref="P21:T21"/>
    <mergeCell ref="L23:N23"/>
    <mergeCell ref="P23:T23"/>
    <mergeCell ref="E8:T10"/>
    <mergeCell ref="E12:L13"/>
    <mergeCell ref="M12:T13"/>
  </mergeCells>
  <hyperlinks>
    <hyperlink ref="E12:L13" location="'INSTRUCCIONES GESTIÓN DE LA INF'!A1" display="'INSTRUCCIONES GESTIÓN DE LA INF'!A1" xr:uid="{00000000-0004-0000-0000-000000000000}"/>
    <hyperlink ref="M12:T13" location="'INSTRUCCIONES INCERTIDUMBRE'!A1" display="'INSTRUCCIONES INCERTIDUMBRE'!A1" xr:uid="{00000000-0004-0000-0000-000001000000}"/>
  </hyperlinks>
  <pageMargins left="0.7" right="0.7" top="0.75" bottom="0.75" header="0.3" footer="0.3"/>
  <pageSetup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10</xdr:col>
                    <xdr:colOff>247650</xdr:colOff>
                    <xdr:row>19</xdr:row>
                    <xdr:rowOff>104775</xdr:rowOff>
                  </from>
                  <to>
                    <xdr:col>11</xdr:col>
                    <xdr:colOff>247650</xdr:colOff>
                    <xdr:row>21</xdr:row>
                    <xdr:rowOff>76200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10</xdr:col>
                    <xdr:colOff>247650</xdr:colOff>
                    <xdr:row>22</xdr:row>
                    <xdr:rowOff>0</xdr:rowOff>
                  </from>
                  <to>
                    <xdr:col>11</xdr:col>
                    <xdr:colOff>247650</xdr:colOff>
                    <xdr:row>23</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sizeWithCells="1">
                  <from>
                    <xdr:col>10</xdr:col>
                    <xdr:colOff>247650</xdr:colOff>
                    <xdr:row>23</xdr:row>
                    <xdr:rowOff>161925</xdr:rowOff>
                  </from>
                  <to>
                    <xdr:col>11</xdr:col>
                    <xdr:colOff>247650</xdr:colOff>
                    <xdr:row>25</xdr:row>
                    <xdr:rowOff>19050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sizeWithCells="1">
                  <from>
                    <xdr:col>14</xdr:col>
                    <xdr:colOff>285750</xdr:colOff>
                    <xdr:row>19</xdr:row>
                    <xdr:rowOff>152400</xdr:rowOff>
                  </from>
                  <to>
                    <xdr:col>15</xdr:col>
                    <xdr:colOff>247650</xdr:colOff>
                    <xdr:row>21</xdr:row>
                    <xdr:rowOff>19050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sizeWithCells="1">
                  <from>
                    <xdr:col>14</xdr:col>
                    <xdr:colOff>285750</xdr:colOff>
                    <xdr:row>22</xdr:row>
                    <xdr:rowOff>0</xdr:rowOff>
                  </from>
                  <to>
                    <xdr:col>15</xdr:col>
                    <xdr:colOff>247650</xdr:colOff>
                    <xdr:row>23</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249977111117893"/>
  </sheetPr>
  <dimension ref="A1:T73"/>
  <sheetViews>
    <sheetView topLeftCell="A24" zoomScale="62" zoomScaleNormal="62" workbookViewId="0">
      <selection activeCell="C24" sqref="C24:D24"/>
    </sheetView>
  </sheetViews>
  <sheetFormatPr baseColWidth="10" defaultColWidth="0" defaultRowHeight="15" zeroHeight="1" x14ac:dyDescent="0.25"/>
  <cols>
    <col min="1" max="1" width="2.28515625" style="71" customWidth="1"/>
    <col min="2" max="2" width="4.7109375" style="71" customWidth="1"/>
    <col min="3" max="16" width="11.5703125" customWidth="1"/>
    <col min="17" max="17" width="11.42578125" style="71" customWidth="1"/>
    <col min="18" max="18" width="3.7109375" style="71" customWidth="1"/>
    <col min="19" max="20" width="0" hidden="1" customWidth="1"/>
    <col min="21" max="16384" width="11.5703125" hidden="1"/>
  </cols>
  <sheetData>
    <row r="1" spans="3:16" ht="19.149999999999999" customHeight="1" thickBot="1" x14ac:dyDescent="0.3">
      <c r="C1" s="53"/>
      <c r="D1" s="53"/>
      <c r="E1" s="53"/>
      <c r="F1" s="702" t="s">
        <v>94</v>
      </c>
      <c r="G1" s="703"/>
      <c r="H1" s="53"/>
      <c r="I1" s="53"/>
      <c r="J1" s="53"/>
      <c r="K1" s="53"/>
      <c r="L1" s="53"/>
      <c r="M1" s="53"/>
      <c r="N1" s="53"/>
      <c r="O1" s="53"/>
      <c r="P1" s="53"/>
    </row>
    <row r="2" spans="3:16" ht="15.75" x14ac:dyDescent="0.25">
      <c r="C2" s="50"/>
      <c r="D2" s="714" t="s">
        <v>856</v>
      </c>
      <c r="E2" s="714"/>
      <c r="F2" s="677" t="s">
        <v>7</v>
      </c>
      <c r="G2" s="678"/>
      <c r="H2" s="678"/>
      <c r="I2" s="678"/>
      <c r="J2" s="678"/>
      <c r="K2" s="678"/>
      <c r="L2" s="678"/>
      <c r="M2" s="679"/>
      <c r="N2" s="56"/>
      <c r="O2" s="56"/>
      <c r="P2" s="52"/>
    </row>
    <row r="3" spans="3:16" ht="18.75" x14ac:dyDescent="0.25">
      <c r="C3" s="68"/>
      <c r="D3" s="714"/>
      <c r="E3" s="714"/>
      <c r="F3" s="680"/>
      <c r="G3" s="681"/>
      <c r="H3" s="681"/>
      <c r="I3" s="681"/>
      <c r="J3" s="681"/>
      <c r="K3" s="681"/>
      <c r="L3" s="681"/>
      <c r="M3" s="682"/>
      <c r="N3" s="57"/>
      <c r="O3" s="57"/>
      <c r="P3" s="52"/>
    </row>
    <row r="4" spans="3:16" x14ac:dyDescent="0.25">
      <c r="C4" s="54"/>
      <c r="D4" s="715"/>
      <c r="E4" s="715"/>
      <c r="F4" s="54"/>
      <c r="G4" s="54"/>
      <c r="H4" s="54"/>
      <c r="I4" s="54"/>
      <c r="J4" s="54"/>
      <c r="K4" s="54"/>
      <c r="L4" s="54"/>
      <c r="M4" s="54"/>
      <c r="N4" s="55"/>
      <c r="O4" s="55"/>
      <c r="P4" s="52"/>
    </row>
    <row r="5" spans="3:16" ht="18.75" x14ac:dyDescent="0.25">
      <c r="C5" s="51"/>
      <c r="D5" s="683" t="s">
        <v>1</v>
      </c>
      <c r="E5" s="684"/>
      <c r="F5" s="684"/>
      <c r="G5" s="685"/>
      <c r="H5" s="685"/>
      <c r="I5" s="685"/>
      <c r="J5" s="685"/>
      <c r="K5" s="685"/>
      <c r="L5" s="685"/>
      <c r="M5" s="685"/>
      <c r="N5" s="685"/>
      <c r="O5" s="686"/>
      <c r="P5" s="51"/>
    </row>
    <row r="6" spans="3:16" ht="15.75" thickBot="1" x14ac:dyDescent="0.3">
      <c r="C6" s="52"/>
      <c r="D6" s="687"/>
      <c r="E6" s="687"/>
      <c r="F6" s="687"/>
      <c r="G6" s="687"/>
      <c r="H6" s="687"/>
      <c r="I6" s="687"/>
      <c r="J6" s="687"/>
      <c r="K6" s="687"/>
      <c r="L6" s="687"/>
      <c r="M6" s="687"/>
      <c r="N6" s="687"/>
      <c r="O6" s="687"/>
      <c r="P6" s="52"/>
    </row>
    <row r="7" spans="3:16" ht="87.75" customHeight="1" x14ac:dyDescent="0.25">
      <c r="C7" s="69"/>
      <c r="D7" s="688" t="s">
        <v>8</v>
      </c>
      <c r="E7" s="688"/>
      <c r="F7" s="688"/>
      <c r="G7" s="688"/>
      <c r="H7" s="688"/>
      <c r="I7" s="688"/>
      <c r="J7" s="688"/>
      <c r="K7" s="688"/>
      <c r="L7" s="688"/>
      <c r="M7" s="688"/>
      <c r="N7" s="688"/>
      <c r="O7" s="688"/>
      <c r="P7" s="59"/>
    </row>
    <row r="8" spans="3:16" ht="69.75" customHeight="1" x14ac:dyDescent="0.25">
      <c r="C8" s="60"/>
      <c r="D8" s="689"/>
      <c r="E8" s="689"/>
      <c r="F8" s="689"/>
      <c r="G8" s="689"/>
      <c r="H8" s="689"/>
      <c r="I8" s="689"/>
      <c r="J8" s="689"/>
      <c r="K8" s="689"/>
      <c r="L8" s="689"/>
      <c r="M8" s="689"/>
      <c r="N8" s="689"/>
      <c r="O8" s="689"/>
      <c r="P8" s="61"/>
    </row>
    <row r="9" spans="3:16" ht="55.5" customHeight="1" x14ac:dyDescent="0.25">
      <c r="C9" s="62"/>
      <c r="D9" s="63"/>
      <c r="E9" s="63"/>
      <c r="F9" s="63"/>
      <c r="G9" s="63"/>
      <c r="H9" s="63"/>
      <c r="I9" s="63"/>
      <c r="J9" s="63"/>
      <c r="K9" s="63"/>
      <c r="L9" s="63"/>
      <c r="M9" s="63"/>
      <c r="N9" s="63"/>
      <c r="O9" s="63"/>
      <c r="P9" s="64"/>
    </row>
    <row r="10" spans="3:16" ht="85.5" customHeight="1" x14ac:dyDescent="0.25">
      <c r="C10" s="62"/>
      <c r="D10" s="63"/>
      <c r="E10" s="63"/>
      <c r="F10" s="63"/>
      <c r="G10" s="63"/>
      <c r="H10" s="63"/>
      <c r="I10" s="63"/>
      <c r="J10" s="63"/>
      <c r="K10" s="63"/>
      <c r="L10" s="63"/>
      <c r="M10" s="63"/>
      <c r="N10" s="63"/>
      <c r="O10" s="63"/>
      <c r="P10" s="64"/>
    </row>
    <row r="11" spans="3:16" ht="256.5" customHeight="1" thickBot="1" x14ac:dyDescent="0.3">
      <c r="C11" s="65"/>
      <c r="D11" s="66"/>
      <c r="E11" s="66"/>
      <c r="F11" s="66"/>
      <c r="G11" s="66"/>
      <c r="H11" s="66"/>
      <c r="I11" s="66"/>
      <c r="J11" s="66"/>
      <c r="K11" s="66"/>
      <c r="L11" s="66"/>
      <c r="M11" s="66"/>
      <c r="N11" s="66"/>
      <c r="O11" s="66"/>
      <c r="P11" s="67"/>
    </row>
    <row r="12" spans="3:16" ht="59.25" customHeight="1" thickBot="1" x14ac:dyDescent="0.3">
      <c r="C12" s="58"/>
      <c r="D12" s="709" t="s">
        <v>9</v>
      </c>
      <c r="E12" s="709"/>
      <c r="F12" s="709"/>
      <c r="G12" s="709"/>
      <c r="H12" s="709"/>
      <c r="I12" s="709"/>
      <c r="J12" s="709"/>
      <c r="K12" s="709"/>
      <c r="L12" s="709"/>
      <c r="M12" s="709"/>
      <c r="N12" s="709"/>
      <c r="O12" s="709"/>
      <c r="P12" s="59"/>
    </row>
    <row r="13" spans="3:16" ht="23.25" customHeight="1" thickTop="1" thickBot="1" x14ac:dyDescent="0.3">
      <c r="C13" s="672" t="s">
        <v>10</v>
      </c>
      <c r="D13" s="673"/>
      <c r="E13" s="673"/>
      <c r="F13" s="673"/>
      <c r="G13" s="673"/>
      <c r="H13" s="673"/>
      <c r="I13" s="673"/>
      <c r="J13" s="673"/>
      <c r="K13" s="673"/>
      <c r="L13" s="673"/>
      <c r="M13" s="673"/>
      <c r="N13" s="673"/>
      <c r="O13" s="673"/>
      <c r="P13" s="704"/>
    </row>
    <row r="14" spans="3:16" ht="162.75" customHeight="1" thickTop="1" thickBot="1" x14ac:dyDescent="0.3">
      <c r="C14" s="690" t="s">
        <v>11</v>
      </c>
      <c r="D14" s="691"/>
      <c r="E14" s="710" t="s">
        <v>12</v>
      </c>
      <c r="F14" s="711"/>
      <c r="G14" s="711"/>
      <c r="H14" s="711"/>
      <c r="I14" s="711"/>
      <c r="J14" s="711"/>
      <c r="K14" s="712" t="s">
        <v>13</v>
      </c>
      <c r="L14" s="712"/>
      <c r="M14" s="712"/>
      <c r="N14" s="712"/>
      <c r="O14" s="712"/>
      <c r="P14" s="713"/>
    </row>
    <row r="15" spans="3:16" ht="96.75" customHeight="1" thickTop="1" thickBot="1" x14ac:dyDescent="0.3">
      <c r="C15" s="690" t="s">
        <v>14</v>
      </c>
      <c r="D15" s="691"/>
      <c r="E15" s="668" t="s">
        <v>15</v>
      </c>
      <c r="F15" s="669"/>
      <c r="G15" s="669"/>
      <c r="H15" s="669"/>
      <c r="I15" s="669"/>
      <c r="J15" s="669"/>
      <c r="K15" s="670" t="s">
        <v>253</v>
      </c>
      <c r="L15" s="670"/>
      <c r="M15" s="670"/>
      <c r="N15" s="670"/>
      <c r="O15" s="670"/>
      <c r="P15" s="671"/>
    </row>
    <row r="16" spans="3:16" ht="284.25" customHeight="1" thickTop="1" thickBot="1" x14ac:dyDescent="0.3">
      <c r="C16" s="690" t="s">
        <v>16</v>
      </c>
      <c r="D16" s="691"/>
      <c r="E16" s="668" t="s">
        <v>17</v>
      </c>
      <c r="F16" s="669"/>
      <c r="G16" s="669"/>
      <c r="H16" s="669"/>
      <c r="I16" s="669"/>
      <c r="J16" s="669"/>
      <c r="K16" s="670" t="s">
        <v>18</v>
      </c>
      <c r="L16" s="670"/>
      <c r="M16" s="670"/>
      <c r="N16" s="670"/>
      <c r="O16" s="670"/>
      <c r="P16" s="671"/>
    </row>
    <row r="17" spans="1:18" ht="186.75" customHeight="1" thickTop="1" thickBot="1" x14ac:dyDescent="0.3">
      <c r="C17" s="675" t="s">
        <v>19</v>
      </c>
      <c r="D17" s="676"/>
      <c r="E17" s="707" t="s">
        <v>20</v>
      </c>
      <c r="F17" s="708"/>
      <c r="G17" s="708"/>
      <c r="H17" s="708"/>
      <c r="I17" s="708"/>
      <c r="J17" s="708"/>
      <c r="K17" s="670" t="s">
        <v>58</v>
      </c>
      <c r="L17" s="670"/>
      <c r="M17" s="670"/>
      <c r="N17" s="670"/>
      <c r="O17" s="670"/>
      <c r="P17" s="671"/>
    </row>
    <row r="18" spans="1:18" s="50" customFormat="1" ht="117.75" customHeight="1" thickTop="1" thickBot="1" x14ac:dyDescent="0.3">
      <c r="A18" s="71"/>
      <c r="B18" s="71"/>
      <c r="C18" s="666" t="s">
        <v>61</v>
      </c>
      <c r="D18" s="667"/>
      <c r="E18" s="668" t="s">
        <v>93</v>
      </c>
      <c r="F18" s="669"/>
      <c r="G18" s="669"/>
      <c r="H18" s="669"/>
      <c r="I18" s="669"/>
      <c r="J18" s="694"/>
      <c r="K18" s="695" t="s">
        <v>92</v>
      </c>
      <c r="L18" s="670"/>
      <c r="M18" s="670"/>
      <c r="N18" s="670"/>
      <c r="O18" s="670"/>
      <c r="P18" s="671"/>
      <c r="Q18" s="71"/>
      <c r="R18" s="71"/>
    </row>
    <row r="19" spans="1:18" ht="23.25" customHeight="1" thickTop="1" thickBot="1" x14ac:dyDescent="0.3">
      <c r="C19" s="672" t="s">
        <v>21</v>
      </c>
      <c r="D19" s="673"/>
      <c r="E19" s="673"/>
      <c r="F19" s="673"/>
      <c r="G19" s="673"/>
      <c r="H19" s="673"/>
      <c r="I19" s="673"/>
      <c r="J19" s="673"/>
      <c r="K19" s="673"/>
      <c r="L19" s="673"/>
      <c r="M19" s="673"/>
      <c r="N19" s="673"/>
      <c r="O19" s="673"/>
      <c r="P19" s="674"/>
    </row>
    <row r="20" spans="1:18" ht="74.25" customHeight="1" thickTop="1" thickBot="1" x14ac:dyDescent="0.3">
      <c r="C20" s="660" t="s">
        <v>22</v>
      </c>
      <c r="D20" s="661"/>
      <c r="E20" s="668" t="s">
        <v>23</v>
      </c>
      <c r="F20" s="669"/>
      <c r="G20" s="669"/>
      <c r="H20" s="669"/>
      <c r="I20" s="669"/>
      <c r="J20" s="669"/>
      <c r="K20" s="670" t="s">
        <v>24</v>
      </c>
      <c r="L20" s="670"/>
      <c r="M20" s="670"/>
      <c r="N20" s="670"/>
      <c r="O20" s="670"/>
      <c r="P20" s="671"/>
    </row>
    <row r="21" spans="1:18" ht="116.25" customHeight="1" thickTop="1" thickBot="1" x14ac:dyDescent="0.3">
      <c r="C21" s="666" t="s">
        <v>25</v>
      </c>
      <c r="D21" s="667"/>
      <c r="E21" s="668" t="s">
        <v>26</v>
      </c>
      <c r="F21" s="669"/>
      <c r="G21" s="669"/>
      <c r="H21" s="669"/>
      <c r="I21" s="669"/>
      <c r="J21" s="669"/>
      <c r="K21" s="670" t="s">
        <v>27</v>
      </c>
      <c r="L21" s="670"/>
      <c r="M21" s="670"/>
      <c r="N21" s="670"/>
      <c r="O21" s="670"/>
      <c r="P21" s="671"/>
    </row>
    <row r="22" spans="1:18" ht="66" customHeight="1" thickTop="1" thickBot="1" x14ac:dyDescent="0.3">
      <c r="C22" s="666" t="s">
        <v>28</v>
      </c>
      <c r="D22" s="667"/>
      <c r="E22" s="668" t="s">
        <v>29</v>
      </c>
      <c r="F22" s="669"/>
      <c r="G22" s="669"/>
      <c r="H22" s="669"/>
      <c r="I22" s="669"/>
      <c r="J22" s="669"/>
      <c r="K22" s="670" t="s">
        <v>30</v>
      </c>
      <c r="L22" s="670"/>
      <c r="M22" s="670"/>
      <c r="N22" s="670"/>
      <c r="O22" s="670"/>
      <c r="P22" s="671"/>
    </row>
    <row r="23" spans="1:18" ht="66" customHeight="1" thickTop="1" thickBot="1" x14ac:dyDescent="0.3">
      <c r="C23" s="666" t="s">
        <v>31</v>
      </c>
      <c r="D23" s="667"/>
      <c r="E23" s="668" t="s">
        <v>32</v>
      </c>
      <c r="F23" s="669"/>
      <c r="G23" s="669"/>
      <c r="H23" s="669"/>
      <c r="I23" s="669"/>
      <c r="J23" s="669"/>
      <c r="K23" s="670" t="s">
        <v>33</v>
      </c>
      <c r="L23" s="670"/>
      <c r="M23" s="670"/>
      <c r="N23" s="670"/>
      <c r="O23" s="670"/>
      <c r="P23" s="671"/>
    </row>
    <row r="24" spans="1:18" ht="51.75" customHeight="1" thickTop="1" thickBot="1" x14ac:dyDescent="0.3">
      <c r="C24" s="666" t="s">
        <v>34</v>
      </c>
      <c r="D24" s="667"/>
      <c r="E24" s="668" t="s">
        <v>35</v>
      </c>
      <c r="F24" s="669"/>
      <c r="G24" s="669"/>
      <c r="H24" s="669"/>
      <c r="I24" s="669"/>
      <c r="J24" s="669"/>
      <c r="K24" s="670" t="s">
        <v>36</v>
      </c>
      <c r="L24" s="670"/>
      <c r="M24" s="670"/>
      <c r="N24" s="670"/>
      <c r="O24" s="670"/>
      <c r="P24" s="671"/>
    </row>
    <row r="25" spans="1:18" ht="54" customHeight="1" thickTop="1" thickBot="1" x14ac:dyDescent="0.3">
      <c r="C25" s="675" t="s">
        <v>37</v>
      </c>
      <c r="D25" s="676"/>
      <c r="E25" s="698" t="s">
        <v>38</v>
      </c>
      <c r="F25" s="699"/>
      <c r="G25" s="699"/>
      <c r="H25" s="699"/>
      <c r="I25" s="699"/>
      <c r="J25" s="699"/>
      <c r="K25" s="700" t="s">
        <v>39</v>
      </c>
      <c r="L25" s="700"/>
      <c r="M25" s="700"/>
      <c r="N25" s="700"/>
      <c r="O25" s="700"/>
      <c r="P25" s="701"/>
    </row>
    <row r="26" spans="1:18" ht="16.5" thickTop="1" thickBot="1" x14ac:dyDescent="0.3">
      <c r="C26" s="672" t="s">
        <v>40</v>
      </c>
      <c r="D26" s="673"/>
      <c r="E26" s="673"/>
      <c r="F26" s="673"/>
      <c r="G26" s="673"/>
      <c r="H26" s="673"/>
      <c r="I26" s="673"/>
      <c r="J26" s="673"/>
      <c r="K26" s="673"/>
      <c r="L26" s="673"/>
      <c r="M26" s="673"/>
      <c r="N26" s="673"/>
      <c r="O26" s="673"/>
      <c r="P26" s="674"/>
    </row>
    <row r="27" spans="1:18" ht="62.25" customHeight="1" thickTop="1" thickBot="1" x14ac:dyDescent="0.3">
      <c r="C27" s="692" t="s">
        <v>41</v>
      </c>
      <c r="D27" s="693"/>
      <c r="E27" s="668" t="s">
        <v>42</v>
      </c>
      <c r="F27" s="669"/>
      <c r="G27" s="669"/>
      <c r="H27" s="669"/>
      <c r="I27" s="669"/>
      <c r="J27" s="669"/>
      <c r="K27" s="670" t="s">
        <v>36</v>
      </c>
      <c r="L27" s="670"/>
      <c r="M27" s="670"/>
      <c r="N27" s="670"/>
      <c r="O27" s="670"/>
      <c r="P27" s="671"/>
    </row>
    <row r="28" spans="1:18" ht="98.25" customHeight="1" thickTop="1" thickBot="1" x14ac:dyDescent="0.3">
      <c r="C28" s="675" t="s">
        <v>43</v>
      </c>
      <c r="D28" s="676"/>
      <c r="E28" s="668" t="s">
        <v>44</v>
      </c>
      <c r="F28" s="669"/>
      <c r="G28" s="669"/>
      <c r="H28" s="669"/>
      <c r="I28" s="669"/>
      <c r="J28" s="669"/>
      <c r="K28" s="670" t="s">
        <v>30</v>
      </c>
      <c r="L28" s="670"/>
      <c r="M28" s="670"/>
      <c r="N28" s="670"/>
      <c r="O28" s="670"/>
      <c r="P28" s="671"/>
    </row>
    <row r="29" spans="1:18" ht="37.5" customHeight="1" thickTop="1" thickBot="1" x14ac:dyDescent="0.3">
      <c r="C29" s="696" t="s">
        <v>45</v>
      </c>
      <c r="D29" s="697"/>
      <c r="E29" s="698" t="s">
        <v>46</v>
      </c>
      <c r="F29" s="699"/>
      <c r="G29" s="699"/>
      <c r="H29" s="699"/>
      <c r="I29" s="699"/>
      <c r="J29" s="699"/>
      <c r="K29" s="700" t="s">
        <v>39</v>
      </c>
      <c r="L29" s="700"/>
      <c r="M29" s="700"/>
      <c r="N29" s="700"/>
      <c r="O29" s="700"/>
      <c r="P29" s="701"/>
    </row>
    <row r="30" spans="1:18" ht="16.5" thickTop="1" thickBot="1" x14ac:dyDescent="0.3">
      <c r="C30" s="672" t="s">
        <v>47</v>
      </c>
      <c r="D30" s="673"/>
      <c r="E30" s="673"/>
      <c r="F30" s="673"/>
      <c r="G30" s="673"/>
      <c r="H30" s="673"/>
      <c r="I30" s="673"/>
      <c r="J30" s="673"/>
      <c r="K30" s="673"/>
      <c r="L30" s="673"/>
      <c r="M30" s="673"/>
      <c r="N30" s="673"/>
      <c r="O30" s="673"/>
      <c r="P30" s="674"/>
    </row>
    <row r="31" spans="1:18" ht="75" customHeight="1" thickTop="1" thickBot="1" x14ac:dyDescent="0.3">
      <c r="C31" s="660" t="s">
        <v>48</v>
      </c>
      <c r="D31" s="661"/>
      <c r="E31" s="662" t="s">
        <v>254</v>
      </c>
      <c r="F31" s="663"/>
      <c r="G31" s="663"/>
      <c r="H31" s="663"/>
      <c r="I31" s="663"/>
      <c r="J31" s="663"/>
      <c r="K31" s="670" t="s">
        <v>36</v>
      </c>
      <c r="L31" s="670"/>
      <c r="M31" s="670"/>
      <c r="N31" s="670"/>
      <c r="O31" s="670"/>
      <c r="P31" s="671"/>
    </row>
    <row r="32" spans="1:18" ht="73.900000000000006" customHeight="1" thickTop="1" thickBot="1" x14ac:dyDescent="0.3">
      <c r="C32" s="666" t="s">
        <v>49</v>
      </c>
      <c r="D32" s="667"/>
      <c r="E32" s="668" t="s">
        <v>50</v>
      </c>
      <c r="F32" s="669"/>
      <c r="G32" s="669"/>
      <c r="H32" s="669"/>
      <c r="I32" s="669"/>
      <c r="J32" s="669"/>
      <c r="K32" s="670" t="s">
        <v>30</v>
      </c>
      <c r="L32" s="670"/>
      <c r="M32" s="670"/>
      <c r="N32" s="670"/>
      <c r="O32" s="670"/>
      <c r="P32" s="671"/>
    </row>
    <row r="33" spans="1:18" ht="80.25" customHeight="1" thickTop="1" thickBot="1" x14ac:dyDescent="0.3">
      <c r="C33" s="666" t="s">
        <v>51</v>
      </c>
      <c r="D33" s="667"/>
      <c r="E33" s="668" t="s">
        <v>255</v>
      </c>
      <c r="F33" s="669"/>
      <c r="G33" s="669"/>
      <c r="H33" s="669"/>
      <c r="I33" s="669"/>
      <c r="J33" s="669"/>
      <c r="K33" s="670" t="s">
        <v>52</v>
      </c>
      <c r="L33" s="670"/>
      <c r="M33" s="670"/>
      <c r="N33" s="670"/>
      <c r="O33" s="670"/>
      <c r="P33" s="671"/>
    </row>
    <row r="34" spans="1:18" ht="16.5" thickTop="1" thickBot="1" x14ac:dyDescent="0.3">
      <c r="C34" s="672" t="s">
        <v>53</v>
      </c>
      <c r="D34" s="673"/>
      <c r="E34" s="673"/>
      <c r="F34" s="673"/>
      <c r="G34" s="673"/>
      <c r="H34" s="673"/>
      <c r="I34" s="673"/>
      <c r="J34" s="673"/>
      <c r="K34" s="673"/>
      <c r="L34" s="673"/>
      <c r="M34" s="673"/>
      <c r="N34" s="673"/>
      <c r="O34" s="673"/>
      <c r="P34" s="674"/>
    </row>
    <row r="35" spans="1:18" ht="70.5" customHeight="1" thickTop="1" thickBot="1" x14ac:dyDescent="0.3">
      <c r="C35" s="660" t="s">
        <v>54</v>
      </c>
      <c r="D35" s="661"/>
      <c r="E35" s="662" t="s">
        <v>256</v>
      </c>
      <c r="F35" s="663"/>
      <c r="G35" s="663"/>
      <c r="H35" s="663"/>
      <c r="I35" s="663"/>
      <c r="J35" s="663"/>
      <c r="K35" s="664" t="s">
        <v>55</v>
      </c>
      <c r="L35" s="664"/>
      <c r="M35" s="664"/>
      <c r="N35" s="664"/>
      <c r="O35" s="664"/>
      <c r="P35" s="665"/>
    </row>
    <row r="36" spans="1:18" ht="73.5" customHeight="1" thickTop="1" thickBot="1" x14ac:dyDescent="0.3">
      <c r="C36" s="705" t="s">
        <v>56</v>
      </c>
      <c r="D36" s="706"/>
      <c r="E36" s="668" t="s">
        <v>57</v>
      </c>
      <c r="F36" s="669"/>
      <c r="G36" s="669"/>
      <c r="H36" s="669"/>
      <c r="I36" s="669"/>
      <c r="J36" s="669"/>
      <c r="K36" s="670" t="s">
        <v>52</v>
      </c>
      <c r="L36" s="670"/>
      <c r="M36" s="670"/>
      <c r="N36" s="670"/>
      <c r="O36" s="670"/>
      <c r="P36" s="671"/>
    </row>
    <row r="37" spans="1:18" s="50" customFormat="1" ht="16.5" thickTop="1" thickBot="1" x14ac:dyDescent="0.3">
      <c r="A37" s="71"/>
      <c r="B37" s="71"/>
      <c r="C37" s="71"/>
      <c r="D37" s="71"/>
      <c r="E37" s="71"/>
      <c r="F37" s="71"/>
      <c r="G37" s="71"/>
      <c r="H37" s="71"/>
      <c r="I37" s="71"/>
      <c r="J37" s="71"/>
      <c r="K37" s="71"/>
      <c r="L37" s="71"/>
      <c r="M37" s="71"/>
      <c r="N37" s="71"/>
      <c r="O37" s="71"/>
      <c r="P37" s="71"/>
      <c r="Q37" s="71"/>
      <c r="R37" s="71"/>
    </row>
    <row r="38" spans="1:18" ht="15.75" thickBot="1" x14ac:dyDescent="0.3">
      <c r="C38" s="52"/>
      <c r="D38" s="702" t="s">
        <v>94</v>
      </c>
      <c r="E38" s="703"/>
      <c r="F38" s="52"/>
      <c r="G38" s="52"/>
      <c r="H38" s="52"/>
      <c r="I38" s="52"/>
      <c r="J38" s="52"/>
      <c r="K38" s="52"/>
      <c r="L38" s="52"/>
      <c r="M38" s="52"/>
      <c r="N38" s="52"/>
      <c r="O38" s="52"/>
      <c r="P38" s="52"/>
    </row>
    <row r="39" spans="1:18" x14ac:dyDescent="0.25">
      <c r="C39" s="53"/>
      <c r="D39" s="53"/>
      <c r="E39" s="53"/>
      <c r="F39" s="53"/>
      <c r="G39" s="53"/>
      <c r="H39" s="53"/>
      <c r="I39" s="53"/>
      <c r="J39" s="53"/>
      <c r="K39" s="53"/>
      <c r="L39" s="53"/>
      <c r="M39" s="53"/>
      <c r="N39" s="53"/>
      <c r="O39" s="53"/>
      <c r="P39" s="53"/>
    </row>
    <row r="40" spans="1:18" hidden="1" x14ac:dyDescent="0.25">
      <c r="C40" s="53"/>
      <c r="D40" s="53"/>
      <c r="E40" s="53"/>
      <c r="F40" s="53"/>
      <c r="G40" s="53"/>
      <c r="H40" s="53"/>
      <c r="I40" s="53"/>
      <c r="J40" s="53"/>
      <c r="K40" s="53"/>
      <c r="L40" s="53"/>
      <c r="M40" s="53"/>
      <c r="N40" s="53"/>
      <c r="O40" s="53"/>
      <c r="P40" s="53"/>
    </row>
    <row r="41" spans="1:18" hidden="1" x14ac:dyDescent="0.25">
      <c r="C41" s="53"/>
      <c r="D41" s="53"/>
      <c r="E41" s="53"/>
      <c r="F41" s="53"/>
      <c r="G41" s="53"/>
      <c r="H41" s="53"/>
      <c r="I41" s="53"/>
      <c r="J41" s="53"/>
      <c r="K41" s="53"/>
      <c r="L41" s="53"/>
      <c r="M41" s="53"/>
      <c r="N41" s="53"/>
      <c r="O41" s="53"/>
      <c r="P41" s="53"/>
    </row>
    <row r="42" spans="1:18" hidden="1" x14ac:dyDescent="0.25"/>
    <row r="43" spans="1:18" hidden="1" x14ac:dyDescent="0.25"/>
    <row r="44" spans="1:18" hidden="1" x14ac:dyDescent="0.25"/>
    <row r="45" spans="1:18" hidden="1" x14ac:dyDescent="0.25"/>
    <row r="46" spans="1:18" hidden="1" x14ac:dyDescent="0.25"/>
    <row r="47" spans="1:18" hidden="1" x14ac:dyDescent="0.25"/>
    <row r="48" spans="1:1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sheetData>
  <sheetProtection algorithmName="SHA-512" hashValue="zWSeRNqgQ8kehHHqA4dyay5haxZprlAgBhMdsXgipUlhmoC4bmhv3z7L/MQcCgCcNrKkvF/c+ZCSuWl0TLrZHA==" saltValue="OL50bLADrvbA6qHBlw4RFg==" spinCount="100000" sheet="1" objects="1" scenarios="1"/>
  <mergeCells count="71">
    <mergeCell ref="C19:P19"/>
    <mergeCell ref="C20:D20"/>
    <mergeCell ref="E21:J21"/>
    <mergeCell ref="K21:P21"/>
    <mergeCell ref="E20:J20"/>
    <mergeCell ref="K20:P20"/>
    <mergeCell ref="F1:G1"/>
    <mergeCell ref="K16:P16"/>
    <mergeCell ref="E17:J17"/>
    <mergeCell ref="K17:P17"/>
    <mergeCell ref="C15:D15"/>
    <mergeCell ref="C17:D17"/>
    <mergeCell ref="E15:J15"/>
    <mergeCell ref="K15:P15"/>
    <mergeCell ref="D12:O12"/>
    <mergeCell ref="E14:J14"/>
    <mergeCell ref="K14:P14"/>
    <mergeCell ref="D2:E4"/>
    <mergeCell ref="D38:E38"/>
    <mergeCell ref="C13:P13"/>
    <mergeCell ref="C16:D16"/>
    <mergeCell ref="C36:D36"/>
    <mergeCell ref="E33:J33"/>
    <mergeCell ref="K33:P33"/>
    <mergeCell ref="K28:P28"/>
    <mergeCell ref="C22:D22"/>
    <mergeCell ref="E22:J22"/>
    <mergeCell ref="K22:P22"/>
    <mergeCell ref="E36:J36"/>
    <mergeCell ref="K36:P36"/>
    <mergeCell ref="E23:J23"/>
    <mergeCell ref="K23:P23"/>
    <mergeCell ref="C23:D23"/>
    <mergeCell ref="E24:J24"/>
    <mergeCell ref="K27:P27"/>
    <mergeCell ref="K24:P24"/>
    <mergeCell ref="C24:D24"/>
    <mergeCell ref="C25:D25"/>
    <mergeCell ref="E25:J25"/>
    <mergeCell ref="K25:P25"/>
    <mergeCell ref="C29:D29"/>
    <mergeCell ref="E29:J29"/>
    <mergeCell ref="K29:P29"/>
    <mergeCell ref="C31:D31"/>
    <mergeCell ref="E31:J31"/>
    <mergeCell ref="K31:P31"/>
    <mergeCell ref="C30:P30"/>
    <mergeCell ref="C28:D28"/>
    <mergeCell ref="E28:J28"/>
    <mergeCell ref="F2:M3"/>
    <mergeCell ref="D5:O5"/>
    <mergeCell ref="D6:O6"/>
    <mergeCell ref="D7:O7"/>
    <mergeCell ref="D8:O8"/>
    <mergeCell ref="C14:D14"/>
    <mergeCell ref="C21:D21"/>
    <mergeCell ref="E16:J16"/>
    <mergeCell ref="C26:P26"/>
    <mergeCell ref="C27:D27"/>
    <mergeCell ref="C18:D18"/>
    <mergeCell ref="E18:J18"/>
    <mergeCell ref="K18:P18"/>
    <mergeCell ref="E27:J27"/>
    <mergeCell ref="C35:D35"/>
    <mergeCell ref="E35:J35"/>
    <mergeCell ref="K35:P35"/>
    <mergeCell ref="C32:D32"/>
    <mergeCell ref="E32:J32"/>
    <mergeCell ref="K32:P32"/>
    <mergeCell ref="C33:D33"/>
    <mergeCell ref="C34:P34"/>
  </mergeCells>
  <hyperlinks>
    <hyperlink ref="C16:D16" location="FORMATO!D7" display="Alcance" xr:uid="{00000000-0004-0000-0100-000000000000}"/>
    <hyperlink ref="C36:D36" location="FORMATO!T7" display="Observaciones" xr:uid="{00000000-0004-0000-0100-000001000000}"/>
    <hyperlink ref="D38" location="MENÚ!A1" display="MENÚ" xr:uid="{00000000-0004-0000-0100-000002000000}"/>
    <hyperlink ref="C13:P13" location="FORMATO!B6" display="IDENTIFICACIÓN DE FUENTES DE EMISIÓN" xr:uid="{00000000-0004-0000-0100-000003000000}"/>
    <hyperlink ref="C14:D14" location="FORMATO!B7" display="Carga Ambiental" xr:uid="{00000000-0004-0000-0100-000004000000}"/>
    <hyperlink ref="C15:D15" location="FORMATO!B7" display="Carga Ambiental" xr:uid="{00000000-0004-0000-0100-000005000000}"/>
    <hyperlink ref="C17:D17" location="FORMATO!E7" display="Fuentes " xr:uid="{00000000-0004-0000-0100-000006000000}"/>
    <hyperlink ref="C19:D19" location="FORMATO!F7" display="Origen de la informacion" xr:uid="{00000000-0004-0000-0100-000007000000}"/>
    <hyperlink ref="C19:P19" location="FORMATO!G6" display="PROCESO DE REGISTRO DE LA INFORMACIÓN" xr:uid="{00000000-0004-0000-0100-000008000000}"/>
    <hyperlink ref="C20:D20" location="FORMATO!G7" display="Origen de la información" xr:uid="{00000000-0004-0000-0100-000009000000}"/>
    <hyperlink ref="C21:D21" location="FORMATO!H7" display="Forma de registro de la información " xr:uid="{00000000-0004-0000-0100-00000A000000}"/>
    <hyperlink ref="C22:D22" location="FORMATO!I7" display="Responsable del registro de la información" xr:uid="{00000000-0004-0000-0100-00000B000000}"/>
    <hyperlink ref="C23:D23" location="FORMATO!J7" display="Soportes asociados a la información" xr:uid="{00000000-0004-0000-0100-00000C000000}"/>
    <hyperlink ref="C24:D24" location="FORMATO!K7" display="Periodicidad de registro" xr:uid="{00000000-0004-0000-0100-00000D000000}"/>
    <hyperlink ref="C25:D25" location="FORMATO!L7" display="Unidad registrada" xr:uid="{00000000-0004-0000-0100-00000E000000}"/>
    <hyperlink ref="C26:P26" location="FORMATO!M6" display="PROCESO DE CONSOLIDACIÓN Y REPORTE DE LA INFORMACIÓN PARA HUELLA DE CARBONO" xr:uid="{00000000-0004-0000-0100-00000F000000}"/>
    <hyperlink ref="C27:D27" location="FORMATO!L7" display="Periodicidad de reporte " xr:uid="{00000000-0004-0000-0100-000010000000}"/>
    <hyperlink ref="C28:D28" location="FORMATO!N7" display="Encargado de la consolidación" xr:uid="{00000000-0004-0000-0100-000011000000}"/>
    <hyperlink ref="C29:D29" location="FORMATO!O7" display="Unidad reportada" xr:uid="{00000000-0004-0000-0100-000012000000}"/>
    <hyperlink ref="C30:P30" location="FORMATO!P6" display="PROCESO DE REVISION Y SEGUIMIENTO" xr:uid="{00000000-0004-0000-0100-000013000000}"/>
    <hyperlink ref="C31:D31" location="FORMATO!P7" display="Verificación de los datos reportados" xr:uid="{00000000-0004-0000-0100-000014000000}"/>
    <hyperlink ref="C32:D32" location="FORMATO!Q7" display="Encargado de la revisión de la información y de las acciones correctivas" xr:uid="{00000000-0004-0000-0100-000015000000}"/>
    <hyperlink ref="C33:D33" location="FORMATO!R7" display="Acciones Correctivas" xr:uid="{00000000-0004-0000-0100-000016000000}"/>
    <hyperlink ref="C34:P34" location="FORMATO!T6" display="VERSIÓN" xr:uid="{00000000-0004-0000-0100-000017000000}"/>
    <hyperlink ref="C35:D35" location="FORMATO!S7" display="Fecha de actualización" xr:uid="{00000000-0004-0000-0100-000018000000}"/>
    <hyperlink ref="C18:D18" location="FORMATO!F7" display="Cobertura" xr:uid="{00000000-0004-0000-0100-000019000000}"/>
    <hyperlink ref="D38:E38" location="INICIO!A1" display="INICIO" xr:uid="{00000000-0004-0000-0100-00001A000000}"/>
    <hyperlink ref="F1" location="MENÚ!A1" display="MENÚ" xr:uid="{00000000-0004-0000-0100-00001B000000}"/>
    <hyperlink ref="F1:G1" location="INICIO!A1" display="INICIO" xr:uid="{00000000-0004-0000-0100-00001C000000}"/>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249977111117893"/>
  </sheetPr>
  <dimension ref="A1:U350"/>
  <sheetViews>
    <sheetView topLeftCell="B4" zoomScale="80" zoomScaleNormal="80" workbookViewId="0">
      <selection activeCell="E10" sqref="E10"/>
    </sheetView>
  </sheetViews>
  <sheetFormatPr baseColWidth="10" defaultColWidth="0" defaultRowHeight="15" x14ac:dyDescent="0.25"/>
  <cols>
    <col min="1" max="1" width="3.42578125" style="70" customWidth="1"/>
    <col min="2" max="2" width="25.5703125" style="51" customWidth="1"/>
    <col min="3" max="3" width="30.5703125" style="51" customWidth="1"/>
    <col min="4" max="4" width="28.5703125" style="51" customWidth="1"/>
    <col min="5" max="5" width="22.85546875" style="51" customWidth="1"/>
    <col min="6" max="6" width="19.42578125" style="617" customWidth="1"/>
    <col min="7" max="7" width="36" style="51" customWidth="1"/>
    <col min="8" max="8" width="29.28515625" style="51" customWidth="1"/>
    <col min="9" max="9" width="32.140625" style="51" customWidth="1"/>
    <col min="10" max="10" width="25.5703125" style="51" customWidth="1"/>
    <col min="11" max="11" width="24.85546875" style="51" customWidth="1"/>
    <col min="12" max="12" width="16.42578125" style="51" customWidth="1"/>
    <col min="13" max="13" width="28" style="617" customWidth="1"/>
    <col min="14" max="14" width="36.5703125" style="51" customWidth="1"/>
    <col min="15" max="15" width="19.5703125" style="51" customWidth="1"/>
    <col min="16" max="16" width="27.5703125" style="617" customWidth="1"/>
    <col min="17" max="17" width="44.5703125" style="51" customWidth="1"/>
    <col min="18" max="18" width="42" style="51" customWidth="1"/>
    <col min="19" max="19" width="18.85546875" style="617" customWidth="1"/>
    <col min="20" max="20" width="27.7109375" style="617" customWidth="1"/>
    <col min="21" max="21" width="3" style="70" customWidth="1"/>
    <col min="22" max="16384" width="11.5703125" style="51" hidden="1"/>
  </cols>
  <sheetData>
    <row r="1" spans="1:20" ht="15.75" thickBot="1" x14ac:dyDescent="0.3">
      <c r="B1" s="70"/>
      <c r="C1" s="70"/>
      <c r="D1" s="70"/>
      <c r="E1" s="70"/>
      <c r="F1" s="615"/>
      <c r="G1" s="70"/>
      <c r="H1" s="70"/>
      <c r="I1" s="70"/>
      <c r="J1" s="70"/>
      <c r="K1" s="70"/>
      <c r="L1" s="70"/>
      <c r="M1" s="615"/>
      <c r="N1" s="70"/>
      <c r="O1" s="70"/>
      <c r="P1" s="615"/>
      <c r="Q1" s="70"/>
      <c r="R1" s="70"/>
      <c r="S1" s="615"/>
      <c r="T1" s="615"/>
    </row>
    <row r="2" spans="1:20" ht="15.75" customHeight="1" x14ac:dyDescent="0.25">
      <c r="B2" s="70"/>
      <c r="C2" s="718"/>
      <c r="D2" s="70"/>
      <c r="E2" s="720" t="s">
        <v>1</v>
      </c>
      <c r="F2" s="721"/>
      <c r="G2" s="721"/>
      <c r="H2" s="721"/>
      <c r="I2" s="721"/>
      <c r="J2" s="721"/>
      <c r="K2" s="721"/>
      <c r="L2" s="721"/>
      <c r="M2" s="721"/>
      <c r="N2" s="721"/>
      <c r="O2" s="721"/>
      <c r="P2" s="721"/>
      <c r="Q2" s="72"/>
      <c r="R2" s="72"/>
      <c r="S2" s="615"/>
      <c r="T2" s="615"/>
    </row>
    <row r="3" spans="1:20" ht="19.5" thickBot="1" x14ac:dyDescent="0.3">
      <c r="B3" s="70"/>
      <c r="C3" s="718"/>
      <c r="D3" s="70"/>
      <c r="E3" s="722"/>
      <c r="F3" s="723"/>
      <c r="G3" s="723"/>
      <c r="H3" s="723"/>
      <c r="I3" s="723"/>
      <c r="J3" s="723"/>
      <c r="K3" s="723"/>
      <c r="L3" s="723"/>
      <c r="M3" s="723"/>
      <c r="N3" s="723"/>
      <c r="O3" s="723"/>
      <c r="P3" s="723"/>
      <c r="Q3" s="73"/>
      <c r="R3" s="73"/>
      <c r="S3" s="615"/>
      <c r="T3" s="615"/>
    </row>
    <row r="4" spans="1:20" x14ac:dyDescent="0.25">
      <c r="B4" s="70"/>
      <c r="C4" s="718"/>
      <c r="D4" s="70"/>
      <c r="E4" s="70"/>
      <c r="F4" s="615"/>
      <c r="G4" s="70"/>
      <c r="H4" s="70"/>
      <c r="I4" s="70"/>
      <c r="J4" s="70"/>
      <c r="K4" s="70"/>
      <c r="L4" s="70"/>
      <c r="M4" s="615"/>
      <c r="N4" s="70"/>
      <c r="O4" s="70"/>
      <c r="P4" s="615"/>
      <c r="Q4" s="70"/>
      <c r="R4" s="70"/>
      <c r="S4" s="615"/>
      <c r="T4" s="615"/>
    </row>
    <row r="5" spans="1:20" ht="24.6" customHeight="1" x14ac:dyDescent="0.25">
      <c r="B5" s="70"/>
      <c r="C5" s="719"/>
      <c r="D5" s="70"/>
      <c r="E5" s="70"/>
      <c r="F5" s="615"/>
      <c r="G5" s="70"/>
      <c r="H5" s="70"/>
      <c r="I5" s="70"/>
      <c r="J5" s="70"/>
      <c r="K5" s="70"/>
      <c r="L5" s="70"/>
      <c r="M5" s="615"/>
      <c r="N5" s="70"/>
      <c r="O5" s="70"/>
      <c r="P5" s="615"/>
      <c r="Q5" s="70"/>
      <c r="R5" s="70"/>
      <c r="S5" s="615"/>
      <c r="T5" s="615"/>
    </row>
    <row r="6" spans="1:20" ht="35.25" customHeight="1" x14ac:dyDescent="0.25">
      <c r="B6" s="728" t="s">
        <v>10</v>
      </c>
      <c r="C6" s="728"/>
      <c r="D6" s="728"/>
      <c r="E6" s="728"/>
      <c r="F6" s="728"/>
      <c r="G6" s="725" t="s">
        <v>59</v>
      </c>
      <c r="H6" s="725"/>
      <c r="I6" s="725"/>
      <c r="J6" s="725"/>
      <c r="K6" s="725"/>
      <c r="L6" s="726"/>
      <c r="M6" s="724" t="s">
        <v>40</v>
      </c>
      <c r="N6" s="725"/>
      <c r="O6" s="726"/>
      <c r="P6" s="716" t="s">
        <v>47</v>
      </c>
      <c r="Q6" s="727"/>
      <c r="R6" s="727"/>
      <c r="S6" s="716" t="s">
        <v>53</v>
      </c>
      <c r="T6" s="717"/>
    </row>
    <row r="7" spans="1:20" ht="57" customHeight="1" x14ac:dyDescent="0.25">
      <c r="A7" s="78"/>
      <c r="B7" s="145" t="s">
        <v>11</v>
      </c>
      <c r="C7" s="145" t="s">
        <v>14</v>
      </c>
      <c r="D7" s="145" t="s">
        <v>60</v>
      </c>
      <c r="E7" s="145" t="s">
        <v>19</v>
      </c>
      <c r="F7" s="145" t="s">
        <v>61</v>
      </c>
      <c r="G7" s="145" t="s">
        <v>22</v>
      </c>
      <c r="H7" s="145" t="s">
        <v>25</v>
      </c>
      <c r="I7" s="145" t="s">
        <v>28</v>
      </c>
      <c r="J7" s="145" t="s">
        <v>62</v>
      </c>
      <c r="K7" s="145" t="s">
        <v>34</v>
      </c>
      <c r="L7" s="145" t="s">
        <v>37</v>
      </c>
      <c r="M7" s="145" t="s">
        <v>41</v>
      </c>
      <c r="N7" s="145" t="s">
        <v>63</v>
      </c>
      <c r="O7" s="145" t="s">
        <v>45</v>
      </c>
      <c r="P7" s="145" t="s">
        <v>48</v>
      </c>
      <c r="Q7" s="145" t="s">
        <v>49</v>
      </c>
      <c r="R7" s="145" t="s">
        <v>348</v>
      </c>
      <c r="S7" s="145" t="s">
        <v>54</v>
      </c>
      <c r="T7" s="145" t="s">
        <v>56</v>
      </c>
    </row>
    <row r="8" spans="1:20" s="589" customFormat="1" ht="89.25" x14ac:dyDescent="0.25">
      <c r="B8" s="597" t="s">
        <v>65</v>
      </c>
      <c r="C8" s="592" t="s">
        <v>548</v>
      </c>
      <c r="D8" s="593">
        <v>1</v>
      </c>
      <c r="E8" s="592" t="s">
        <v>857</v>
      </c>
      <c r="F8" s="594">
        <v>1</v>
      </c>
      <c r="G8" s="595" t="s">
        <v>932</v>
      </c>
      <c r="H8" s="596" t="s">
        <v>858</v>
      </c>
      <c r="I8" s="597" t="s">
        <v>973</v>
      </c>
      <c r="J8" s="598" t="s">
        <v>859</v>
      </c>
      <c r="K8" s="597" t="s">
        <v>954</v>
      </c>
      <c r="L8" s="599" t="s">
        <v>860</v>
      </c>
      <c r="M8" s="593" t="s">
        <v>861</v>
      </c>
      <c r="N8" s="597" t="s">
        <v>862</v>
      </c>
      <c r="O8" s="599" t="s">
        <v>860</v>
      </c>
      <c r="P8" s="593" t="s">
        <v>954</v>
      </c>
      <c r="Q8" s="597" t="s">
        <v>864</v>
      </c>
      <c r="R8" s="631"/>
      <c r="S8" s="632"/>
      <c r="T8" s="633"/>
    </row>
    <row r="9" spans="1:20" s="589" customFormat="1" ht="89.25" x14ac:dyDescent="0.25">
      <c r="B9" s="600" t="s">
        <v>65</v>
      </c>
      <c r="C9" s="601" t="s">
        <v>396</v>
      </c>
      <c r="D9" s="602">
        <v>1</v>
      </c>
      <c r="E9" s="592" t="s">
        <v>857</v>
      </c>
      <c r="F9" s="594">
        <v>1</v>
      </c>
      <c r="G9" s="595" t="s">
        <v>932</v>
      </c>
      <c r="H9" s="596" t="s">
        <v>858</v>
      </c>
      <c r="I9" s="597" t="s">
        <v>973</v>
      </c>
      <c r="J9" s="598" t="s">
        <v>859</v>
      </c>
      <c r="K9" s="597" t="s">
        <v>954</v>
      </c>
      <c r="L9" s="599" t="s">
        <v>860</v>
      </c>
      <c r="M9" s="593" t="s">
        <v>861</v>
      </c>
      <c r="N9" s="597" t="s">
        <v>862</v>
      </c>
      <c r="O9" s="599" t="s">
        <v>860</v>
      </c>
      <c r="P9" s="593" t="s">
        <v>954</v>
      </c>
      <c r="Q9" s="597" t="s">
        <v>864</v>
      </c>
      <c r="R9" s="631"/>
      <c r="S9" s="632"/>
      <c r="T9" s="633"/>
    </row>
    <row r="10" spans="1:20" s="589" customFormat="1" ht="89.25" x14ac:dyDescent="0.25">
      <c r="B10" s="603" t="s">
        <v>65</v>
      </c>
      <c r="C10" s="604" t="s">
        <v>549</v>
      </c>
      <c r="D10" s="605">
        <v>1</v>
      </c>
      <c r="E10" s="603" t="s">
        <v>865</v>
      </c>
      <c r="F10" s="616">
        <v>1</v>
      </c>
      <c r="G10" s="606" t="s">
        <v>932</v>
      </c>
      <c r="H10" s="607" t="s">
        <v>866</v>
      </c>
      <c r="I10" s="597" t="s">
        <v>973</v>
      </c>
      <c r="J10" s="608" t="s">
        <v>859</v>
      </c>
      <c r="K10" s="597" t="s">
        <v>954</v>
      </c>
      <c r="L10" s="609" t="s">
        <v>860</v>
      </c>
      <c r="M10" s="593" t="s">
        <v>861</v>
      </c>
      <c r="N10" s="603" t="s">
        <v>862</v>
      </c>
      <c r="O10" s="599" t="s">
        <v>860</v>
      </c>
      <c r="P10" s="593" t="s">
        <v>954</v>
      </c>
      <c r="Q10" s="597" t="s">
        <v>864</v>
      </c>
      <c r="R10" s="631"/>
      <c r="S10" s="632"/>
      <c r="T10" s="633"/>
    </row>
    <row r="11" spans="1:20" s="589" customFormat="1" ht="89.25" x14ac:dyDescent="0.25">
      <c r="B11" s="597" t="s">
        <v>65</v>
      </c>
      <c r="C11" s="592" t="s">
        <v>550</v>
      </c>
      <c r="D11" s="593">
        <v>1</v>
      </c>
      <c r="E11" s="597" t="s">
        <v>865</v>
      </c>
      <c r="F11" s="594">
        <v>1</v>
      </c>
      <c r="G11" s="595" t="s">
        <v>932</v>
      </c>
      <c r="H11" s="596" t="s">
        <v>866</v>
      </c>
      <c r="I11" s="597" t="s">
        <v>973</v>
      </c>
      <c r="J11" s="598" t="s">
        <v>859</v>
      </c>
      <c r="K11" s="597" t="s">
        <v>954</v>
      </c>
      <c r="L11" s="599" t="s">
        <v>860</v>
      </c>
      <c r="M11" s="593" t="s">
        <v>861</v>
      </c>
      <c r="N11" s="603" t="s">
        <v>862</v>
      </c>
      <c r="O11" s="599" t="s">
        <v>860</v>
      </c>
      <c r="P11" s="593" t="s">
        <v>954</v>
      </c>
      <c r="Q11" s="597" t="s">
        <v>864</v>
      </c>
      <c r="R11" s="631"/>
      <c r="S11" s="632"/>
      <c r="T11" s="633"/>
    </row>
    <row r="12" spans="1:20" s="589" customFormat="1" ht="76.5" x14ac:dyDescent="0.25">
      <c r="B12" s="604" t="s">
        <v>66</v>
      </c>
      <c r="C12" s="604" t="s">
        <v>625</v>
      </c>
      <c r="D12" s="605">
        <v>1</v>
      </c>
      <c r="E12" s="592" t="s">
        <v>867</v>
      </c>
      <c r="F12" s="594">
        <v>1</v>
      </c>
      <c r="G12" s="610" t="s">
        <v>932</v>
      </c>
      <c r="H12" s="611" t="s">
        <v>868</v>
      </c>
      <c r="I12" s="597" t="s">
        <v>869</v>
      </c>
      <c r="J12" s="612" t="s">
        <v>870</v>
      </c>
      <c r="K12" s="597" t="s">
        <v>954</v>
      </c>
      <c r="L12" s="593" t="s">
        <v>871</v>
      </c>
      <c r="M12" s="593" t="s">
        <v>861</v>
      </c>
      <c r="N12" s="613" t="s">
        <v>862</v>
      </c>
      <c r="O12" s="593" t="s">
        <v>871</v>
      </c>
      <c r="P12" s="593" t="s">
        <v>954</v>
      </c>
      <c r="Q12" s="613" t="s">
        <v>959</v>
      </c>
      <c r="R12" s="631"/>
      <c r="S12" s="632"/>
      <c r="T12" s="633"/>
    </row>
    <row r="13" spans="1:20" s="589" customFormat="1" ht="76.5" x14ac:dyDescent="0.25">
      <c r="B13" s="592" t="s">
        <v>66</v>
      </c>
      <c r="C13" s="592" t="s">
        <v>433</v>
      </c>
      <c r="D13" s="593">
        <v>1</v>
      </c>
      <c r="E13" s="592" t="s">
        <v>872</v>
      </c>
      <c r="F13" s="594">
        <v>1</v>
      </c>
      <c r="G13" s="610" t="s">
        <v>938</v>
      </c>
      <c r="H13" s="614" t="s">
        <v>873</v>
      </c>
      <c r="I13" s="597" t="s">
        <v>874</v>
      </c>
      <c r="J13" s="612" t="s">
        <v>875</v>
      </c>
      <c r="K13" s="597" t="s">
        <v>954</v>
      </c>
      <c r="L13" s="593" t="s">
        <v>871</v>
      </c>
      <c r="M13" s="593" t="s">
        <v>861</v>
      </c>
      <c r="N13" s="597" t="s">
        <v>862</v>
      </c>
      <c r="O13" s="593" t="s">
        <v>871</v>
      </c>
      <c r="P13" s="593" t="s">
        <v>954</v>
      </c>
      <c r="Q13" s="597" t="s">
        <v>876</v>
      </c>
      <c r="R13" s="631"/>
      <c r="S13" s="632"/>
      <c r="T13" s="633"/>
    </row>
    <row r="14" spans="1:20" s="589" customFormat="1" ht="89.25" x14ac:dyDescent="0.25">
      <c r="B14" s="592" t="s">
        <v>66</v>
      </c>
      <c r="C14" s="592" t="s">
        <v>528</v>
      </c>
      <c r="D14" s="593">
        <v>1</v>
      </c>
      <c r="E14" s="592" t="s">
        <v>956</v>
      </c>
      <c r="F14" s="594">
        <v>1</v>
      </c>
      <c r="G14" s="610" t="s">
        <v>944</v>
      </c>
      <c r="H14" s="611" t="s">
        <v>878</v>
      </c>
      <c r="I14" s="597" t="s">
        <v>957</v>
      </c>
      <c r="J14" s="612" t="s">
        <v>879</v>
      </c>
      <c r="K14" s="613" t="s">
        <v>861</v>
      </c>
      <c r="L14" s="593" t="s">
        <v>132</v>
      </c>
      <c r="M14" s="593" t="s">
        <v>861</v>
      </c>
      <c r="N14" s="613" t="s">
        <v>862</v>
      </c>
      <c r="O14" s="593" t="s">
        <v>132</v>
      </c>
      <c r="P14" s="593" t="s">
        <v>861</v>
      </c>
      <c r="Q14" s="597" t="s">
        <v>862</v>
      </c>
      <c r="R14" s="631"/>
      <c r="S14" s="632"/>
      <c r="T14" s="633"/>
    </row>
    <row r="15" spans="1:20" s="589" customFormat="1" ht="89.25" x14ac:dyDescent="0.25">
      <c r="B15" s="592" t="s">
        <v>66</v>
      </c>
      <c r="C15" s="592" t="s">
        <v>528</v>
      </c>
      <c r="D15" s="593">
        <v>1</v>
      </c>
      <c r="E15" s="592" t="s">
        <v>956</v>
      </c>
      <c r="F15" s="594">
        <v>1</v>
      </c>
      <c r="G15" s="610" t="s">
        <v>938</v>
      </c>
      <c r="H15" s="611" t="s">
        <v>878</v>
      </c>
      <c r="I15" s="597" t="s">
        <v>958</v>
      </c>
      <c r="J15" s="612" t="s">
        <v>879</v>
      </c>
      <c r="K15" s="613" t="s">
        <v>861</v>
      </c>
      <c r="L15" s="593" t="s">
        <v>132</v>
      </c>
      <c r="M15" s="593" t="s">
        <v>861</v>
      </c>
      <c r="N15" s="613" t="s">
        <v>862</v>
      </c>
      <c r="O15" s="593" t="s">
        <v>132</v>
      </c>
      <c r="P15" s="593" t="s">
        <v>861</v>
      </c>
      <c r="Q15" s="597" t="s">
        <v>862</v>
      </c>
      <c r="R15" s="631"/>
      <c r="S15" s="632"/>
      <c r="T15" s="633"/>
    </row>
    <row r="16" spans="1:20" s="589" customFormat="1" ht="89.25" x14ac:dyDescent="0.25">
      <c r="B16" s="592" t="s">
        <v>66</v>
      </c>
      <c r="C16" s="592" t="s">
        <v>528</v>
      </c>
      <c r="D16" s="593">
        <v>1</v>
      </c>
      <c r="E16" s="592" t="s">
        <v>877</v>
      </c>
      <c r="F16" s="594">
        <v>1</v>
      </c>
      <c r="G16" s="610" t="s">
        <v>945</v>
      </c>
      <c r="H16" s="611" t="s">
        <v>878</v>
      </c>
      <c r="I16" s="597" t="s">
        <v>960</v>
      </c>
      <c r="J16" s="612" t="s">
        <v>879</v>
      </c>
      <c r="K16" s="613" t="s">
        <v>861</v>
      </c>
      <c r="L16" s="593" t="s">
        <v>132</v>
      </c>
      <c r="M16" s="593" t="s">
        <v>861</v>
      </c>
      <c r="N16" s="613" t="s">
        <v>862</v>
      </c>
      <c r="O16" s="593" t="s">
        <v>132</v>
      </c>
      <c r="P16" s="593" t="s">
        <v>861</v>
      </c>
      <c r="Q16" s="597" t="s">
        <v>862</v>
      </c>
      <c r="R16" s="631"/>
      <c r="S16" s="632"/>
      <c r="T16" s="633"/>
    </row>
    <row r="17" spans="2:20" s="589" customFormat="1" ht="76.5" x14ac:dyDescent="0.25">
      <c r="B17" s="592" t="s">
        <v>75</v>
      </c>
      <c r="C17" s="592" t="s">
        <v>337</v>
      </c>
      <c r="D17" s="593">
        <v>1</v>
      </c>
      <c r="E17" s="592" t="s">
        <v>880</v>
      </c>
      <c r="F17" s="594">
        <v>1</v>
      </c>
      <c r="G17" s="610" t="s">
        <v>945</v>
      </c>
      <c r="H17" s="611" t="s">
        <v>881</v>
      </c>
      <c r="I17" s="597" t="s">
        <v>960</v>
      </c>
      <c r="J17" s="612" t="s">
        <v>883</v>
      </c>
      <c r="K17" s="597" t="s">
        <v>954</v>
      </c>
      <c r="L17" s="593" t="s">
        <v>132</v>
      </c>
      <c r="M17" s="593" t="s">
        <v>861</v>
      </c>
      <c r="N17" s="613" t="s">
        <v>862</v>
      </c>
      <c r="O17" s="593" t="s">
        <v>132</v>
      </c>
      <c r="P17" s="593" t="s">
        <v>861</v>
      </c>
      <c r="Q17" s="597" t="s">
        <v>862</v>
      </c>
      <c r="R17" s="631"/>
      <c r="S17" s="632"/>
      <c r="T17" s="633"/>
    </row>
    <row r="18" spans="2:20" s="589" customFormat="1" ht="76.5" x14ac:dyDescent="0.25">
      <c r="B18" s="592" t="s">
        <v>75</v>
      </c>
      <c r="C18" s="592" t="s">
        <v>331</v>
      </c>
      <c r="D18" s="593">
        <v>1</v>
      </c>
      <c r="E18" s="592" t="s">
        <v>884</v>
      </c>
      <c r="F18" s="594">
        <v>1</v>
      </c>
      <c r="G18" s="610" t="s">
        <v>945</v>
      </c>
      <c r="H18" s="611" t="s">
        <v>881</v>
      </c>
      <c r="I18" s="597" t="s">
        <v>882</v>
      </c>
      <c r="J18" s="612" t="s">
        <v>883</v>
      </c>
      <c r="K18" s="597" t="s">
        <v>954</v>
      </c>
      <c r="L18" s="593" t="s">
        <v>132</v>
      </c>
      <c r="M18" s="593" t="s">
        <v>861</v>
      </c>
      <c r="N18" s="613" t="s">
        <v>862</v>
      </c>
      <c r="O18" s="593" t="s">
        <v>132</v>
      </c>
      <c r="P18" s="593" t="s">
        <v>861</v>
      </c>
      <c r="Q18" s="597" t="s">
        <v>862</v>
      </c>
      <c r="R18" s="631"/>
      <c r="S18" s="632"/>
      <c r="T18" s="633"/>
    </row>
    <row r="19" spans="2:20" s="589" customFormat="1" ht="76.5" x14ac:dyDescent="0.25">
      <c r="B19" s="592" t="s">
        <v>75</v>
      </c>
      <c r="C19" s="592" t="s">
        <v>332</v>
      </c>
      <c r="D19" s="593">
        <v>1</v>
      </c>
      <c r="E19" s="592" t="s">
        <v>885</v>
      </c>
      <c r="F19" s="594">
        <v>1</v>
      </c>
      <c r="G19" s="595" t="s">
        <v>946</v>
      </c>
      <c r="H19" s="596" t="s">
        <v>881</v>
      </c>
      <c r="I19" s="597" t="s">
        <v>974</v>
      </c>
      <c r="J19" s="598" t="s">
        <v>886</v>
      </c>
      <c r="K19" s="597" t="s">
        <v>954</v>
      </c>
      <c r="L19" s="593" t="s">
        <v>132</v>
      </c>
      <c r="M19" s="593" t="s">
        <v>861</v>
      </c>
      <c r="N19" s="597" t="s">
        <v>862</v>
      </c>
      <c r="O19" s="593" t="s">
        <v>132</v>
      </c>
      <c r="P19" s="593" t="s">
        <v>861</v>
      </c>
      <c r="Q19" s="597" t="s">
        <v>862</v>
      </c>
      <c r="R19" s="631"/>
      <c r="S19" s="632"/>
      <c r="T19" s="633"/>
    </row>
    <row r="20" spans="2:20" s="589" customFormat="1" ht="76.5" x14ac:dyDescent="0.25">
      <c r="B20" s="592" t="s">
        <v>75</v>
      </c>
      <c r="C20" s="592" t="s">
        <v>340</v>
      </c>
      <c r="D20" s="593">
        <v>1</v>
      </c>
      <c r="E20" s="592" t="s">
        <v>885</v>
      </c>
      <c r="F20" s="594">
        <v>1</v>
      </c>
      <c r="G20" s="595" t="s">
        <v>946</v>
      </c>
      <c r="H20" s="596" t="s">
        <v>881</v>
      </c>
      <c r="I20" s="597" t="s">
        <v>974</v>
      </c>
      <c r="J20" s="598" t="s">
        <v>886</v>
      </c>
      <c r="K20" s="597" t="s">
        <v>954</v>
      </c>
      <c r="L20" s="593" t="s">
        <v>132</v>
      </c>
      <c r="M20" s="593" t="s">
        <v>861</v>
      </c>
      <c r="N20" s="597" t="s">
        <v>862</v>
      </c>
      <c r="O20" s="593" t="s">
        <v>132</v>
      </c>
      <c r="P20" s="593" t="s">
        <v>861</v>
      </c>
      <c r="Q20" s="597" t="s">
        <v>862</v>
      </c>
      <c r="R20" s="634"/>
      <c r="S20" s="635"/>
      <c r="T20" s="636"/>
    </row>
    <row r="21" spans="2:20" s="589" customFormat="1" ht="63.75" x14ac:dyDescent="0.25">
      <c r="B21" s="592" t="s">
        <v>84</v>
      </c>
      <c r="C21" s="592" t="s">
        <v>557</v>
      </c>
      <c r="D21" s="593">
        <v>1</v>
      </c>
      <c r="E21" s="592" t="s">
        <v>887</v>
      </c>
      <c r="F21" s="594">
        <v>1</v>
      </c>
      <c r="G21" s="606" t="s">
        <v>933</v>
      </c>
      <c r="H21" s="607" t="s">
        <v>888</v>
      </c>
      <c r="I21" s="603" t="s">
        <v>961</v>
      </c>
      <c r="J21" s="625" t="s">
        <v>889</v>
      </c>
      <c r="K21" s="597" t="s">
        <v>954</v>
      </c>
      <c r="L21" s="605" t="s">
        <v>132</v>
      </c>
      <c r="M21" s="593" t="s">
        <v>861</v>
      </c>
      <c r="N21" s="603" t="s">
        <v>862</v>
      </c>
      <c r="O21" s="605" t="s">
        <v>132</v>
      </c>
      <c r="P21" s="605" t="s">
        <v>861</v>
      </c>
      <c r="Q21" s="603" t="s">
        <v>862</v>
      </c>
      <c r="R21" s="637"/>
      <c r="S21" s="638"/>
      <c r="T21" s="639"/>
    </row>
    <row r="22" spans="2:20" s="589" customFormat="1" ht="63.75" x14ac:dyDescent="0.25">
      <c r="B22" s="592" t="s">
        <v>84</v>
      </c>
      <c r="C22" s="592" t="s">
        <v>557</v>
      </c>
      <c r="D22" s="593">
        <v>1</v>
      </c>
      <c r="E22" s="592" t="s">
        <v>887</v>
      </c>
      <c r="F22" s="594">
        <v>1</v>
      </c>
      <c r="G22" s="595" t="s">
        <v>938</v>
      </c>
      <c r="H22" s="596" t="s">
        <v>888</v>
      </c>
      <c r="I22" s="597" t="s">
        <v>961</v>
      </c>
      <c r="J22" s="626" t="s">
        <v>889</v>
      </c>
      <c r="K22" s="597" t="s">
        <v>954</v>
      </c>
      <c r="L22" s="593" t="s">
        <v>132</v>
      </c>
      <c r="M22" s="593" t="s">
        <v>861</v>
      </c>
      <c r="N22" s="597" t="s">
        <v>862</v>
      </c>
      <c r="O22" s="593" t="s">
        <v>132</v>
      </c>
      <c r="P22" s="593" t="s">
        <v>861</v>
      </c>
      <c r="Q22" s="597" t="s">
        <v>862</v>
      </c>
      <c r="R22" s="631"/>
      <c r="S22" s="638"/>
      <c r="T22" s="639"/>
    </row>
    <row r="23" spans="2:20" s="589" customFormat="1" ht="63.75" x14ac:dyDescent="0.25">
      <c r="B23" s="592" t="s">
        <v>84</v>
      </c>
      <c r="C23" s="592" t="s">
        <v>556</v>
      </c>
      <c r="D23" s="623">
        <v>1</v>
      </c>
      <c r="E23" s="624" t="s">
        <v>890</v>
      </c>
      <c r="F23" s="627">
        <v>1</v>
      </c>
      <c r="G23" s="606" t="s">
        <v>933</v>
      </c>
      <c r="H23" s="607" t="s">
        <v>888</v>
      </c>
      <c r="I23" s="603" t="s">
        <v>961</v>
      </c>
      <c r="J23" s="625" t="s">
        <v>889</v>
      </c>
      <c r="K23" s="597" t="s">
        <v>954</v>
      </c>
      <c r="L23" s="605" t="s">
        <v>132</v>
      </c>
      <c r="M23" s="593" t="s">
        <v>861</v>
      </c>
      <c r="N23" s="603" t="s">
        <v>862</v>
      </c>
      <c r="O23" s="605" t="s">
        <v>132</v>
      </c>
      <c r="P23" s="605" t="s">
        <v>861</v>
      </c>
      <c r="Q23" s="603" t="s">
        <v>862</v>
      </c>
      <c r="R23" s="637"/>
      <c r="S23" s="638"/>
      <c r="T23" s="636"/>
    </row>
    <row r="24" spans="2:20" s="589" customFormat="1" ht="63.75" x14ac:dyDescent="0.25">
      <c r="B24" s="592" t="s">
        <v>84</v>
      </c>
      <c r="C24" s="592" t="s">
        <v>556</v>
      </c>
      <c r="D24" s="623">
        <v>1</v>
      </c>
      <c r="E24" s="624" t="s">
        <v>890</v>
      </c>
      <c r="F24" s="627">
        <v>1</v>
      </c>
      <c r="G24" s="595" t="s">
        <v>938</v>
      </c>
      <c r="H24" s="596" t="s">
        <v>888</v>
      </c>
      <c r="I24" s="597" t="s">
        <v>961</v>
      </c>
      <c r="J24" s="626" t="s">
        <v>889</v>
      </c>
      <c r="K24" s="597" t="s">
        <v>954</v>
      </c>
      <c r="L24" s="593" t="s">
        <v>132</v>
      </c>
      <c r="M24" s="593" t="s">
        <v>861</v>
      </c>
      <c r="N24" s="597" t="s">
        <v>862</v>
      </c>
      <c r="O24" s="593" t="s">
        <v>132</v>
      </c>
      <c r="P24" s="593" t="s">
        <v>861</v>
      </c>
      <c r="Q24" s="597" t="s">
        <v>862</v>
      </c>
      <c r="R24" s="631"/>
      <c r="S24" s="638"/>
      <c r="T24" s="636"/>
    </row>
    <row r="25" spans="2:20" s="589" customFormat="1" ht="140.25" x14ac:dyDescent="0.25">
      <c r="B25" s="592" t="s">
        <v>84</v>
      </c>
      <c r="C25" s="592" t="s">
        <v>523</v>
      </c>
      <c r="D25" s="593">
        <v>1</v>
      </c>
      <c r="E25" s="593" t="s">
        <v>891</v>
      </c>
      <c r="F25" s="594">
        <v>1</v>
      </c>
      <c r="G25" s="610" t="s">
        <v>936</v>
      </c>
      <c r="H25" s="611" t="s">
        <v>892</v>
      </c>
      <c r="I25" s="597" t="s">
        <v>893</v>
      </c>
      <c r="J25" s="626" t="s">
        <v>894</v>
      </c>
      <c r="K25" s="592" t="s">
        <v>861</v>
      </c>
      <c r="L25" s="593" t="s">
        <v>524</v>
      </c>
      <c r="M25" s="593" t="s">
        <v>861</v>
      </c>
      <c r="N25" s="613" t="s">
        <v>862</v>
      </c>
      <c r="O25" s="593" t="s">
        <v>524</v>
      </c>
      <c r="P25" s="593" t="s">
        <v>861</v>
      </c>
      <c r="Q25" s="597" t="s">
        <v>862</v>
      </c>
      <c r="R25" s="640"/>
      <c r="S25" s="632"/>
      <c r="T25" s="633"/>
    </row>
    <row r="26" spans="2:20" s="589" customFormat="1" ht="75" x14ac:dyDescent="0.25">
      <c r="B26" s="592" t="s">
        <v>84</v>
      </c>
      <c r="C26" s="592" t="s">
        <v>76</v>
      </c>
      <c r="D26" s="593">
        <v>1</v>
      </c>
      <c r="E26" s="593" t="s">
        <v>895</v>
      </c>
      <c r="F26" s="594">
        <v>1</v>
      </c>
      <c r="G26" s="610" t="s">
        <v>936</v>
      </c>
      <c r="H26" s="611" t="s">
        <v>896</v>
      </c>
      <c r="I26" s="597" t="s">
        <v>967</v>
      </c>
      <c r="J26" s="626" t="s">
        <v>897</v>
      </c>
      <c r="K26" s="592" t="s">
        <v>861</v>
      </c>
      <c r="L26" s="593" t="s">
        <v>132</v>
      </c>
      <c r="M26" s="593" t="s">
        <v>861</v>
      </c>
      <c r="N26" s="613" t="s">
        <v>862</v>
      </c>
      <c r="O26" s="593" t="s">
        <v>132</v>
      </c>
      <c r="P26" s="593" t="s">
        <v>861</v>
      </c>
      <c r="Q26" s="597" t="s">
        <v>862</v>
      </c>
      <c r="R26" s="631"/>
      <c r="S26" s="632"/>
      <c r="T26" s="633"/>
    </row>
    <row r="27" spans="2:20" s="589" customFormat="1" ht="90" x14ac:dyDescent="0.25">
      <c r="B27" s="592" t="s">
        <v>84</v>
      </c>
      <c r="C27" s="592" t="s">
        <v>76</v>
      </c>
      <c r="D27" s="593">
        <v>1</v>
      </c>
      <c r="E27" s="593" t="s">
        <v>895</v>
      </c>
      <c r="F27" s="594">
        <v>1</v>
      </c>
      <c r="G27" s="610" t="s">
        <v>938</v>
      </c>
      <c r="H27" s="611" t="s">
        <v>896</v>
      </c>
      <c r="I27" s="597" t="s">
        <v>968</v>
      </c>
      <c r="J27" s="626" t="s">
        <v>897</v>
      </c>
      <c r="K27" s="592" t="s">
        <v>861</v>
      </c>
      <c r="L27" s="593" t="s">
        <v>132</v>
      </c>
      <c r="M27" s="593" t="s">
        <v>861</v>
      </c>
      <c r="N27" s="613" t="s">
        <v>862</v>
      </c>
      <c r="O27" s="593" t="s">
        <v>132</v>
      </c>
      <c r="P27" s="593" t="s">
        <v>861</v>
      </c>
      <c r="Q27" s="597" t="s">
        <v>862</v>
      </c>
      <c r="R27" s="631"/>
      <c r="S27" s="632"/>
      <c r="T27" s="633"/>
    </row>
    <row r="28" spans="2:20" s="589" customFormat="1" ht="66.75" x14ac:dyDescent="0.25">
      <c r="B28" s="592" t="s">
        <v>84</v>
      </c>
      <c r="C28" s="592" t="s">
        <v>76</v>
      </c>
      <c r="D28" s="593">
        <v>1</v>
      </c>
      <c r="E28" s="593" t="s">
        <v>895</v>
      </c>
      <c r="F28" s="594">
        <v>1</v>
      </c>
      <c r="G28" s="610" t="s">
        <v>944</v>
      </c>
      <c r="H28" s="611" t="s">
        <v>896</v>
      </c>
      <c r="I28" s="597" t="s">
        <v>969</v>
      </c>
      <c r="J28" s="626" t="s">
        <v>897</v>
      </c>
      <c r="K28" s="592" t="s">
        <v>861</v>
      </c>
      <c r="L28" s="593" t="s">
        <v>132</v>
      </c>
      <c r="M28" s="593" t="s">
        <v>861</v>
      </c>
      <c r="N28" s="613" t="s">
        <v>862</v>
      </c>
      <c r="O28" s="593" t="s">
        <v>132</v>
      </c>
      <c r="P28" s="593" t="s">
        <v>861</v>
      </c>
      <c r="Q28" s="597" t="s">
        <v>862</v>
      </c>
      <c r="R28" s="631"/>
      <c r="S28" s="632"/>
      <c r="T28" s="633"/>
    </row>
    <row r="29" spans="2:20" s="589" customFormat="1" ht="89.25" x14ac:dyDescent="0.25">
      <c r="B29" s="592" t="s">
        <v>815</v>
      </c>
      <c r="C29" s="592" t="s">
        <v>79</v>
      </c>
      <c r="D29" s="593">
        <v>1</v>
      </c>
      <c r="E29" s="593" t="s">
        <v>898</v>
      </c>
      <c r="F29" s="594">
        <v>1</v>
      </c>
      <c r="G29" s="610" t="s">
        <v>949</v>
      </c>
      <c r="H29" s="611" t="s">
        <v>899</v>
      </c>
      <c r="I29" s="597" t="s">
        <v>900</v>
      </c>
      <c r="J29" s="626" t="s">
        <v>901</v>
      </c>
      <c r="K29" s="592" t="s">
        <v>954</v>
      </c>
      <c r="L29" s="592" t="s">
        <v>902</v>
      </c>
      <c r="M29" s="593" t="s">
        <v>861</v>
      </c>
      <c r="N29" s="613" t="s">
        <v>862</v>
      </c>
      <c r="O29" s="593" t="s">
        <v>903</v>
      </c>
      <c r="P29" s="593" t="s">
        <v>954</v>
      </c>
      <c r="Q29" s="613" t="s">
        <v>904</v>
      </c>
      <c r="R29" s="631"/>
      <c r="S29" s="632"/>
      <c r="T29" s="633"/>
    </row>
    <row r="30" spans="2:20" s="589" customFormat="1" ht="77.25" x14ac:dyDescent="0.25">
      <c r="B30" s="592" t="s">
        <v>82</v>
      </c>
      <c r="C30" s="592" t="s">
        <v>83</v>
      </c>
      <c r="D30" s="593">
        <v>2</v>
      </c>
      <c r="E30" s="593" t="s">
        <v>905</v>
      </c>
      <c r="F30" s="594">
        <v>1</v>
      </c>
      <c r="G30" s="610" t="s">
        <v>944</v>
      </c>
      <c r="H30" s="611" t="s">
        <v>858</v>
      </c>
      <c r="I30" s="597" t="s">
        <v>906</v>
      </c>
      <c r="J30" s="628" t="s">
        <v>907</v>
      </c>
      <c r="K30" s="592" t="s">
        <v>954</v>
      </c>
      <c r="L30" s="593" t="s">
        <v>908</v>
      </c>
      <c r="M30" s="593" t="s">
        <v>861</v>
      </c>
      <c r="N30" s="613" t="s">
        <v>862</v>
      </c>
      <c r="O30" s="593" t="s">
        <v>908</v>
      </c>
      <c r="P30" s="593" t="s">
        <v>954</v>
      </c>
      <c r="Q30" s="613" t="s">
        <v>862</v>
      </c>
      <c r="R30" s="631"/>
      <c r="S30" s="632"/>
      <c r="T30" s="633"/>
    </row>
    <row r="31" spans="2:20" s="589" customFormat="1" ht="76.5" x14ac:dyDescent="0.25">
      <c r="B31" s="592" t="s">
        <v>84</v>
      </c>
      <c r="C31" s="592" t="s">
        <v>153</v>
      </c>
      <c r="D31" s="593">
        <v>3</v>
      </c>
      <c r="E31" s="592" t="s">
        <v>909</v>
      </c>
      <c r="F31" s="629">
        <v>1</v>
      </c>
      <c r="G31" s="610" t="s">
        <v>941</v>
      </c>
      <c r="H31" s="611" t="s">
        <v>910</v>
      </c>
      <c r="I31" s="597" t="s">
        <v>911</v>
      </c>
      <c r="J31" s="626" t="s">
        <v>912</v>
      </c>
      <c r="K31" s="592" t="s">
        <v>954</v>
      </c>
      <c r="L31" s="592" t="s">
        <v>913</v>
      </c>
      <c r="M31" s="592" t="s">
        <v>861</v>
      </c>
      <c r="N31" s="597" t="s">
        <v>862</v>
      </c>
      <c r="O31" s="592" t="s">
        <v>914</v>
      </c>
      <c r="P31" s="592" t="s">
        <v>954</v>
      </c>
      <c r="Q31" s="597" t="s">
        <v>915</v>
      </c>
      <c r="R31" s="631"/>
      <c r="S31" s="632"/>
      <c r="T31" s="633"/>
    </row>
    <row r="32" spans="2:20" s="589" customFormat="1" ht="76.5" x14ac:dyDescent="0.25">
      <c r="B32" s="592" t="s">
        <v>84</v>
      </c>
      <c r="C32" s="592" t="s">
        <v>153</v>
      </c>
      <c r="D32" s="593">
        <v>3</v>
      </c>
      <c r="E32" s="592" t="s">
        <v>916</v>
      </c>
      <c r="F32" s="629">
        <v>1</v>
      </c>
      <c r="G32" s="610" t="s">
        <v>932</v>
      </c>
      <c r="H32" s="611" t="s">
        <v>858</v>
      </c>
      <c r="I32" s="597" t="s">
        <v>917</v>
      </c>
      <c r="J32" s="626" t="s">
        <v>918</v>
      </c>
      <c r="K32" s="592" t="s">
        <v>954</v>
      </c>
      <c r="L32" s="592" t="s">
        <v>913</v>
      </c>
      <c r="M32" s="592" t="s">
        <v>861</v>
      </c>
      <c r="N32" s="597" t="s">
        <v>862</v>
      </c>
      <c r="O32" s="592" t="s">
        <v>914</v>
      </c>
      <c r="P32" s="592" t="s">
        <v>954</v>
      </c>
      <c r="Q32" s="597" t="s">
        <v>876</v>
      </c>
      <c r="R32" s="631"/>
      <c r="S32" s="632"/>
      <c r="T32" s="633"/>
    </row>
    <row r="33" spans="1:21" s="630" customFormat="1" ht="76.5" x14ac:dyDescent="0.25">
      <c r="B33" s="592" t="s">
        <v>84</v>
      </c>
      <c r="C33" s="592" t="s">
        <v>558</v>
      </c>
      <c r="D33" s="593">
        <v>3</v>
      </c>
      <c r="E33" s="592" t="s">
        <v>919</v>
      </c>
      <c r="F33" s="629">
        <v>1</v>
      </c>
      <c r="G33" s="610" t="s">
        <v>934</v>
      </c>
      <c r="H33" s="611" t="s">
        <v>858</v>
      </c>
      <c r="I33" s="597" t="s">
        <v>920</v>
      </c>
      <c r="J33" s="626" t="s">
        <v>921</v>
      </c>
      <c r="K33" s="592" t="s">
        <v>954</v>
      </c>
      <c r="L33" s="592" t="s">
        <v>922</v>
      </c>
      <c r="M33" s="592" t="s">
        <v>861</v>
      </c>
      <c r="N33" s="597" t="s">
        <v>862</v>
      </c>
      <c r="O33" s="592" t="s">
        <v>922</v>
      </c>
      <c r="P33" s="592" t="s">
        <v>954</v>
      </c>
      <c r="Q33" s="597" t="s">
        <v>876</v>
      </c>
      <c r="R33" s="631"/>
      <c r="S33" s="632"/>
      <c r="T33" s="633"/>
    </row>
    <row r="39" spans="1:21" x14ac:dyDescent="0.25">
      <c r="A39" s="51"/>
      <c r="U39" s="51"/>
    </row>
    <row r="40" spans="1:21" x14ac:dyDescent="0.25">
      <c r="A40" s="51"/>
      <c r="U40" s="51"/>
    </row>
    <row r="41" spans="1:21" x14ac:dyDescent="0.25">
      <c r="A41" s="51"/>
      <c r="U41" s="51"/>
    </row>
    <row r="42" spans="1:21" x14ac:dyDescent="0.25">
      <c r="A42" s="51"/>
      <c r="U42" s="51"/>
    </row>
    <row r="43" spans="1:21" x14ac:dyDescent="0.25">
      <c r="A43" s="51"/>
      <c r="U43" s="51"/>
    </row>
    <row r="44" spans="1:21" x14ac:dyDescent="0.25">
      <c r="A44" s="51"/>
      <c r="U44" s="51"/>
    </row>
    <row r="45" spans="1:21" x14ac:dyDescent="0.25">
      <c r="A45" s="51"/>
      <c r="U45" s="51"/>
    </row>
    <row r="46" spans="1:21" x14ac:dyDescent="0.25">
      <c r="A46" s="51"/>
      <c r="U46" s="51"/>
    </row>
    <row r="47" spans="1:21" x14ac:dyDescent="0.25">
      <c r="A47" s="51"/>
      <c r="U47" s="51"/>
    </row>
    <row r="48" spans="1:21" x14ac:dyDescent="0.25">
      <c r="A48" s="51"/>
      <c r="U48" s="51"/>
    </row>
    <row r="49" spans="1:21" x14ac:dyDescent="0.25">
      <c r="A49" s="51"/>
      <c r="U49" s="51"/>
    </row>
    <row r="50" spans="1:21" x14ac:dyDescent="0.25">
      <c r="A50" s="51"/>
      <c r="U50" s="51"/>
    </row>
    <row r="51" spans="1:21" x14ac:dyDescent="0.25">
      <c r="A51" s="51"/>
      <c r="U51" s="51"/>
    </row>
    <row r="253" spans="1:21" x14ac:dyDescent="0.25">
      <c r="A253" s="51"/>
      <c r="U253" s="51"/>
    </row>
    <row r="254" spans="1:21" x14ac:dyDescent="0.25">
      <c r="A254" s="51"/>
      <c r="U254" s="51"/>
    </row>
    <row r="255" spans="1:21" x14ac:dyDescent="0.25">
      <c r="A255" s="51"/>
      <c r="U255" s="51"/>
    </row>
    <row r="256" spans="1:21" x14ac:dyDescent="0.25">
      <c r="A256" s="51"/>
      <c r="U256" s="51"/>
    </row>
    <row r="257" spans="1:21" x14ac:dyDescent="0.25">
      <c r="A257" s="51"/>
      <c r="U257" s="51"/>
    </row>
    <row r="258" spans="1:21" x14ac:dyDescent="0.25">
      <c r="A258" s="51"/>
      <c r="U258" s="51"/>
    </row>
    <row r="259" spans="1:21" x14ac:dyDescent="0.25">
      <c r="A259" s="51"/>
      <c r="U259" s="51"/>
    </row>
    <row r="260" spans="1:21" x14ac:dyDescent="0.25">
      <c r="A260" s="51"/>
      <c r="U260" s="51"/>
    </row>
    <row r="261" spans="1:21" x14ac:dyDescent="0.25">
      <c r="A261" s="51"/>
      <c r="U261" s="51"/>
    </row>
    <row r="262" spans="1:21" x14ac:dyDescent="0.25">
      <c r="A262" s="51"/>
      <c r="U262" s="51"/>
    </row>
    <row r="263" spans="1:21" x14ac:dyDescent="0.25">
      <c r="A263" s="51"/>
      <c r="U263" s="51"/>
    </row>
    <row r="264" spans="1:21" x14ac:dyDescent="0.25">
      <c r="A264" s="51"/>
      <c r="U264" s="51"/>
    </row>
    <row r="265" spans="1:21" x14ac:dyDescent="0.25">
      <c r="A265" s="51"/>
      <c r="U265" s="51"/>
    </row>
    <row r="266" spans="1:21" x14ac:dyDescent="0.25">
      <c r="A266" s="51"/>
      <c r="U266" s="51"/>
    </row>
    <row r="267" spans="1:21" x14ac:dyDescent="0.25">
      <c r="A267" s="51"/>
      <c r="U267" s="51"/>
    </row>
    <row r="268" spans="1:21" x14ac:dyDescent="0.25">
      <c r="A268" s="51"/>
      <c r="U268" s="51"/>
    </row>
    <row r="269" spans="1:21" x14ac:dyDescent="0.25">
      <c r="A269" s="51"/>
      <c r="U269" s="51"/>
    </row>
    <row r="270" spans="1:21" x14ac:dyDescent="0.25">
      <c r="A270" s="51"/>
      <c r="U270" s="51"/>
    </row>
    <row r="271" spans="1:21" s="148" customFormat="1" x14ac:dyDescent="0.25">
      <c r="B271" s="149" t="s">
        <v>64</v>
      </c>
      <c r="C271" s="150" t="s">
        <v>554</v>
      </c>
      <c r="D271" s="151" t="s">
        <v>66</v>
      </c>
      <c r="E271" s="152" t="s">
        <v>65</v>
      </c>
      <c r="F271" s="618" t="s">
        <v>75</v>
      </c>
      <c r="G271" s="152" t="s">
        <v>77</v>
      </c>
      <c r="H271" s="151" t="s">
        <v>80</v>
      </c>
      <c r="I271" s="149" t="s">
        <v>82</v>
      </c>
      <c r="J271" s="152" t="s">
        <v>84</v>
      </c>
      <c r="K271" s="152" t="s">
        <v>60</v>
      </c>
      <c r="M271" s="619"/>
      <c r="P271" s="619"/>
      <c r="S271" s="619"/>
      <c r="T271" s="619"/>
    </row>
    <row r="272" spans="1:21" s="148" customFormat="1" ht="17.25" customHeight="1" x14ac:dyDescent="0.25">
      <c r="B272" s="149" t="s">
        <v>554</v>
      </c>
      <c r="C272" s="149" t="s">
        <v>69</v>
      </c>
      <c r="D272" s="149" t="s">
        <v>433</v>
      </c>
      <c r="E272" s="149" t="s">
        <v>548</v>
      </c>
      <c r="F272" s="414" t="s">
        <v>330</v>
      </c>
      <c r="G272" s="577" t="s">
        <v>507</v>
      </c>
      <c r="H272" s="577" t="s">
        <v>140</v>
      </c>
      <c r="I272" s="579" t="s">
        <v>83</v>
      </c>
      <c r="J272" s="577" t="s">
        <v>556</v>
      </c>
      <c r="K272" s="149">
        <v>1</v>
      </c>
      <c r="M272" s="619"/>
      <c r="P272" s="619"/>
      <c r="S272" s="619"/>
      <c r="T272" s="619"/>
    </row>
    <row r="273" spans="2:20" s="148" customFormat="1" ht="17.25" customHeight="1" x14ac:dyDescent="0.25">
      <c r="B273" s="149" t="s">
        <v>66</v>
      </c>
      <c r="C273" s="149" t="s">
        <v>370</v>
      </c>
      <c r="D273" s="149" t="s">
        <v>402</v>
      </c>
      <c r="E273" s="149" t="s">
        <v>549</v>
      </c>
      <c r="F273" s="414" t="s">
        <v>331</v>
      </c>
      <c r="G273" s="577" t="s">
        <v>489</v>
      </c>
      <c r="H273" s="577" t="s">
        <v>142</v>
      </c>
      <c r="I273" s="149"/>
      <c r="J273" s="577" t="s">
        <v>557</v>
      </c>
      <c r="K273" s="149">
        <v>2</v>
      </c>
      <c r="M273" s="619"/>
      <c r="P273" s="619"/>
      <c r="S273" s="619"/>
      <c r="T273" s="619"/>
    </row>
    <row r="274" spans="2:20" s="148" customFormat="1" ht="17.25" customHeight="1" x14ac:dyDescent="0.25">
      <c r="B274" s="149" t="s">
        <v>65</v>
      </c>
      <c r="C274" s="149" t="s">
        <v>371</v>
      </c>
      <c r="D274" s="149" t="s">
        <v>625</v>
      </c>
      <c r="E274" s="149" t="s">
        <v>393</v>
      </c>
      <c r="F274" s="414" t="s">
        <v>332</v>
      </c>
      <c r="G274" s="577" t="s">
        <v>78</v>
      </c>
      <c r="H274" s="577" t="s">
        <v>139</v>
      </c>
      <c r="I274" s="149"/>
      <c r="J274" s="577" t="s">
        <v>76</v>
      </c>
      <c r="K274" s="149">
        <v>3</v>
      </c>
      <c r="M274" s="619"/>
      <c r="P274" s="619"/>
      <c r="S274" s="619"/>
      <c r="T274" s="619"/>
    </row>
    <row r="275" spans="2:20" s="148" customFormat="1" ht="17.25" customHeight="1" x14ac:dyDescent="0.25">
      <c r="B275" s="149" t="s">
        <v>75</v>
      </c>
      <c r="C275" s="149" t="s">
        <v>372</v>
      </c>
      <c r="D275" s="149" t="s">
        <v>71</v>
      </c>
      <c r="E275" s="149" t="s">
        <v>263</v>
      </c>
      <c r="F275" s="414" t="s">
        <v>333</v>
      </c>
      <c r="G275" s="577" t="s">
        <v>79</v>
      </c>
      <c r="H275" s="577" t="s">
        <v>190</v>
      </c>
      <c r="I275" s="149"/>
      <c r="J275" s="577" t="s">
        <v>85</v>
      </c>
      <c r="K275" s="149"/>
      <c r="M275" s="619"/>
      <c r="P275" s="619"/>
      <c r="S275" s="619"/>
      <c r="T275" s="619"/>
    </row>
    <row r="276" spans="2:20" s="148" customFormat="1" ht="17.25" customHeight="1" x14ac:dyDescent="0.25">
      <c r="B276" s="149" t="s">
        <v>815</v>
      </c>
      <c r="C276" s="149" t="s">
        <v>373</v>
      </c>
      <c r="D276" s="149" t="s">
        <v>72</v>
      </c>
      <c r="E276" s="149" t="s">
        <v>67</v>
      </c>
      <c r="F276" s="414" t="s">
        <v>536</v>
      </c>
      <c r="G276" s="577" t="s">
        <v>488</v>
      </c>
      <c r="H276" s="577" t="s">
        <v>138</v>
      </c>
      <c r="I276" s="149"/>
      <c r="J276" s="577" t="s">
        <v>86</v>
      </c>
      <c r="K276" s="149"/>
      <c r="M276" s="619"/>
      <c r="P276" s="619"/>
      <c r="S276" s="619"/>
      <c r="T276" s="619"/>
    </row>
    <row r="277" spans="2:20" s="148" customFormat="1" ht="17.25" customHeight="1" x14ac:dyDescent="0.25">
      <c r="B277" s="149" t="s">
        <v>80</v>
      </c>
      <c r="C277" s="149" t="s">
        <v>374</v>
      </c>
      <c r="D277" s="149" t="s">
        <v>73</v>
      </c>
      <c r="E277" s="149" t="s">
        <v>394</v>
      </c>
      <c r="F277" s="414" t="s">
        <v>334</v>
      </c>
      <c r="G277" s="577" t="s">
        <v>487</v>
      </c>
      <c r="H277" s="577" t="s">
        <v>143</v>
      </c>
      <c r="I277" s="149"/>
      <c r="J277" s="577" t="s">
        <v>523</v>
      </c>
      <c r="K277" s="149"/>
      <c r="M277" s="619"/>
      <c r="P277" s="619"/>
      <c r="S277" s="619"/>
      <c r="T277" s="619"/>
    </row>
    <row r="278" spans="2:20" s="148" customFormat="1" ht="17.25" customHeight="1" x14ac:dyDescent="0.25">
      <c r="B278" s="149" t="s">
        <v>82</v>
      </c>
      <c r="C278" s="149" t="s">
        <v>375</v>
      </c>
      <c r="D278" s="149" t="s">
        <v>403</v>
      </c>
      <c r="E278" s="149" t="s">
        <v>395</v>
      </c>
      <c r="F278" s="414" t="s">
        <v>335</v>
      </c>
      <c r="G278" s="577" t="s">
        <v>511</v>
      </c>
      <c r="H278" s="577" t="s">
        <v>144</v>
      </c>
      <c r="I278" s="149"/>
      <c r="J278" s="577" t="s">
        <v>87</v>
      </c>
      <c r="K278" s="149"/>
      <c r="M278" s="619"/>
      <c r="P278" s="619"/>
      <c r="S278" s="619"/>
      <c r="T278" s="619"/>
    </row>
    <row r="279" spans="2:20" s="148" customFormat="1" ht="17.25" customHeight="1" x14ac:dyDescent="0.25">
      <c r="B279" s="149" t="s">
        <v>84</v>
      </c>
      <c r="C279" s="149" t="s">
        <v>376</v>
      </c>
      <c r="D279" s="149" t="s">
        <v>404</v>
      </c>
      <c r="E279" s="149" t="s">
        <v>396</v>
      </c>
      <c r="F279" s="414" t="s">
        <v>539</v>
      </c>
      <c r="H279" s="577" t="s">
        <v>191</v>
      </c>
      <c r="I279" s="149"/>
      <c r="J279" s="577" t="s">
        <v>521</v>
      </c>
      <c r="K279" s="149"/>
      <c r="M279" s="619"/>
      <c r="P279" s="619"/>
      <c r="S279" s="619"/>
      <c r="T279" s="619"/>
    </row>
    <row r="280" spans="2:20" s="148" customFormat="1" ht="17.25" customHeight="1" x14ac:dyDescent="0.25">
      <c r="C280" s="149" t="s">
        <v>377</v>
      </c>
      <c r="D280" s="149" t="s">
        <v>405</v>
      </c>
      <c r="E280" s="149" t="s">
        <v>550</v>
      </c>
      <c r="F280" s="414" t="s">
        <v>336</v>
      </c>
      <c r="H280" s="579" t="s">
        <v>559</v>
      </c>
      <c r="I280" s="149"/>
      <c r="J280" s="577" t="s">
        <v>88</v>
      </c>
      <c r="K280" s="149"/>
      <c r="M280" s="619"/>
      <c r="P280" s="619"/>
      <c r="S280" s="619"/>
      <c r="T280" s="619"/>
    </row>
    <row r="281" spans="2:20" s="148" customFormat="1" ht="17.25" customHeight="1" x14ac:dyDescent="0.25">
      <c r="C281" s="149" t="s">
        <v>378</v>
      </c>
      <c r="D281" s="149" t="s">
        <v>406</v>
      </c>
      <c r="E281" s="149" t="s">
        <v>397</v>
      </c>
      <c r="F281" s="414" t="s">
        <v>337</v>
      </c>
      <c r="I281" s="149"/>
      <c r="J281" s="577" t="s">
        <v>89</v>
      </c>
      <c r="K281" s="149"/>
      <c r="M281" s="619"/>
      <c r="P281" s="619"/>
      <c r="S281" s="619"/>
      <c r="T281" s="619"/>
    </row>
    <row r="282" spans="2:20" s="148" customFormat="1" ht="17.25" customHeight="1" x14ac:dyDescent="0.25">
      <c r="C282" s="149" t="s">
        <v>379</v>
      </c>
      <c r="D282" s="149" t="s">
        <v>434</v>
      </c>
      <c r="E282" s="149" t="s">
        <v>432</v>
      </c>
      <c r="F282" s="414" t="s">
        <v>341</v>
      </c>
      <c r="G282" s="149"/>
      <c r="I282" s="149"/>
      <c r="J282" s="577" t="s">
        <v>90</v>
      </c>
      <c r="K282" s="149"/>
      <c r="M282" s="619"/>
      <c r="P282" s="619"/>
      <c r="S282" s="619"/>
      <c r="T282" s="619"/>
    </row>
    <row r="283" spans="2:20" s="148" customFormat="1" x14ac:dyDescent="0.25">
      <c r="B283" s="149"/>
      <c r="C283" s="149" t="s">
        <v>68</v>
      </c>
      <c r="D283" s="149" t="s">
        <v>74</v>
      </c>
      <c r="E283" s="149" t="s">
        <v>431</v>
      </c>
      <c r="F283" s="414" t="s">
        <v>342</v>
      </c>
      <c r="G283" s="149"/>
      <c r="I283" s="149"/>
      <c r="J283" s="577" t="s">
        <v>522</v>
      </c>
      <c r="K283" s="149"/>
      <c r="M283" s="619"/>
      <c r="P283" s="619"/>
      <c r="S283" s="619"/>
      <c r="T283" s="619"/>
    </row>
    <row r="284" spans="2:20" s="148" customFormat="1" x14ac:dyDescent="0.25">
      <c r="B284" s="149"/>
      <c r="C284" s="149" t="s">
        <v>380</v>
      </c>
      <c r="D284" s="149" t="s">
        <v>407</v>
      </c>
      <c r="E284" s="149" t="s">
        <v>398</v>
      </c>
      <c r="F284" s="414" t="s">
        <v>538</v>
      </c>
      <c r="G284" s="149"/>
      <c r="H284" s="152"/>
      <c r="I284" s="149"/>
      <c r="J284" s="577" t="s">
        <v>91</v>
      </c>
      <c r="K284" s="149"/>
      <c r="M284" s="619"/>
      <c r="P284" s="619"/>
      <c r="S284" s="619"/>
      <c r="T284" s="619"/>
    </row>
    <row r="285" spans="2:20" s="148" customFormat="1" x14ac:dyDescent="0.25">
      <c r="B285" s="149"/>
      <c r="C285" s="149" t="s">
        <v>381</v>
      </c>
      <c r="D285" s="149" t="s">
        <v>551</v>
      </c>
      <c r="E285" s="149"/>
      <c r="F285" s="414" t="s">
        <v>340</v>
      </c>
      <c r="G285" s="149"/>
      <c r="H285" s="152"/>
      <c r="I285" s="149"/>
      <c r="J285" s="577" t="s">
        <v>558</v>
      </c>
      <c r="K285" s="149"/>
      <c r="M285" s="619"/>
      <c r="P285" s="619"/>
      <c r="S285" s="619"/>
      <c r="T285" s="619"/>
    </row>
    <row r="286" spans="2:20" s="148" customFormat="1" x14ac:dyDescent="0.25">
      <c r="B286" s="149"/>
      <c r="C286" s="149" t="s">
        <v>382</v>
      </c>
      <c r="D286" s="149" t="s">
        <v>552</v>
      </c>
      <c r="E286" s="149"/>
      <c r="F286" s="414" t="s">
        <v>339</v>
      </c>
      <c r="G286" s="149"/>
      <c r="H286" s="152"/>
      <c r="I286" s="149"/>
      <c r="J286" s="577" t="s">
        <v>529</v>
      </c>
      <c r="K286" s="149"/>
      <c r="M286" s="619"/>
      <c r="P286" s="619"/>
      <c r="S286" s="619"/>
      <c r="T286" s="619"/>
    </row>
    <row r="287" spans="2:20" s="148" customFormat="1" x14ac:dyDescent="0.25">
      <c r="B287" s="149"/>
      <c r="C287" s="149" t="s">
        <v>383</v>
      </c>
      <c r="D287" s="149" t="s">
        <v>553</v>
      </c>
      <c r="F287" s="414" t="s">
        <v>343</v>
      </c>
      <c r="G287" s="149"/>
      <c r="H287" s="152"/>
      <c r="I287" s="149"/>
      <c r="J287" s="577" t="s">
        <v>531</v>
      </c>
      <c r="K287" s="149"/>
      <c r="M287" s="619"/>
      <c r="P287" s="619"/>
      <c r="S287" s="619"/>
      <c r="T287" s="619"/>
    </row>
    <row r="288" spans="2:20" s="148" customFormat="1" x14ac:dyDescent="0.25">
      <c r="B288" s="149"/>
      <c r="C288" s="149" t="s">
        <v>384</v>
      </c>
      <c r="D288" s="149" t="s">
        <v>535</v>
      </c>
      <c r="E288" s="152"/>
      <c r="F288" s="414" t="s">
        <v>338</v>
      </c>
      <c r="G288" s="149"/>
      <c r="H288" s="152"/>
      <c r="I288" s="149"/>
      <c r="J288" s="577" t="s">
        <v>533</v>
      </c>
      <c r="K288" s="149"/>
      <c r="M288" s="619"/>
      <c r="P288" s="619"/>
      <c r="S288" s="619"/>
      <c r="T288" s="619"/>
    </row>
    <row r="289" spans="2:20" s="148" customFormat="1" x14ac:dyDescent="0.25">
      <c r="B289" s="149"/>
      <c r="C289" s="149" t="s">
        <v>385</v>
      </c>
      <c r="D289" s="149" t="s">
        <v>528</v>
      </c>
      <c r="E289" s="152"/>
      <c r="F289" s="414" t="s">
        <v>540</v>
      </c>
      <c r="G289" s="149"/>
      <c r="H289" s="152"/>
      <c r="I289" s="149"/>
      <c r="J289" s="577" t="s">
        <v>153</v>
      </c>
      <c r="K289" s="149"/>
      <c r="M289" s="619"/>
      <c r="P289" s="619"/>
      <c r="S289" s="619"/>
      <c r="T289" s="619"/>
    </row>
    <row r="290" spans="2:20" s="148" customFormat="1" x14ac:dyDescent="0.25">
      <c r="B290" s="149"/>
      <c r="C290" s="149" t="s">
        <v>70</v>
      </c>
      <c r="D290" s="149"/>
      <c r="E290" s="152"/>
      <c r="F290" s="414" t="s">
        <v>541</v>
      </c>
      <c r="G290" s="149"/>
      <c r="H290" s="152"/>
      <c r="I290" s="149"/>
      <c r="J290" s="578" t="s">
        <v>154</v>
      </c>
      <c r="K290" s="149"/>
      <c r="M290" s="619"/>
      <c r="P290" s="619"/>
      <c r="S290" s="619"/>
      <c r="T290" s="619"/>
    </row>
    <row r="291" spans="2:20" s="148" customFormat="1" x14ac:dyDescent="0.25">
      <c r="B291" s="149"/>
      <c r="C291" s="149" t="s">
        <v>386</v>
      </c>
      <c r="E291" s="152"/>
      <c r="F291" s="414" t="s">
        <v>349</v>
      </c>
      <c r="G291" s="149"/>
      <c r="H291" s="152"/>
      <c r="I291" s="149"/>
      <c r="J291" s="577" t="s">
        <v>490</v>
      </c>
      <c r="K291" s="149"/>
      <c r="M291" s="619"/>
      <c r="P291" s="619"/>
      <c r="S291" s="619"/>
      <c r="T291" s="619"/>
    </row>
    <row r="292" spans="2:20" s="148" customFormat="1" x14ac:dyDescent="0.25">
      <c r="B292" s="149"/>
      <c r="C292" s="149" t="s">
        <v>387</v>
      </c>
      <c r="E292" s="152"/>
      <c r="F292" s="619"/>
      <c r="G292" s="149"/>
      <c r="H292" s="152"/>
      <c r="I292" s="149"/>
      <c r="J292" s="577" t="s">
        <v>491</v>
      </c>
      <c r="K292" s="149"/>
      <c r="M292" s="619"/>
      <c r="P292" s="619"/>
      <c r="S292" s="619"/>
      <c r="T292" s="619"/>
    </row>
    <row r="293" spans="2:20" s="148" customFormat="1" x14ac:dyDescent="0.25">
      <c r="B293" s="149"/>
      <c r="C293" s="149" t="s">
        <v>388</v>
      </c>
      <c r="D293" s="149"/>
      <c r="E293" s="152"/>
      <c r="F293" s="619"/>
      <c r="G293" s="149"/>
      <c r="H293" s="152"/>
      <c r="I293" s="149"/>
      <c r="J293" s="577" t="s">
        <v>501</v>
      </c>
      <c r="K293" s="149"/>
      <c r="M293" s="619"/>
      <c r="P293" s="619"/>
      <c r="S293" s="619"/>
      <c r="T293" s="619"/>
    </row>
    <row r="294" spans="2:20" s="148" customFormat="1" x14ac:dyDescent="0.25">
      <c r="B294" s="149"/>
      <c r="C294" s="149" t="s">
        <v>389</v>
      </c>
      <c r="D294" s="149"/>
      <c r="E294" s="152"/>
      <c r="F294" s="619"/>
      <c r="G294" s="149"/>
      <c r="H294" s="152"/>
      <c r="I294" s="149"/>
      <c r="J294" s="577" t="s">
        <v>502</v>
      </c>
      <c r="K294" s="149"/>
      <c r="M294" s="619"/>
      <c r="P294" s="619"/>
      <c r="S294" s="619"/>
      <c r="T294" s="619"/>
    </row>
    <row r="295" spans="2:20" s="148" customFormat="1" x14ac:dyDescent="0.25">
      <c r="B295" s="149"/>
      <c r="C295" s="149" t="s">
        <v>390</v>
      </c>
      <c r="D295" s="149"/>
      <c r="E295" s="152"/>
      <c r="F295" s="618"/>
      <c r="G295" s="149"/>
      <c r="H295" s="152"/>
      <c r="I295" s="149"/>
      <c r="J295" s="577" t="s">
        <v>503</v>
      </c>
      <c r="K295" s="149"/>
      <c r="M295" s="619"/>
      <c r="P295" s="619"/>
      <c r="S295" s="619"/>
      <c r="T295" s="619"/>
    </row>
    <row r="296" spans="2:20" s="148" customFormat="1" x14ac:dyDescent="0.25">
      <c r="B296" s="149"/>
      <c r="C296" s="149" t="s">
        <v>555</v>
      </c>
      <c r="D296" s="149"/>
      <c r="E296" s="152"/>
      <c r="F296" s="618"/>
      <c r="G296" s="149"/>
      <c r="H296" s="152"/>
      <c r="I296" s="149"/>
      <c r="J296" s="577" t="s">
        <v>496</v>
      </c>
      <c r="K296" s="149"/>
      <c r="M296" s="619"/>
      <c r="P296" s="619"/>
      <c r="S296" s="619"/>
      <c r="T296" s="619"/>
    </row>
    <row r="297" spans="2:20" s="148" customFormat="1" x14ac:dyDescent="0.25">
      <c r="B297" s="149"/>
      <c r="D297" s="149"/>
      <c r="E297" s="152"/>
      <c r="F297" s="618"/>
      <c r="G297" s="149"/>
      <c r="H297" s="152"/>
      <c r="I297" s="149"/>
      <c r="J297" s="577" t="s">
        <v>497</v>
      </c>
      <c r="K297" s="149"/>
      <c r="M297" s="619"/>
      <c r="P297" s="619"/>
      <c r="S297" s="619"/>
      <c r="T297" s="619"/>
    </row>
    <row r="298" spans="2:20" s="148" customFormat="1" x14ac:dyDescent="0.25">
      <c r="B298" s="149"/>
      <c r="D298" s="149"/>
      <c r="E298" s="152"/>
      <c r="F298" s="618"/>
      <c r="G298" s="149"/>
      <c r="H298" s="152"/>
      <c r="I298" s="149"/>
      <c r="K298" s="149"/>
      <c r="M298" s="619"/>
      <c r="P298" s="619"/>
      <c r="S298" s="619"/>
      <c r="T298" s="619"/>
    </row>
    <row r="299" spans="2:20" s="148" customFormat="1" x14ac:dyDescent="0.25">
      <c r="B299" s="149"/>
      <c r="D299" s="149"/>
      <c r="E299" s="152"/>
      <c r="F299" s="618"/>
      <c r="G299" s="149"/>
      <c r="H299" s="152"/>
      <c r="I299" s="149"/>
      <c r="K299" s="149"/>
      <c r="M299" s="619"/>
      <c r="P299" s="619"/>
      <c r="S299" s="619"/>
      <c r="T299" s="619"/>
    </row>
    <row r="300" spans="2:20" s="148" customFormat="1" x14ac:dyDescent="0.25">
      <c r="B300" s="149"/>
      <c r="C300" s="152"/>
      <c r="D300" s="149"/>
      <c r="E300" s="152"/>
      <c r="F300" s="618"/>
      <c r="G300" s="149"/>
      <c r="H300" s="152"/>
      <c r="I300" s="149"/>
      <c r="K300" s="149"/>
      <c r="M300" s="619"/>
      <c r="P300" s="619"/>
      <c r="S300" s="619"/>
      <c r="T300" s="619"/>
    </row>
    <row r="301" spans="2:20" s="148" customFormat="1" x14ac:dyDescent="0.25">
      <c r="B301" s="149"/>
      <c r="C301" s="152"/>
      <c r="D301" s="149"/>
      <c r="E301" s="152"/>
      <c r="F301" s="618"/>
      <c r="G301" s="149"/>
      <c r="H301" s="152"/>
      <c r="I301" s="149"/>
      <c r="J301" s="152"/>
      <c r="K301" s="149"/>
      <c r="M301" s="619"/>
      <c r="P301" s="619"/>
      <c r="S301" s="619"/>
      <c r="T301" s="619"/>
    </row>
    <row r="302" spans="2:20" s="148" customFormat="1" x14ac:dyDescent="0.25">
      <c r="B302" s="149"/>
      <c r="C302" s="152"/>
      <c r="D302" s="149"/>
      <c r="E302" s="152"/>
      <c r="F302" s="618"/>
      <c r="G302" s="149"/>
      <c r="H302" s="152"/>
      <c r="I302" s="149"/>
      <c r="J302" s="152"/>
      <c r="K302" s="149"/>
      <c r="M302" s="619"/>
      <c r="P302" s="619"/>
      <c r="S302" s="619"/>
      <c r="T302" s="619"/>
    </row>
    <row r="303" spans="2:20" s="148" customFormat="1" x14ac:dyDescent="0.25">
      <c r="B303" s="149"/>
      <c r="C303" s="152"/>
      <c r="D303" s="149"/>
      <c r="E303" s="152"/>
      <c r="F303" s="618"/>
      <c r="G303" s="149"/>
      <c r="H303" s="152"/>
      <c r="I303" s="149"/>
      <c r="J303" s="152"/>
      <c r="K303" s="149"/>
      <c r="M303" s="619"/>
      <c r="P303" s="619"/>
      <c r="S303" s="619"/>
      <c r="T303" s="619"/>
    </row>
    <row r="304" spans="2:20" s="148" customFormat="1" x14ac:dyDescent="0.25">
      <c r="B304" s="149"/>
      <c r="C304" s="152"/>
      <c r="D304" s="149"/>
      <c r="E304" s="152"/>
      <c r="F304" s="618"/>
      <c r="G304" s="149"/>
      <c r="H304" s="152"/>
      <c r="I304" s="149"/>
      <c r="J304" s="152"/>
      <c r="K304" s="149"/>
      <c r="M304" s="619"/>
      <c r="P304" s="619"/>
      <c r="S304" s="619"/>
      <c r="T304" s="619"/>
    </row>
    <row r="305" spans="2:20" s="148" customFormat="1" x14ac:dyDescent="0.25">
      <c r="B305" s="149"/>
      <c r="C305" s="152"/>
      <c r="D305" s="149"/>
      <c r="E305" s="152"/>
      <c r="F305" s="618"/>
      <c r="G305" s="149"/>
      <c r="H305" s="152"/>
      <c r="I305" s="149"/>
      <c r="J305" s="152"/>
      <c r="K305" s="149"/>
      <c r="M305" s="619"/>
      <c r="P305" s="619"/>
      <c r="S305" s="619"/>
      <c r="T305" s="619"/>
    </row>
    <row r="306" spans="2:20" s="148" customFormat="1" x14ac:dyDescent="0.25">
      <c r="B306" s="149"/>
      <c r="C306" s="152"/>
      <c r="D306" s="149"/>
      <c r="E306" s="152"/>
      <c r="F306" s="618"/>
      <c r="G306" s="149"/>
      <c r="H306" s="152"/>
      <c r="I306" s="149"/>
      <c r="J306" s="152"/>
      <c r="K306" s="149"/>
      <c r="M306" s="619"/>
      <c r="P306" s="619"/>
      <c r="S306" s="619"/>
      <c r="T306" s="619"/>
    </row>
    <row r="307" spans="2:20" s="148" customFormat="1" x14ac:dyDescent="0.25">
      <c r="B307" s="149"/>
      <c r="C307" s="152"/>
      <c r="D307" s="149"/>
      <c r="E307" s="573"/>
      <c r="F307" s="620"/>
      <c r="G307" s="574"/>
      <c r="H307" s="573"/>
      <c r="I307" s="574"/>
      <c r="J307" s="573"/>
      <c r="K307" s="574"/>
      <c r="L307" s="574"/>
      <c r="M307" s="622"/>
      <c r="N307" s="575"/>
      <c r="O307" s="575"/>
      <c r="P307" s="622"/>
      <c r="Q307" s="575"/>
      <c r="S307" s="619"/>
      <c r="T307" s="619"/>
    </row>
    <row r="308" spans="2:20" s="148" customFormat="1" x14ac:dyDescent="0.25">
      <c r="B308" s="149"/>
      <c r="C308" s="152"/>
      <c r="D308" s="149"/>
      <c r="E308" s="574"/>
      <c r="F308" s="620"/>
      <c r="G308" s="574"/>
      <c r="H308" s="573"/>
      <c r="I308" s="574"/>
      <c r="J308" s="573"/>
      <c r="K308" s="574"/>
      <c r="L308" s="574"/>
      <c r="M308" s="622"/>
      <c r="N308" s="575"/>
      <c r="O308" s="575"/>
      <c r="P308" s="622"/>
      <c r="Q308" s="575"/>
      <c r="S308" s="619"/>
      <c r="T308" s="619"/>
    </row>
    <row r="309" spans="2:20" s="148" customFormat="1" x14ac:dyDescent="0.25">
      <c r="B309" s="149"/>
      <c r="C309" s="152"/>
      <c r="D309" s="149"/>
      <c r="E309" s="574"/>
      <c r="F309" s="620"/>
      <c r="G309" s="574"/>
      <c r="H309" s="573"/>
      <c r="I309" s="574"/>
      <c r="J309" s="574"/>
      <c r="K309" s="574"/>
      <c r="L309" s="574"/>
      <c r="M309" s="622"/>
      <c r="N309" s="575"/>
      <c r="O309" s="575"/>
      <c r="P309" s="622"/>
      <c r="Q309" s="575"/>
      <c r="S309" s="619"/>
      <c r="T309" s="619"/>
    </row>
    <row r="310" spans="2:20" s="148" customFormat="1" x14ac:dyDescent="0.25">
      <c r="B310" s="149"/>
      <c r="C310" s="152"/>
      <c r="D310" s="149"/>
      <c r="E310" s="574"/>
      <c r="F310" s="620"/>
      <c r="G310" s="574"/>
      <c r="H310" s="573"/>
      <c r="I310" s="574"/>
      <c r="J310" s="574"/>
      <c r="K310" s="574"/>
      <c r="L310" s="574"/>
      <c r="M310" s="622"/>
      <c r="N310" s="575"/>
      <c r="O310" s="575"/>
      <c r="P310" s="622"/>
      <c r="Q310" s="575"/>
      <c r="S310" s="619"/>
      <c r="T310" s="619"/>
    </row>
    <row r="311" spans="2:20" s="148" customFormat="1" x14ac:dyDescent="0.25">
      <c r="B311" s="149"/>
      <c r="C311" s="152"/>
      <c r="D311" s="149"/>
      <c r="E311" s="574"/>
      <c r="F311" s="621"/>
      <c r="G311" s="574"/>
      <c r="H311" s="573"/>
      <c r="I311" s="574"/>
      <c r="J311" s="574"/>
      <c r="K311" s="574"/>
      <c r="L311" s="574"/>
      <c r="M311" s="622"/>
      <c r="N311" s="575"/>
      <c r="O311" s="575"/>
      <c r="P311" s="622"/>
      <c r="Q311" s="575"/>
      <c r="S311" s="619"/>
      <c r="T311" s="619"/>
    </row>
    <row r="312" spans="2:20" s="148" customFormat="1" x14ac:dyDescent="0.25">
      <c r="B312" s="149"/>
      <c r="C312" s="152"/>
      <c r="D312" s="149"/>
      <c r="E312" s="574"/>
      <c r="F312" s="621"/>
      <c r="G312" s="574"/>
      <c r="H312" s="576"/>
      <c r="I312" s="574"/>
      <c r="J312" s="574"/>
      <c r="K312" s="574"/>
      <c r="L312" s="574"/>
      <c r="M312" s="622"/>
      <c r="N312" s="575"/>
      <c r="O312" s="575"/>
      <c r="P312" s="622"/>
      <c r="Q312" s="575"/>
      <c r="S312" s="619"/>
      <c r="T312" s="619"/>
    </row>
    <row r="313" spans="2:20" s="148" customFormat="1" x14ac:dyDescent="0.25">
      <c r="B313" s="149"/>
      <c r="C313" s="152"/>
      <c r="D313" s="149"/>
      <c r="E313" s="574"/>
      <c r="F313" s="621"/>
      <c r="G313" s="574"/>
      <c r="H313" s="573"/>
      <c r="I313" s="574"/>
      <c r="J313" s="574"/>
      <c r="K313" s="574"/>
      <c r="L313" s="574"/>
      <c r="M313" s="622"/>
      <c r="N313" s="575"/>
      <c r="O313" s="575"/>
      <c r="P313" s="622"/>
      <c r="Q313" s="575"/>
      <c r="S313" s="619"/>
      <c r="T313" s="619"/>
    </row>
    <row r="314" spans="2:20" s="148" customFormat="1" x14ac:dyDescent="0.25">
      <c r="B314" s="149"/>
      <c r="C314" s="152"/>
      <c r="D314" s="149"/>
      <c r="E314" s="574"/>
      <c r="F314" s="621"/>
      <c r="G314" s="574"/>
      <c r="H314" s="573"/>
      <c r="I314" s="574"/>
      <c r="J314" s="574"/>
      <c r="K314" s="574"/>
      <c r="L314" s="574"/>
      <c r="M314" s="622"/>
      <c r="N314" s="575"/>
      <c r="O314" s="575"/>
      <c r="P314" s="622"/>
      <c r="Q314" s="575"/>
      <c r="S314" s="619"/>
      <c r="T314" s="619"/>
    </row>
    <row r="315" spans="2:20" s="148" customFormat="1" x14ac:dyDescent="0.25">
      <c r="B315" s="149"/>
      <c r="C315" s="152"/>
      <c r="D315" s="149"/>
      <c r="E315" s="574"/>
      <c r="F315" s="621"/>
      <c r="G315" s="574"/>
      <c r="H315" s="574"/>
      <c r="I315" s="574"/>
      <c r="J315" s="574"/>
      <c r="K315" s="574"/>
      <c r="L315" s="574"/>
      <c r="M315" s="622"/>
      <c r="N315" s="575"/>
      <c r="O315" s="575"/>
      <c r="P315" s="622"/>
      <c r="Q315" s="575"/>
      <c r="S315" s="619"/>
      <c r="T315" s="619"/>
    </row>
    <row r="316" spans="2:20" s="148" customFormat="1" x14ac:dyDescent="0.25">
      <c r="B316" s="149"/>
      <c r="C316" s="152"/>
      <c r="D316" s="149"/>
      <c r="E316" s="574"/>
      <c r="F316" s="621"/>
      <c r="G316" s="574"/>
      <c r="H316" s="574"/>
      <c r="I316" s="574"/>
      <c r="J316" s="574"/>
      <c r="K316" s="574"/>
      <c r="L316" s="574"/>
      <c r="M316" s="622"/>
      <c r="N316" s="575"/>
      <c r="O316" s="575"/>
      <c r="P316" s="622"/>
      <c r="Q316" s="575"/>
      <c r="S316" s="619"/>
      <c r="T316" s="619"/>
    </row>
    <row r="317" spans="2:20" s="148" customFormat="1" x14ac:dyDescent="0.25">
      <c r="B317" s="149"/>
      <c r="C317" s="152"/>
      <c r="D317" s="149"/>
      <c r="E317" s="574"/>
      <c r="F317" s="621"/>
      <c r="G317" s="574"/>
      <c r="H317" s="574"/>
      <c r="I317" s="574"/>
      <c r="J317" s="574"/>
      <c r="K317" s="574"/>
      <c r="L317" s="574"/>
      <c r="M317" s="622"/>
      <c r="N317" s="575"/>
      <c r="O317" s="575"/>
      <c r="P317" s="622"/>
      <c r="Q317" s="575"/>
      <c r="S317" s="619"/>
      <c r="T317" s="619"/>
    </row>
    <row r="318" spans="2:20" s="148" customFormat="1" x14ac:dyDescent="0.25">
      <c r="B318" s="149"/>
      <c r="C318" s="152"/>
      <c r="D318" s="149"/>
      <c r="E318" s="575"/>
      <c r="F318" s="622"/>
      <c r="G318" s="575"/>
      <c r="H318" s="575"/>
      <c r="I318" s="575"/>
      <c r="J318" s="575"/>
      <c r="K318" s="575"/>
      <c r="L318" s="575"/>
      <c r="M318" s="622"/>
      <c r="N318" s="575"/>
      <c r="O318" s="575"/>
      <c r="P318" s="622"/>
      <c r="Q318" s="575"/>
      <c r="S318" s="619"/>
      <c r="T318" s="619"/>
    </row>
    <row r="319" spans="2:20" s="148" customFormat="1" x14ac:dyDescent="0.25">
      <c r="B319" s="149"/>
      <c r="C319" s="152"/>
      <c r="D319" s="149"/>
      <c r="E319" s="149"/>
      <c r="F319" s="414"/>
      <c r="G319" s="149"/>
      <c r="H319" s="149"/>
      <c r="I319" s="149"/>
      <c r="J319" s="149"/>
      <c r="K319" s="149"/>
      <c r="M319" s="619"/>
      <c r="P319" s="619"/>
      <c r="S319" s="619"/>
      <c r="T319" s="619"/>
    </row>
    <row r="320" spans="2:20" s="148" customFormat="1" x14ac:dyDescent="0.25">
      <c r="B320" s="149"/>
      <c r="C320" s="152"/>
      <c r="D320" s="149"/>
      <c r="E320" s="149"/>
      <c r="F320" s="414"/>
      <c r="G320" s="149"/>
      <c r="H320" s="149"/>
      <c r="I320" s="149"/>
      <c r="J320" s="149"/>
      <c r="K320" s="149"/>
      <c r="M320" s="619"/>
      <c r="P320" s="619"/>
      <c r="S320" s="619"/>
      <c r="T320" s="619"/>
    </row>
    <row r="321" spans="1:21" s="148" customFormat="1" x14ac:dyDescent="0.25">
      <c r="B321" s="149"/>
      <c r="C321" s="152"/>
      <c r="D321" s="149"/>
      <c r="E321" s="149"/>
      <c r="F321" s="414"/>
      <c r="G321" s="149"/>
      <c r="H321" s="149"/>
      <c r="I321" s="149"/>
      <c r="J321" s="149"/>
      <c r="K321" s="149"/>
      <c r="M321" s="619"/>
      <c r="P321" s="619"/>
      <c r="S321" s="619"/>
      <c r="T321" s="619"/>
    </row>
    <row r="322" spans="1:21" s="148" customFormat="1" x14ac:dyDescent="0.25">
      <c r="B322" s="149"/>
      <c r="C322" s="152"/>
      <c r="D322" s="149"/>
      <c r="E322" s="149"/>
      <c r="F322" s="414"/>
      <c r="G322" s="149"/>
      <c r="H322" s="149"/>
      <c r="I322" s="149"/>
      <c r="J322" s="149"/>
      <c r="K322" s="149"/>
      <c r="M322" s="619"/>
      <c r="P322" s="619"/>
      <c r="S322" s="619"/>
      <c r="T322" s="619"/>
    </row>
    <row r="323" spans="1:21" s="148" customFormat="1" x14ac:dyDescent="0.25">
      <c r="B323" s="149"/>
      <c r="C323" s="152"/>
      <c r="D323" s="149"/>
      <c r="E323" s="149"/>
      <c r="F323" s="414"/>
      <c r="G323" s="149"/>
      <c r="H323" s="149"/>
      <c r="I323" s="149"/>
      <c r="J323" s="149"/>
      <c r="K323" s="149"/>
      <c r="M323" s="619"/>
      <c r="P323" s="619"/>
      <c r="S323" s="619"/>
      <c r="T323" s="619"/>
    </row>
    <row r="324" spans="1:21" s="148" customFormat="1" x14ac:dyDescent="0.25">
      <c r="B324" s="149"/>
      <c r="C324" s="152"/>
      <c r="D324" s="149"/>
      <c r="E324" s="149"/>
      <c r="F324" s="414"/>
      <c r="G324" s="149"/>
      <c r="H324" s="149"/>
      <c r="I324" s="149"/>
      <c r="J324" s="149"/>
      <c r="K324" s="149"/>
      <c r="M324" s="619"/>
      <c r="P324" s="619"/>
      <c r="S324" s="619"/>
      <c r="T324" s="619"/>
    </row>
    <row r="325" spans="1:21" s="148" customFormat="1" x14ac:dyDescent="0.25">
      <c r="B325" s="149"/>
      <c r="C325" s="152"/>
      <c r="D325" s="149"/>
      <c r="E325" s="149"/>
      <c r="F325" s="414"/>
      <c r="G325" s="149"/>
      <c r="H325" s="149"/>
      <c r="I325" s="149"/>
      <c r="J325" s="149"/>
      <c r="K325" s="149"/>
      <c r="M325" s="619"/>
      <c r="P325" s="619"/>
      <c r="S325" s="619"/>
      <c r="T325" s="619"/>
    </row>
    <row r="326" spans="1:21" s="148" customFormat="1" x14ac:dyDescent="0.25">
      <c r="B326" s="149"/>
      <c r="C326" s="152"/>
      <c r="D326" s="149"/>
      <c r="E326" s="149"/>
      <c r="F326" s="414"/>
      <c r="G326" s="149"/>
      <c r="H326" s="149"/>
      <c r="I326" s="149"/>
      <c r="J326" s="149"/>
      <c r="K326" s="149"/>
      <c r="M326" s="619"/>
      <c r="P326" s="619"/>
      <c r="S326" s="619"/>
      <c r="T326" s="619"/>
    </row>
    <row r="327" spans="1:21" s="148" customFormat="1" x14ac:dyDescent="0.25">
      <c r="B327" s="149"/>
      <c r="C327" s="152"/>
      <c r="D327" s="149"/>
      <c r="E327" s="149"/>
      <c r="F327" s="414"/>
      <c r="G327" s="149"/>
      <c r="H327" s="149"/>
      <c r="I327" s="149"/>
      <c r="J327" s="149"/>
      <c r="K327" s="149"/>
      <c r="M327" s="619"/>
      <c r="P327" s="619"/>
      <c r="S327" s="619"/>
      <c r="T327" s="619"/>
    </row>
    <row r="328" spans="1:21" s="148" customFormat="1" x14ac:dyDescent="0.25">
      <c r="B328" s="149"/>
      <c r="C328" s="152"/>
      <c r="D328" s="149"/>
      <c r="E328" s="149"/>
      <c r="F328" s="414"/>
      <c r="G328" s="149"/>
      <c r="H328" s="149"/>
      <c r="I328" s="149"/>
      <c r="J328" s="149"/>
      <c r="K328" s="149"/>
      <c r="M328" s="619"/>
      <c r="P328" s="619"/>
      <c r="S328" s="619"/>
      <c r="T328" s="619"/>
    </row>
    <row r="329" spans="1:21" s="148" customFormat="1" x14ac:dyDescent="0.25">
      <c r="B329" s="149"/>
      <c r="C329" s="152"/>
      <c r="D329" s="149"/>
      <c r="E329" s="149"/>
      <c r="F329" s="414"/>
      <c r="G329" s="149"/>
      <c r="H329" s="149"/>
      <c r="I329" s="149"/>
      <c r="J329" s="149"/>
      <c r="K329" s="149"/>
      <c r="M329" s="619"/>
      <c r="P329" s="619"/>
      <c r="S329" s="619"/>
      <c r="T329" s="619"/>
    </row>
    <row r="330" spans="1:21" s="148" customFormat="1" x14ac:dyDescent="0.25">
      <c r="C330" s="153"/>
      <c r="F330" s="619"/>
      <c r="M330" s="619"/>
      <c r="P330" s="619"/>
      <c r="S330" s="619"/>
      <c r="T330" s="619"/>
    </row>
    <row r="331" spans="1:21" s="148" customFormat="1" x14ac:dyDescent="0.25">
      <c r="F331" s="619"/>
      <c r="M331" s="619"/>
      <c r="P331" s="619"/>
      <c r="S331" s="619"/>
      <c r="T331" s="619"/>
    </row>
    <row r="332" spans="1:21" x14ac:dyDescent="0.25">
      <c r="A332" s="51"/>
      <c r="U332" s="51"/>
    </row>
    <row r="333" spans="1:21" x14ac:dyDescent="0.25">
      <c r="A333" s="51"/>
      <c r="U333" s="51"/>
    </row>
    <row r="334" spans="1:21" x14ac:dyDescent="0.25">
      <c r="A334" s="51"/>
      <c r="U334" s="51"/>
    </row>
    <row r="335" spans="1:21" x14ac:dyDescent="0.25">
      <c r="A335" s="51"/>
      <c r="U335" s="51"/>
    </row>
    <row r="336" spans="1:21" x14ac:dyDescent="0.25">
      <c r="A336" s="51"/>
      <c r="U336" s="51"/>
    </row>
    <row r="337" spans="1:21" x14ac:dyDescent="0.25">
      <c r="A337" s="51"/>
      <c r="U337" s="51"/>
    </row>
    <row r="338" spans="1:21" x14ac:dyDescent="0.25">
      <c r="A338" s="51"/>
      <c r="U338" s="51"/>
    </row>
    <row r="339" spans="1:21" x14ac:dyDescent="0.25">
      <c r="A339" s="51"/>
      <c r="U339" s="51"/>
    </row>
    <row r="340" spans="1:21" x14ac:dyDescent="0.25">
      <c r="A340" s="51"/>
      <c r="U340" s="51"/>
    </row>
    <row r="341" spans="1:21" x14ac:dyDescent="0.25">
      <c r="A341" s="51"/>
      <c r="U341" s="51"/>
    </row>
    <row r="342" spans="1:21" x14ac:dyDescent="0.25">
      <c r="A342" s="51"/>
      <c r="U342" s="51"/>
    </row>
    <row r="343" spans="1:21" x14ac:dyDescent="0.25">
      <c r="A343" s="51"/>
      <c r="U343" s="51"/>
    </row>
    <row r="344" spans="1:21" x14ac:dyDescent="0.25">
      <c r="A344" s="51"/>
      <c r="U344" s="51"/>
    </row>
    <row r="345" spans="1:21" x14ac:dyDescent="0.25">
      <c r="A345" s="51"/>
      <c r="U345" s="51"/>
    </row>
    <row r="346" spans="1:21" x14ac:dyDescent="0.25">
      <c r="A346" s="51"/>
      <c r="U346" s="51"/>
    </row>
    <row r="347" spans="1:21" x14ac:dyDescent="0.25">
      <c r="A347" s="51"/>
      <c r="U347" s="51"/>
    </row>
    <row r="348" spans="1:21" x14ac:dyDescent="0.25">
      <c r="A348" s="51"/>
      <c r="U348" s="51"/>
    </row>
    <row r="349" spans="1:21" x14ac:dyDescent="0.25">
      <c r="A349" s="51"/>
      <c r="U349" s="51"/>
    </row>
    <row r="350" spans="1:21" x14ac:dyDescent="0.25">
      <c r="A350" s="51"/>
      <c r="U350" s="51"/>
    </row>
  </sheetData>
  <sheetProtection algorithmName="SHA-512" hashValue="ztm6GHAqJCXKihrFRI5RK3mnJXG7cI+YGY/XAu7k5BI0hk1nOp942LbLmtYJHsFq2iM0Zlqu6MlsUfdm+QU4kw==" saltValue="52H8oADQZqRWGEO6sYR99A==" spinCount="100000" sheet="1" objects="1" scenarios="1" formatCells="0" formatRows="0" insertRows="0" deleteRows="0"/>
  <autoFilter ref="B7:T33" xr:uid="{00000000-0009-0000-0000-000002000000}"/>
  <mergeCells count="7">
    <mergeCell ref="S6:T6"/>
    <mergeCell ref="C2:C5"/>
    <mergeCell ref="E2:P3"/>
    <mergeCell ref="M6:O6"/>
    <mergeCell ref="P6:R6"/>
    <mergeCell ref="G6:L6"/>
    <mergeCell ref="B6:F6"/>
  </mergeCells>
  <dataValidations count="20">
    <dataValidation type="list" allowBlank="1" showInputMessage="1" showErrorMessage="1" sqref="B8:B33" xr:uid="{00000000-0002-0000-0200-000000000000}">
      <formula1>CATEGORIA</formula1>
    </dataValidation>
    <dataValidation type="list" allowBlank="1" showInputMessage="1" showErrorMessage="1" sqref="C31" xr:uid="{00000000-0002-0000-0200-000001000000}">
      <formula1>INDIRECT($B$31)</formula1>
    </dataValidation>
    <dataValidation type="list" allowBlank="1" showInputMessage="1" showErrorMessage="1" sqref="C30" xr:uid="{00000000-0002-0000-0200-000002000000}">
      <formula1>INDIRECT($B$30)</formula1>
    </dataValidation>
    <dataValidation type="list" allowBlank="1" showInputMessage="1" showErrorMessage="1" sqref="C29" xr:uid="{00000000-0002-0000-0200-000003000000}">
      <formula1>INDIRECT($B$29)</formula1>
    </dataValidation>
    <dataValidation type="list" allowBlank="1" showInputMessage="1" showErrorMessage="1" sqref="C26:C28" xr:uid="{00000000-0002-0000-0200-000004000000}">
      <formula1>INDIRECT($B$26)</formula1>
    </dataValidation>
    <dataValidation type="list" allowBlank="1" showInputMessage="1" showErrorMessage="1" sqref="C25" xr:uid="{00000000-0002-0000-0200-000005000000}">
      <formula1>INDIRECT($B$25)</formula1>
    </dataValidation>
    <dataValidation type="list" allowBlank="1" showInputMessage="1" showErrorMessage="1" sqref="C8:C9" xr:uid="{00000000-0002-0000-0200-000006000000}">
      <formula1>INDIRECT($B$8)</formula1>
    </dataValidation>
    <dataValidation type="list" allowBlank="1" showInputMessage="1" showErrorMessage="1" sqref="D34:D39" xr:uid="{00000000-0002-0000-0200-000007000000}">
      <formula1>$K$272:$K$274</formula1>
    </dataValidation>
    <dataValidation type="list" allowBlank="1" showInputMessage="1" showErrorMessage="1" sqref="C10:C11" xr:uid="{00000000-0002-0000-0200-000008000000}">
      <formula1>INDIRECT($B$10)</formula1>
    </dataValidation>
    <dataValidation type="list" allowBlank="1" showInputMessage="1" showErrorMessage="1" sqref="C12" xr:uid="{00000000-0002-0000-0200-000009000000}">
      <formula1>INDIRECT($B$12)</formula1>
    </dataValidation>
    <dataValidation type="list" allowBlank="1" showInputMessage="1" showErrorMessage="1" sqref="C13" xr:uid="{00000000-0002-0000-0200-00000A000000}">
      <formula1>INDIRECT($B$13)</formula1>
    </dataValidation>
    <dataValidation type="list" allowBlank="1" showInputMessage="1" showErrorMessage="1" sqref="C14:C16" xr:uid="{00000000-0002-0000-0200-00000B000000}">
      <formula1>INDIRECT($B$14)</formula1>
    </dataValidation>
    <dataValidation type="list" allowBlank="1" showInputMessage="1" showErrorMessage="1" sqref="C17:C20" xr:uid="{00000000-0002-0000-0200-00000C000000}">
      <formula1>INDIRECT($B$17)</formula1>
    </dataValidation>
    <dataValidation type="list" allowBlank="1" showInputMessage="1" showErrorMessage="1" sqref="C21:C24" xr:uid="{00000000-0002-0000-0200-00000D000000}">
      <formula1>INDIRECT($B$21)</formula1>
    </dataValidation>
    <dataValidation type="list" allowBlank="1" showInputMessage="1" showErrorMessage="1" sqref="C33" xr:uid="{00000000-0002-0000-0200-00000E000000}">
      <formula1>INDIRECT($B$33)</formula1>
    </dataValidation>
    <dataValidation type="list" allowBlank="1" showInputMessage="1" showErrorMessage="1" sqref="D8:D33" xr:uid="{00000000-0002-0000-0200-00000F000000}">
      <formula1>$K$274:$K$276</formula1>
    </dataValidation>
    <dataValidation type="list" allowBlank="1" showInputMessage="1" showErrorMessage="1" sqref="C32" xr:uid="{00000000-0002-0000-0200-000010000000}">
      <formula1>INDIRECT($B$32)</formula1>
    </dataValidation>
    <dataValidation type="list" allowBlank="1" showInputMessage="1" showErrorMessage="1" sqref="G8:G33" xr:uid="{00000000-0002-0000-0200-000011000000}">
      <formula1>Direcciones</formula1>
    </dataValidation>
    <dataValidation type="list" allowBlank="1" showInputMessage="1" showErrorMessage="1" sqref="K8:K33" xr:uid="{00000000-0002-0000-0200-000012000000}">
      <formula1>Registro</formula1>
    </dataValidation>
    <dataValidation type="list" allowBlank="1" showInputMessage="1" showErrorMessage="1" sqref="M8:M33 P8:P33" xr:uid="{00000000-0002-0000-0200-000013000000}">
      <formula1>Reporte</formula1>
    </dataValidation>
  </dataValidations>
  <hyperlinks>
    <hyperlink ref="C7" location="'INSTRUCCIONES GESTIÓN DE LA INF'!C15" display="Carga Ambiental" xr:uid="{00000000-0004-0000-0200-000000000000}"/>
    <hyperlink ref="D7" location="'INSTRUCCIONES GESTIÓN DE LA INF'!C16" display="Alcance " xr:uid="{00000000-0004-0000-0200-000001000000}"/>
    <hyperlink ref="G7" location="'INSTRUCCIONES GESTIÓN DE LA INF'!C20" display="Origen de la información" xr:uid="{00000000-0004-0000-0200-000002000000}"/>
    <hyperlink ref="G6:L6" location="'INSTRUCCIONES GESTIÓN DE LA INF'!C19" display="PROCESO DE REGISTRO DE INFORMACIÓN" xr:uid="{00000000-0004-0000-0200-000003000000}"/>
    <hyperlink ref="H7" location="'INSTRUCCIONES GESTIÓN DE LA INF'!C21" display="Forma de registro de la información " xr:uid="{00000000-0004-0000-0200-000004000000}"/>
    <hyperlink ref="I7" location="'INSTRUCCIONES GESTIÓN DE LA INF'!C22" display="Responsable del registro de la información" xr:uid="{00000000-0004-0000-0200-000005000000}"/>
    <hyperlink ref="J7" location="'INSTRUCCIONES GESTIÓN DE LA INF'!C23" display="Soportes asociados a la información " xr:uid="{00000000-0004-0000-0200-000006000000}"/>
    <hyperlink ref="K7" location="'INSTRUCCIONES GESTIÓN DE LA INF'!C24" display="Periodicidad de registro" xr:uid="{00000000-0004-0000-0200-000007000000}"/>
    <hyperlink ref="L7" location="'INSTRUCCIONES GESTIÓN DE LA INF'!C25" display="Unidad registrada" xr:uid="{00000000-0004-0000-0200-000008000000}"/>
    <hyperlink ref="B6:E6" location="INSTRUCCIONES!C13" display="IDENTIFICACIÓN DE FUENTES DE EMISIÓN" xr:uid="{00000000-0004-0000-0200-000009000000}"/>
    <hyperlink ref="M6:O6" location="'INSTRUCCIONES GESTIÓN DE LA INF'!C26" display="PROCESO DE CONSOLIDACIÓN Y REPORTE DE LA INFORMACIÓN PARA HUELLA DE CARBONO" xr:uid="{00000000-0004-0000-0200-00000A000000}"/>
    <hyperlink ref="M7" location="'INSTRUCCIONES GESTIÓN DE LA INF'!C27" display="Periodicidad de reporte " xr:uid="{00000000-0004-0000-0200-00000B000000}"/>
    <hyperlink ref="N7" location="'INSTRUCCIONES GESTIÓN DE LA INF'!C28" display="Encargado de la consolidación de la información " xr:uid="{00000000-0004-0000-0200-00000C000000}"/>
    <hyperlink ref="O7" location="'INSTRUCCIONES GESTIÓN DE LA INF'!C29" display="Unidad reportada" xr:uid="{00000000-0004-0000-0200-00000D000000}"/>
    <hyperlink ref="P7" location="'INSTRUCCIONES GESTIÓN DE LA INF'!C31" display="Verificación de los datos reportados" xr:uid="{00000000-0004-0000-0200-00000E000000}"/>
    <hyperlink ref="Q7" location="'INSTRUCCIONES GESTIÓN DE LA INF'!C32" display="Encargado de la revisión de la información y de las acciones correctivas" xr:uid="{00000000-0004-0000-0200-00000F000000}"/>
    <hyperlink ref="R7" location="'INSTRUCCIONES GESTIÓN DE LA INF'!C33" display="Acciones Correctivas" xr:uid="{00000000-0004-0000-0200-000010000000}"/>
    <hyperlink ref="S6:T6" location="'INSTRUCCIONES GESTIÓN DE LA INF'!C34" display="VERSIÓN" xr:uid="{00000000-0004-0000-0200-000011000000}"/>
    <hyperlink ref="S7" location="'INSTRUCCIONES GESTIÓN DE LA INF'!C35" display="Fecha de actualización" xr:uid="{00000000-0004-0000-0200-000012000000}"/>
    <hyperlink ref="T7" location="'INSTRUCCIONES GESTIÓN DE LA INF'!C36" display="Observaciones" xr:uid="{00000000-0004-0000-0200-000013000000}"/>
    <hyperlink ref="P6:R6" location="'INSTRUCCIONES GESTIÓN DE LA INF'!C30" display="PROCESO DE REVISION Y SEGUIMIENTO" xr:uid="{00000000-0004-0000-0200-000014000000}"/>
    <hyperlink ref="F7" location="'INSTRUCCIONES GESTIÓN DE LA INF'!C18" display="Cobertura" xr:uid="{00000000-0004-0000-0200-000015000000}"/>
    <hyperlink ref="B6:F6" location="'INSTRUCCIONES GESTIÓN DE LA INF'!I13" display="IDENTIFICACIÓN DE FUENTES DE EMISIÓN" xr:uid="{00000000-0004-0000-0200-000016000000}"/>
    <hyperlink ref="E7" location="'INSTRUCCIONES GESTIÓN DE LA INF'!C17" display="Fuentes " xr:uid="{00000000-0004-0000-0200-000017000000}"/>
    <hyperlink ref="B7" location="'INSTRUCCIONES GESTIÓN DE LA INF'!C14" display="Categoría" xr:uid="{00000000-0004-0000-0200-000018000000}"/>
  </hyperlink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2"/>
  <sheetViews>
    <sheetView workbookViewId="0">
      <selection activeCell="A16" sqref="A16"/>
    </sheetView>
  </sheetViews>
  <sheetFormatPr baseColWidth="10" defaultRowHeight="15" x14ac:dyDescent="0.25"/>
  <cols>
    <col min="1" max="1" width="50.5703125" bestFit="1" customWidth="1"/>
    <col min="2" max="2" width="23.140625" bestFit="1" customWidth="1"/>
    <col min="3" max="3" width="22.28515625" bestFit="1" customWidth="1"/>
  </cols>
  <sheetData>
    <row r="1" spans="1:3" s="591" customFormat="1" x14ac:dyDescent="0.25">
      <c r="A1" s="591" t="s">
        <v>924</v>
      </c>
      <c r="B1" s="591" t="s">
        <v>950</v>
      </c>
      <c r="C1" s="591" t="s">
        <v>951</v>
      </c>
    </row>
    <row r="2" spans="1:3" x14ac:dyDescent="0.25">
      <c r="A2" t="s">
        <v>936</v>
      </c>
      <c r="B2" t="s">
        <v>952</v>
      </c>
      <c r="C2" s="50" t="s">
        <v>952</v>
      </c>
    </row>
    <row r="3" spans="1:3" ht="15.75" customHeight="1" x14ac:dyDescent="0.25">
      <c r="A3" s="50" t="s">
        <v>962</v>
      </c>
      <c r="B3" t="s">
        <v>955</v>
      </c>
      <c r="C3" s="50" t="s">
        <v>953</v>
      </c>
    </row>
    <row r="4" spans="1:3" x14ac:dyDescent="0.25">
      <c r="A4" s="50" t="s">
        <v>931</v>
      </c>
      <c r="B4" t="s">
        <v>954</v>
      </c>
      <c r="C4" s="50" t="s">
        <v>954</v>
      </c>
    </row>
    <row r="5" spans="1:3" x14ac:dyDescent="0.25">
      <c r="A5" s="590" t="s">
        <v>941</v>
      </c>
      <c r="B5" t="s">
        <v>863</v>
      </c>
      <c r="C5" s="50" t="s">
        <v>863</v>
      </c>
    </row>
    <row r="6" spans="1:3" x14ac:dyDescent="0.25">
      <c r="A6" s="50" t="s">
        <v>942</v>
      </c>
      <c r="B6" t="s">
        <v>861</v>
      </c>
      <c r="C6" s="50" t="s">
        <v>861</v>
      </c>
    </row>
    <row r="7" spans="1:3" x14ac:dyDescent="0.25">
      <c r="A7" s="590" t="s">
        <v>939</v>
      </c>
    </row>
    <row r="8" spans="1:3" x14ac:dyDescent="0.25">
      <c r="A8" t="s">
        <v>927</v>
      </c>
    </row>
    <row r="9" spans="1:3" x14ac:dyDescent="0.25">
      <c r="A9" s="590" t="s">
        <v>935</v>
      </c>
    </row>
    <row r="10" spans="1:3" ht="13.5" customHeight="1" x14ac:dyDescent="0.25">
      <c r="A10" s="590" t="s">
        <v>963</v>
      </c>
    </row>
    <row r="11" spans="1:3" x14ac:dyDescent="0.25">
      <c r="A11" t="s">
        <v>940</v>
      </c>
    </row>
    <row r="12" spans="1:3" x14ac:dyDescent="0.25">
      <c r="A12" s="50" t="s">
        <v>923</v>
      </c>
    </row>
    <row r="13" spans="1:3" x14ac:dyDescent="0.25">
      <c r="A13" t="s">
        <v>934</v>
      </c>
    </row>
    <row r="14" spans="1:3" x14ac:dyDescent="0.25">
      <c r="A14" s="590" t="s">
        <v>947</v>
      </c>
    </row>
    <row r="15" spans="1:3" x14ac:dyDescent="0.25">
      <c r="A15" s="590" t="s">
        <v>943</v>
      </c>
    </row>
    <row r="16" spans="1:3" x14ac:dyDescent="0.25">
      <c r="A16" t="s">
        <v>930</v>
      </c>
    </row>
    <row r="17" spans="1:1" x14ac:dyDescent="0.25">
      <c r="A17" s="590" t="s">
        <v>964</v>
      </c>
    </row>
    <row r="18" spans="1:1" x14ac:dyDescent="0.25">
      <c r="A18" s="590" t="s">
        <v>965</v>
      </c>
    </row>
    <row r="19" spans="1:1" x14ac:dyDescent="0.25">
      <c r="A19" s="50" t="s">
        <v>966</v>
      </c>
    </row>
    <row r="20" spans="1:1" x14ac:dyDescent="0.25">
      <c r="A20" t="s">
        <v>925</v>
      </c>
    </row>
    <row r="21" spans="1:1" x14ac:dyDescent="0.25">
      <c r="A21" s="50" t="s">
        <v>928</v>
      </c>
    </row>
    <row r="22" spans="1:1" x14ac:dyDescent="0.25">
      <c r="A22" s="590" t="s">
        <v>937</v>
      </c>
    </row>
    <row r="23" spans="1:1" x14ac:dyDescent="0.25">
      <c r="A23" s="50" t="s">
        <v>938</v>
      </c>
    </row>
    <row r="24" spans="1:1" x14ac:dyDescent="0.25">
      <c r="A24" t="s">
        <v>933</v>
      </c>
    </row>
    <row r="25" spans="1:1" x14ac:dyDescent="0.25">
      <c r="A25" s="50" t="s">
        <v>949</v>
      </c>
    </row>
    <row r="26" spans="1:1" x14ac:dyDescent="0.25">
      <c r="A26" t="s">
        <v>932</v>
      </c>
    </row>
    <row r="27" spans="1:1" x14ac:dyDescent="0.25">
      <c r="A27" s="50" t="s">
        <v>944</v>
      </c>
    </row>
    <row r="28" spans="1:1" x14ac:dyDescent="0.25">
      <c r="A28" t="s">
        <v>946</v>
      </c>
    </row>
    <row r="29" spans="1:1" x14ac:dyDescent="0.25">
      <c r="A29" s="590" t="s">
        <v>945</v>
      </c>
    </row>
    <row r="30" spans="1:1" x14ac:dyDescent="0.25">
      <c r="A30" t="s">
        <v>948</v>
      </c>
    </row>
    <row r="31" spans="1:1" x14ac:dyDescent="0.25">
      <c r="A31" s="50" t="s">
        <v>926</v>
      </c>
    </row>
    <row r="32" spans="1:1" x14ac:dyDescent="0.25">
      <c r="A32" t="s">
        <v>929</v>
      </c>
    </row>
  </sheetData>
  <sortState xmlns:xlrd2="http://schemas.microsoft.com/office/spreadsheetml/2017/richdata2" ref="A2:A32">
    <sortCondition ref="A2"/>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249977111117893"/>
  </sheetPr>
  <dimension ref="A1:T72"/>
  <sheetViews>
    <sheetView topLeftCell="A26" zoomScale="60" zoomScaleNormal="60" workbookViewId="0">
      <selection activeCell="C29" sqref="C29:D29"/>
    </sheetView>
  </sheetViews>
  <sheetFormatPr baseColWidth="10" defaultColWidth="0" defaultRowHeight="0" customHeight="1" zeroHeight="1" x14ac:dyDescent="0.25"/>
  <cols>
    <col min="1" max="1" width="2.28515625" style="71" customWidth="1"/>
    <col min="2" max="2" width="4.7109375" style="71" customWidth="1"/>
    <col min="3" max="15" width="11.5703125" style="50" customWidth="1"/>
    <col min="16" max="16" width="11.42578125" style="71" customWidth="1"/>
    <col min="17" max="17" width="3.7109375" style="71" customWidth="1"/>
    <col min="18" max="20" width="0" style="50" hidden="1" customWidth="1"/>
    <col min="21" max="16384" width="11.5703125" style="50" hidden="1"/>
  </cols>
  <sheetData>
    <row r="1" spans="1:17" ht="19.149999999999999" customHeight="1" thickBot="1" x14ac:dyDescent="0.3">
      <c r="C1" s="71"/>
      <c r="D1" s="71"/>
      <c r="E1" s="71"/>
      <c r="F1" s="729" t="s">
        <v>94</v>
      </c>
      <c r="G1" s="730"/>
      <c r="H1" s="71"/>
      <c r="I1" s="71"/>
      <c r="J1" s="71"/>
      <c r="K1" s="71"/>
      <c r="L1" s="71"/>
      <c r="M1" s="71"/>
      <c r="N1" s="71"/>
      <c r="O1" s="71"/>
    </row>
    <row r="2" spans="1:17" ht="15.75" x14ac:dyDescent="0.25">
      <c r="D2" s="714" t="s">
        <v>0</v>
      </c>
      <c r="E2" s="714"/>
      <c r="F2" s="677" t="s">
        <v>7</v>
      </c>
      <c r="G2" s="678"/>
      <c r="H2" s="678"/>
      <c r="I2" s="678"/>
      <c r="J2" s="678"/>
      <c r="K2" s="678"/>
      <c r="L2" s="679"/>
      <c r="M2" s="72"/>
      <c r="N2" s="72"/>
      <c r="O2" s="70"/>
    </row>
    <row r="3" spans="1:17" ht="18.75" x14ac:dyDescent="0.25">
      <c r="C3" s="68"/>
      <c r="D3" s="714"/>
      <c r="E3" s="714"/>
      <c r="F3" s="680"/>
      <c r="G3" s="681"/>
      <c r="H3" s="681"/>
      <c r="I3" s="681"/>
      <c r="J3" s="681"/>
      <c r="K3" s="681"/>
      <c r="L3" s="682"/>
      <c r="M3" s="73"/>
      <c r="N3" s="73"/>
      <c r="O3" s="70"/>
    </row>
    <row r="4" spans="1:17" ht="15" x14ac:dyDescent="0.25">
      <c r="C4" s="54"/>
      <c r="D4" s="715"/>
      <c r="E4" s="715"/>
      <c r="F4" s="54"/>
      <c r="G4" s="54"/>
      <c r="H4" s="54"/>
      <c r="I4" s="54"/>
      <c r="J4" s="54"/>
      <c r="K4" s="54"/>
      <c r="L4" s="54"/>
      <c r="M4" s="78"/>
      <c r="N4" s="78"/>
      <c r="O4" s="70"/>
    </row>
    <row r="5" spans="1:17" ht="18.75" x14ac:dyDescent="0.25">
      <c r="C5" s="51"/>
      <c r="D5" s="683" t="s">
        <v>260</v>
      </c>
      <c r="E5" s="684"/>
      <c r="F5" s="684"/>
      <c r="G5" s="685"/>
      <c r="H5" s="685"/>
      <c r="I5" s="685"/>
      <c r="J5" s="685"/>
      <c r="K5" s="685"/>
      <c r="L5" s="685"/>
      <c r="M5" s="685"/>
      <c r="N5" s="686"/>
      <c r="O5" s="51"/>
    </row>
    <row r="6" spans="1:17" s="74" customFormat="1" ht="14.45" customHeight="1" thickBot="1" x14ac:dyDescent="0.3">
      <c r="A6" s="71"/>
      <c r="B6" s="71"/>
      <c r="C6" s="75"/>
      <c r="D6" s="75"/>
      <c r="E6" s="76"/>
      <c r="F6" s="76"/>
      <c r="G6" s="76"/>
      <c r="H6" s="76"/>
      <c r="I6" s="76"/>
      <c r="J6" s="76"/>
      <c r="K6" s="76"/>
      <c r="L6" s="76"/>
      <c r="M6" s="76"/>
      <c r="N6" s="76"/>
      <c r="O6" s="76"/>
      <c r="P6" s="71"/>
      <c r="Q6" s="71"/>
    </row>
    <row r="7" spans="1:17" s="74" customFormat="1" ht="51" customHeight="1" x14ac:dyDescent="0.25">
      <c r="A7" s="71"/>
      <c r="B7" s="71"/>
      <c r="C7" s="58"/>
      <c r="D7" s="709" t="s">
        <v>257</v>
      </c>
      <c r="E7" s="709"/>
      <c r="F7" s="709"/>
      <c r="G7" s="709"/>
      <c r="H7" s="709"/>
      <c r="I7" s="709"/>
      <c r="J7" s="709"/>
      <c r="K7" s="709"/>
      <c r="L7" s="709"/>
      <c r="M7" s="709"/>
      <c r="N7" s="709"/>
      <c r="O7" s="59"/>
      <c r="P7" s="71"/>
      <c r="Q7" s="71"/>
    </row>
    <row r="8" spans="1:17" ht="69.75" customHeight="1" x14ac:dyDescent="0.25">
      <c r="C8" s="60"/>
      <c r="D8" s="689"/>
      <c r="E8" s="689"/>
      <c r="F8" s="689"/>
      <c r="G8" s="689"/>
      <c r="H8" s="689"/>
      <c r="I8" s="689"/>
      <c r="J8" s="689"/>
      <c r="K8" s="689"/>
      <c r="L8" s="689"/>
      <c r="M8" s="689"/>
      <c r="N8" s="689"/>
      <c r="O8" s="61"/>
    </row>
    <row r="9" spans="1:17" ht="55.5" customHeight="1" x14ac:dyDescent="0.25">
      <c r="C9" s="62"/>
      <c r="D9" s="63"/>
      <c r="E9" s="63"/>
      <c r="F9" s="63"/>
      <c r="G9" s="63"/>
      <c r="H9" s="63"/>
      <c r="I9" s="63"/>
      <c r="J9" s="63"/>
      <c r="K9" s="63"/>
      <c r="L9" s="63"/>
      <c r="M9" s="63"/>
      <c r="N9" s="63"/>
      <c r="O9" s="64"/>
    </row>
    <row r="10" spans="1:17" ht="85.5" customHeight="1" x14ac:dyDescent="0.25">
      <c r="C10" s="62"/>
      <c r="D10" s="63"/>
      <c r="E10" s="63"/>
      <c r="F10" s="63"/>
      <c r="G10" s="63"/>
      <c r="H10" s="63"/>
      <c r="I10" s="63"/>
      <c r="J10" s="63"/>
      <c r="K10" s="63"/>
      <c r="L10" s="63"/>
      <c r="M10" s="63"/>
      <c r="N10" s="63"/>
      <c r="O10" s="64"/>
    </row>
    <row r="11" spans="1:17" ht="256.5" customHeight="1" thickBot="1" x14ac:dyDescent="0.3">
      <c r="C11" s="65"/>
      <c r="D11" s="66"/>
      <c r="E11" s="66"/>
      <c r="F11" s="66"/>
      <c r="G11" s="66"/>
      <c r="H11" s="66"/>
      <c r="I11" s="66"/>
      <c r="J11" s="66"/>
      <c r="K11" s="66"/>
      <c r="L11" s="66"/>
      <c r="M11" s="66"/>
      <c r="N11" s="66"/>
      <c r="O11" s="67"/>
    </row>
    <row r="12" spans="1:17" ht="59.25" customHeight="1" thickBot="1" x14ac:dyDescent="0.3">
      <c r="C12" s="58"/>
      <c r="D12" s="709" t="s">
        <v>259</v>
      </c>
      <c r="E12" s="709"/>
      <c r="F12" s="709"/>
      <c r="G12" s="709"/>
      <c r="H12" s="709"/>
      <c r="I12" s="709"/>
      <c r="J12" s="709"/>
      <c r="K12" s="709"/>
      <c r="L12" s="709"/>
      <c r="M12" s="709"/>
      <c r="N12" s="709"/>
      <c r="O12" s="59"/>
    </row>
    <row r="13" spans="1:17" s="74" customFormat="1" ht="16.5" customHeight="1" thickTop="1" thickBot="1" x14ac:dyDescent="0.3">
      <c r="A13" s="71"/>
      <c r="B13" s="71"/>
      <c r="C13" s="672" t="s">
        <v>227</v>
      </c>
      <c r="D13" s="673"/>
      <c r="E13" s="673"/>
      <c r="F13" s="673"/>
      <c r="G13" s="673"/>
      <c r="H13" s="673"/>
      <c r="I13" s="673"/>
      <c r="J13" s="673"/>
      <c r="K13" s="673"/>
      <c r="L13" s="673"/>
      <c r="M13" s="673"/>
      <c r="N13" s="673"/>
      <c r="O13" s="704"/>
      <c r="P13" s="71"/>
      <c r="Q13" s="71"/>
    </row>
    <row r="14" spans="1:17" s="74" customFormat="1" ht="279.75" customHeight="1" thickTop="1" thickBot="1" x14ac:dyDescent="0.3">
      <c r="A14" s="71"/>
      <c r="B14" s="71"/>
      <c r="C14" s="660" t="s">
        <v>209</v>
      </c>
      <c r="D14" s="661"/>
      <c r="E14" s="710" t="s">
        <v>210</v>
      </c>
      <c r="F14" s="711"/>
      <c r="G14" s="711"/>
      <c r="H14" s="711"/>
      <c r="I14" s="711"/>
      <c r="J14" s="712" t="s">
        <v>233</v>
      </c>
      <c r="K14" s="712"/>
      <c r="L14" s="712"/>
      <c r="M14" s="712"/>
      <c r="N14" s="712"/>
      <c r="O14" s="713"/>
      <c r="P14" s="71"/>
      <c r="Q14" s="71"/>
    </row>
    <row r="15" spans="1:17" s="74" customFormat="1" ht="16.5" customHeight="1" thickTop="1" thickBot="1" x14ac:dyDescent="0.3">
      <c r="A15" s="71"/>
      <c r="B15" s="71"/>
      <c r="C15" s="672" t="s">
        <v>258</v>
      </c>
      <c r="D15" s="673"/>
      <c r="E15" s="673"/>
      <c r="F15" s="673"/>
      <c r="G15" s="673"/>
      <c r="H15" s="673"/>
      <c r="I15" s="673"/>
      <c r="J15" s="673"/>
      <c r="K15" s="673"/>
      <c r="L15" s="673"/>
      <c r="M15" s="673"/>
      <c r="N15" s="673"/>
      <c r="O15" s="704"/>
      <c r="P15" s="71"/>
      <c r="Q15" s="71"/>
    </row>
    <row r="16" spans="1:17" ht="78.75" customHeight="1" thickTop="1" thickBot="1" x14ac:dyDescent="0.3">
      <c r="C16" s="660" t="s">
        <v>234</v>
      </c>
      <c r="D16" s="661"/>
      <c r="E16" s="668" t="s">
        <v>235</v>
      </c>
      <c r="F16" s="669"/>
      <c r="G16" s="669"/>
      <c r="H16" s="669"/>
      <c r="I16" s="669"/>
      <c r="J16" s="712" t="s">
        <v>236</v>
      </c>
      <c r="K16" s="712"/>
      <c r="L16" s="712"/>
      <c r="M16" s="712"/>
      <c r="N16" s="712"/>
      <c r="O16" s="713"/>
    </row>
    <row r="17" spans="1:17" ht="49.5" customHeight="1" thickTop="1" thickBot="1" x14ac:dyDescent="0.3">
      <c r="C17" s="660" t="s">
        <v>216</v>
      </c>
      <c r="D17" s="661"/>
      <c r="E17" s="668" t="s">
        <v>237</v>
      </c>
      <c r="F17" s="669"/>
      <c r="G17" s="669"/>
      <c r="H17" s="669"/>
      <c r="I17" s="669"/>
      <c r="J17" s="712" t="s">
        <v>212</v>
      </c>
      <c r="K17" s="712"/>
      <c r="L17" s="712"/>
      <c r="M17" s="712"/>
      <c r="N17" s="712"/>
      <c r="O17" s="713"/>
    </row>
    <row r="18" spans="1:17" s="74" customFormat="1" ht="16.5" customHeight="1" thickTop="1" thickBot="1" x14ac:dyDescent="0.3">
      <c r="A18" s="71"/>
      <c r="B18" s="71"/>
      <c r="C18" s="672" t="s">
        <v>107</v>
      </c>
      <c r="D18" s="673"/>
      <c r="E18" s="673"/>
      <c r="F18" s="673"/>
      <c r="G18" s="673"/>
      <c r="H18" s="673"/>
      <c r="I18" s="673"/>
      <c r="J18" s="673"/>
      <c r="K18" s="673"/>
      <c r="L18" s="673"/>
      <c r="M18" s="673"/>
      <c r="N18" s="673"/>
      <c r="O18" s="704"/>
      <c r="P18" s="71"/>
      <c r="Q18" s="71"/>
    </row>
    <row r="19" spans="1:17" ht="126" customHeight="1" thickTop="1" thickBot="1" x14ac:dyDescent="0.3">
      <c r="C19" s="660" t="s">
        <v>213</v>
      </c>
      <c r="D19" s="661"/>
      <c r="E19" s="668" t="s">
        <v>238</v>
      </c>
      <c r="F19" s="669"/>
      <c r="G19" s="669"/>
      <c r="H19" s="669"/>
      <c r="I19" s="669"/>
      <c r="J19" s="670" t="s">
        <v>239</v>
      </c>
      <c r="K19" s="670"/>
      <c r="L19" s="670"/>
      <c r="M19" s="670"/>
      <c r="N19" s="670"/>
      <c r="O19" s="671"/>
    </row>
    <row r="20" spans="1:17" ht="367.5" customHeight="1" thickTop="1" thickBot="1" x14ac:dyDescent="0.3">
      <c r="C20" s="660" t="s">
        <v>214</v>
      </c>
      <c r="D20" s="661"/>
      <c r="E20" s="668" t="s">
        <v>215</v>
      </c>
      <c r="F20" s="669"/>
      <c r="G20" s="669"/>
      <c r="H20" s="669"/>
      <c r="I20" s="669"/>
      <c r="J20" s="670" t="s">
        <v>240</v>
      </c>
      <c r="K20" s="670"/>
      <c r="L20" s="670"/>
      <c r="M20" s="670"/>
      <c r="N20" s="670"/>
      <c r="O20" s="671"/>
    </row>
    <row r="21" spans="1:17" ht="44.25" customHeight="1" thickTop="1" thickBot="1" x14ac:dyDescent="0.3">
      <c r="C21" s="660" t="s">
        <v>217</v>
      </c>
      <c r="D21" s="661"/>
      <c r="E21" s="668" t="s">
        <v>219</v>
      </c>
      <c r="F21" s="669"/>
      <c r="G21" s="669"/>
      <c r="H21" s="669"/>
      <c r="I21" s="669"/>
      <c r="J21" s="670" t="s">
        <v>218</v>
      </c>
      <c r="K21" s="670"/>
      <c r="L21" s="670"/>
      <c r="M21" s="670"/>
      <c r="N21" s="670"/>
      <c r="O21" s="671"/>
    </row>
    <row r="22" spans="1:17" ht="41.25" customHeight="1" thickTop="1" thickBot="1" x14ac:dyDescent="0.3">
      <c r="C22" s="660" t="s">
        <v>205</v>
      </c>
      <c r="D22" s="661"/>
      <c r="E22" s="668" t="s">
        <v>220</v>
      </c>
      <c r="F22" s="669"/>
      <c r="G22" s="669"/>
      <c r="H22" s="669"/>
      <c r="I22" s="669"/>
      <c r="J22" s="670" t="s">
        <v>218</v>
      </c>
      <c r="K22" s="670"/>
      <c r="L22" s="670"/>
      <c r="M22" s="670"/>
      <c r="N22" s="670"/>
      <c r="O22" s="671"/>
    </row>
    <row r="23" spans="1:17" ht="39" customHeight="1" thickTop="1" thickBot="1" x14ac:dyDescent="0.3">
      <c r="C23" s="660" t="s">
        <v>221</v>
      </c>
      <c r="D23" s="661"/>
      <c r="E23" s="668" t="s">
        <v>222</v>
      </c>
      <c r="F23" s="669"/>
      <c r="G23" s="669"/>
      <c r="H23" s="669"/>
      <c r="I23" s="669"/>
      <c r="J23" s="670" t="s">
        <v>218</v>
      </c>
      <c r="K23" s="670"/>
      <c r="L23" s="670"/>
      <c r="M23" s="670"/>
      <c r="N23" s="670"/>
      <c r="O23" s="671"/>
    </row>
    <row r="24" spans="1:17" ht="41.25" customHeight="1" thickTop="1" thickBot="1" x14ac:dyDescent="0.3">
      <c r="C24" s="660" t="s">
        <v>241</v>
      </c>
      <c r="D24" s="661"/>
      <c r="E24" s="668" t="s">
        <v>242</v>
      </c>
      <c r="F24" s="669"/>
      <c r="G24" s="669"/>
      <c r="H24" s="669"/>
      <c r="I24" s="669"/>
      <c r="J24" s="670" t="s">
        <v>218</v>
      </c>
      <c r="K24" s="670"/>
      <c r="L24" s="670"/>
      <c r="M24" s="670"/>
      <c r="N24" s="670"/>
      <c r="O24" s="671"/>
    </row>
    <row r="25" spans="1:17" ht="155.25" customHeight="1" thickTop="1" thickBot="1" x14ac:dyDescent="0.3">
      <c r="C25" s="660" t="s">
        <v>206</v>
      </c>
      <c r="D25" s="661"/>
      <c r="E25" s="668" t="s">
        <v>223</v>
      </c>
      <c r="F25" s="669"/>
      <c r="G25" s="669"/>
      <c r="H25" s="669"/>
      <c r="I25" s="669"/>
      <c r="J25" s="670" t="s">
        <v>243</v>
      </c>
      <c r="K25" s="670"/>
      <c r="L25" s="670"/>
      <c r="M25" s="670"/>
      <c r="N25" s="670"/>
      <c r="O25" s="671"/>
    </row>
    <row r="26" spans="1:17" ht="303" customHeight="1" thickTop="1" thickBot="1" x14ac:dyDescent="0.3">
      <c r="C26" s="660" t="s">
        <v>224</v>
      </c>
      <c r="D26" s="661"/>
      <c r="E26" s="668" t="s">
        <v>225</v>
      </c>
      <c r="F26" s="669"/>
      <c r="G26" s="669"/>
      <c r="H26" s="669"/>
      <c r="I26" s="669"/>
      <c r="J26" s="670" t="s">
        <v>244</v>
      </c>
      <c r="K26" s="670"/>
      <c r="L26" s="670"/>
      <c r="M26" s="670"/>
      <c r="N26" s="670"/>
      <c r="O26" s="671"/>
    </row>
    <row r="27" spans="1:17" s="74" customFormat="1" ht="16.5" customHeight="1" thickTop="1" thickBot="1" x14ac:dyDescent="0.3">
      <c r="A27" s="71"/>
      <c r="B27" s="71"/>
      <c r="C27" s="672" t="s">
        <v>108</v>
      </c>
      <c r="D27" s="673"/>
      <c r="E27" s="673"/>
      <c r="F27" s="673"/>
      <c r="G27" s="673"/>
      <c r="H27" s="673"/>
      <c r="I27" s="673"/>
      <c r="J27" s="673"/>
      <c r="K27" s="673"/>
      <c r="L27" s="673"/>
      <c r="M27" s="673"/>
      <c r="N27" s="673"/>
      <c r="O27" s="704"/>
      <c r="P27" s="71"/>
      <c r="Q27" s="71"/>
    </row>
    <row r="28" spans="1:17" ht="123.75" customHeight="1" thickTop="1" thickBot="1" x14ac:dyDescent="0.3">
      <c r="C28" s="660" t="s">
        <v>226</v>
      </c>
      <c r="D28" s="661"/>
      <c r="E28" s="668" t="s">
        <v>245</v>
      </c>
      <c r="F28" s="669"/>
      <c r="G28" s="669"/>
      <c r="H28" s="669"/>
      <c r="I28" s="669"/>
      <c r="J28" s="670" t="s">
        <v>246</v>
      </c>
      <c r="K28" s="670"/>
      <c r="L28" s="670"/>
      <c r="M28" s="670"/>
      <c r="N28" s="670"/>
      <c r="O28" s="671"/>
    </row>
    <row r="29" spans="1:17" ht="27" customHeight="1" thickTop="1" thickBot="1" x14ac:dyDescent="0.3">
      <c r="C29" s="660" t="s">
        <v>213</v>
      </c>
      <c r="D29" s="661"/>
      <c r="E29" s="668" t="s">
        <v>247</v>
      </c>
      <c r="F29" s="669"/>
      <c r="G29" s="669"/>
      <c r="H29" s="669"/>
      <c r="I29" s="669"/>
      <c r="J29" s="670" t="s">
        <v>218</v>
      </c>
      <c r="K29" s="670"/>
      <c r="L29" s="670"/>
      <c r="M29" s="670"/>
      <c r="N29" s="670"/>
      <c r="O29" s="671"/>
    </row>
    <row r="30" spans="1:17" ht="125.25" customHeight="1" thickTop="1" thickBot="1" x14ac:dyDescent="0.3">
      <c r="C30" s="660" t="s">
        <v>224</v>
      </c>
      <c r="D30" s="661"/>
      <c r="E30" s="668" t="s">
        <v>248</v>
      </c>
      <c r="F30" s="669"/>
      <c r="G30" s="669"/>
      <c r="H30" s="669"/>
      <c r="I30" s="669"/>
      <c r="J30" s="670" t="s">
        <v>249</v>
      </c>
      <c r="K30" s="670"/>
      <c r="L30" s="670"/>
      <c r="M30" s="670"/>
      <c r="N30" s="670"/>
      <c r="O30" s="671"/>
    </row>
    <row r="31" spans="1:17" s="74" customFormat="1" ht="16.5" customHeight="1" thickTop="1" thickBot="1" x14ac:dyDescent="0.3">
      <c r="A31" s="71"/>
      <c r="B31" s="71"/>
      <c r="C31" s="672" t="s">
        <v>211</v>
      </c>
      <c r="D31" s="673"/>
      <c r="E31" s="673"/>
      <c r="F31" s="673"/>
      <c r="G31" s="673"/>
      <c r="H31" s="673"/>
      <c r="I31" s="673"/>
      <c r="J31" s="673"/>
      <c r="K31" s="673"/>
      <c r="L31" s="673"/>
      <c r="M31" s="673"/>
      <c r="N31" s="673"/>
      <c r="O31" s="704"/>
      <c r="P31" s="71"/>
      <c r="Q31" s="71"/>
    </row>
    <row r="32" spans="1:17" ht="51" customHeight="1" thickTop="1" thickBot="1" x14ac:dyDescent="0.3">
      <c r="C32" s="660" t="s">
        <v>229</v>
      </c>
      <c r="D32" s="661"/>
      <c r="E32" s="668" t="s">
        <v>250</v>
      </c>
      <c r="F32" s="669"/>
      <c r="G32" s="669"/>
      <c r="H32" s="669"/>
      <c r="I32" s="669"/>
      <c r="J32" s="670" t="s">
        <v>218</v>
      </c>
      <c r="K32" s="670"/>
      <c r="L32" s="670"/>
      <c r="M32" s="670"/>
      <c r="N32" s="670"/>
      <c r="O32" s="671"/>
    </row>
    <row r="33" spans="1:17" s="74" customFormat="1" ht="16.5" customHeight="1" thickTop="1" thickBot="1" x14ac:dyDescent="0.3">
      <c r="A33" s="71"/>
      <c r="B33" s="71"/>
      <c r="C33" s="672" t="s">
        <v>109</v>
      </c>
      <c r="D33" s="673"/>
      <c r="E33" s="673"/>
      <c r="F33" s="673"/>
      <c r="G33" s="673"/>
      <c r="H33" s="673"/>
      <c r="I33" s="673"/>
      <c r="J33" s="673"/>
      <c r="K33" s="673"/>
      <c r="L33" s="673"/>
      <c r="M33" s="673"/>
      <c r="N33" s="673"/>
      <c r="O33" s="704"/>
      <c r="P33" s="71"/>
      <c r="Q33" s="71"/>
    </row>
    <row r="34" spans="1:17" ht="112.5" customHeight="1" thickTop="1" thickBot="1" x14ac:dyDescent="0.3">
      <c r="C34" s="696" t="s">
        <v>228</v>
      </c>
      <c r="D34" s="697"/>
      <c r="E34" s="668" t="s">
        <v>251</v>
      </c>
      <c r="F34" s="669"/>
      <c r="G34" s="669"/>
      <c r="H34" s="669"/>
      <c r="I34" s="669"/>
      <c r="J34" s="670" t="s">
        <v>252</v>
      </c>
      <c r="K34" s="670"/>
      <c r="L34" s="670"/>
      <c r="M34" s="670"/>
      <c r="N34" s="670"/>
      <c r="O34" s="671"/>
    </row>
    <row r="35" spans="1:17" ht="16.5" thickTop="1" thickBot="1" x14ac:dyDescent="0.3">
      <c r="C35" s="77"/>
      <c r="D35" s="77"/>
      <c r="E35" s="70"/>
      <c r="F35" s="70"/>
      <c r="G35" s="70"/>
      <c r="H35" s="70"/>
      <c r="I35" s="70"/>
      <c r="J35" s="70"/>
      <c r="K35" s="70"/>
      <c r="L35" s="70"/>
      <c r="M35" s="70"/>
      <c r="N35" s="70"/>
      <c r="O35" s="70"/>
    </row>
    <row r="36" spans="1:17" ht="15.75" thickBot="1" x14ac:dyDescent="0.3">
      <c r="C36" s="70"/>
      <c r="D36" s="702" t="s">
        <v>94</v>
      </c>
      <c r="E36" s="703"/>
      <c r="F36" s="70"/>
      <c r="G36" s="70"/>
      <c r="H36" s="70"/>
      <c r="I36" s="70"/>
      <c r="J36" s="70"/>
      <c r="K36" s="70"/>
      <c r="L36" s="70"/>
      <c r="M36" s="70"/>
      <c r="N36" s="70"/>
      <c r="O36" s="70"/>
    </row>
    <row r="37" spans="1:17" ht="15" x14ac:dyDescent="0.25">
      <c r="C37" s="71"/>
      <c r="D37" s="71"/>
      <c r="E37" s="71"/>
      <c r="F37" s="71"/>
      <c r="G37" s="71"/>
      <c r="H37" s="71"/>
      <c r="I37" s="71"/>
      <c r="J37" s="71"/>
      <c r="K37" s="71"/>
      <c r="L37" s="71"/>
      <c r="M37" s="71"/>
      <c r="N37" s="71"/>
      <c r="O37" s="71"/>
    </row>
    <row r="38" spans="1:17" ht="15" hidden="1" x14ac:dyDescent="0.25">
      <c r="C38" s="71"/>
      <c r="D38" s="71"/>
      <c r="E38" s="71"/>
      <c r="F38" s="71"/>
      <c r="G38" s="71"/>
      <c r="H38" s="71"/>
      <c r="I38" s="71"/>
      <c r="J38" s="71"/>
      <c r="K38" s="71"/>
      <c r="L38" s="71"/>
      <c r="M38" s="71"/>
      <c r="N38" s="71"/>
      <c r="O38" s="71"/>
    </row>
    <row r="39" spans="1:17" ht="15" hidden="1" x14ac:dyDescent="0.25">
      <c r="C39" s="71"/>
      <c r="D39" s="71"/>
      <c r="E39" s="71"/>
      <c r="F39" s="71"/>
      <c r="G39" s="71"/>
      <c r="H39" s="71"/>
      <c r="I39" s="71"/>
      <c r="J39" s="71"/>
      <c r="K39" s="71"/>
      <c r="L39" s="71"/>
      <c r="M39" s="71"/>
      <c r="N39" s="71"/>
      <c r="O39" s="71"/>
    </row>
    <row r="40" spans="1:17" ht="14.45" hidden="1" customHeight="1" x14ac:dyDescent="0.25"/>
    <row r="41" spans="1:17" ht="14.45" hidden="1" customHeight="1" x14ac:dyDescent="0.25"/>
    <row r="42" spans="1:17" ht="14.45" hidden="1" customHeight="1" x14ac:dyDescent="0.25"/>
    <row r="43" spans="1:17" ht="14.45" hidden="1" customHeight="1" x14ac:dyDescent="0.25"/>
    <row r="44" spans="1:17" ht="14.45" hidden="1" customHeight="1" x14ac:dyDescent="0.25"/>
    <row r="45" spans="1:17" ht="14.45" hidden="1" customHeight="1" x14ac:dyDescent="0.25"/>
    <row r="46" spans="1:17" ht="14.45" hidden="1" customHeight="1" x14ac:dyDescent="0.25"/>
    <row r="47" spans="1:17" ht="14.45" hidden="1" customHeight="1" x14ac:dyDescent="0.25"/>
    <row r="48" spans="1:17" ht="14.45" hidden="1" customHeight="1" x14ac:dyDescent="0.25"/>
    <row r="49" ht="14.45" hidden="1" customHeight="1" x14ac:dyDescent="0.25"/>
    <row r="50" ht="14.45" hidden="1" customHeight="1" x14ac:dyDescent="0.25"/>
    <row r="51" ht="14.45" hidden="1" customHeight="1" x14ac:dyDescent="0.25"/>
    <row r="52" ht="14.45" hidden="1" customHeight="1" x14ac:dyDescent="0.25"/>
    <row r="53" ht="14.45" hidden="1" customHeight="1" x14ac:dyDescent="0.25"/>
    <row r="54" ht="14.45" hidden="1" customHeight="1" x14ac:dyDescent="0.25"/>
    <row r="55" ht="14.45" hidden="1" customHeight="1" x14ac:dyDescent="0.25"/>
    <row r="56" ht="14.45" hidden="1" customHeight="1" x14ac:dyDescent="0.25"/>
    <row r="57" ht="14.45" hidden="1" customHeight="1" x14ac:dyDescent="0.25"/>
    <row r="58" ht="14.45" hidden="1" customHeight="1" x14ac:dyDescent="0.25"/>
    <row r="59" ht="14.45" hidden="1" customHeight="1" x14ac:dyDescent="0.25"/>
    <row r="60" ht="14.45" hidden="1" customHeight="1" x14ac:dyDescent="0.25"/>
    <row r="61" ht="14.45" hidden="1" customHeight="1" x14ac:dyDescent="0.25"/>
    <row r="62" ht="14.45" hidden="1" customHeight="1" x14ac:dyDescent="0.25"/>
    <row r="63" ht="14.45" hidden="1" customHeight="1" x14ac:dyDescent="0.25"/>
    <row r="64" ht="14.45" hidden="1" customHeight="1" x14ac:dyDescent="0.25"/>
    <row r="65" ht="14.45" hidden="1" customHeight="1" x14ac:dyDescent="0.25"/>
    <row r="66" ht="14.45" hidden="1" customHeight="1" x14ac:dyDescent="0.25"/>
    <row r="67" ht="14.45" hidden="1" customHeight="1" x14ac:dyDescent="0.25"/>
    <row r="68" ht="14.45" hidden="1" customHeight="1" x14ac:dyDescent="0.25"/>
    <row r="69" ht="14.45" hidden="1" customHeight="1" x14ac:dyDescent="0.25"/>
    <row r="70" ht="14.45" hidden="1" customHeight="1" x14ac:dyDescent="0.25"/>
    <row r="71" ht="14.45" hidden="1" customHeight="1" x14ac:dyDescent="0.25"/>
    <row r="72" ht="14.45" hidden="1" customHeight="1" x14ac:dyDescent="0.25"/>
  </sheetData>
  <sheetProtection algorithmName="SHA-512" hashValue="CT5zMwAk4nFQHLo2n6hTes3nwGQOzPO3XoM0LeRhqNfb0ztTZCrVgtgqNEH2krIYPkgf9jZvHkSmbH9i02X8IA==" saltValue="J4Inm7efxnzBdhY85No54Q==" spinCount="100000" sheet="1" objects="1" scenarios="1"/>
  <mergeCells count="62">
    <mergeCell ref="C33:O33"/>
    <mergeCell ref="C34:D34"/>
    <mergeCell ref="E34:I34"/>
    <mergeCell ref="J34:O34"/>
    <mergeCell ref="D36:E36"/>
    <mergeCell ref="F1:G1"/>
    <mergeCell ref="C30:D30"/>
    <mergeCell ref="E30:I30"/>
    <mergeCell ref="J30:O30"/>
    <mergeCell ref="C31:O31"/>
    <mergeCell ref="C25:D25"/>
    <mergeCell ref="E25:I25"/>
    <mergeCell ref="J25:O25"/>
    <mergeCell ref="C26:D26"/>
    <mergeCell ref="E26:I26"/>
    <mergeCell ref="J26:O26"/>
    <mergeCell ref="C23:D23"/>
    <mergeCell ref="E23:I23"/>
    <mergeCell ref="J23:O23"/>
    <mergeCell ref="C24:D24"/>
    <mergeCell ref="E24:I24"/>
    <mergeCell ref="C32:D32"/>
    <mergeCell ref="E32:I32"/>
    <mergeCell ref="J32:O32"/>
    <mergeCell ref="C27:O27"/>
    <mergeCell ref="C28:D28"/>
    <mergeCell ref="E28:I28"/>
    <mergeCell ref="J28:O28"/>
    <mergeCell ref="C29:D29"/>
    <mergeCell ref="E29:I29"/>
    <mergeCell ref="J29:O29"/>
    <mergeCell ref="J24:O24"/>
    <mergeCell ref="C21:D21"/>
    <mergeCell ref="E21:I21"/>
    <mergeCell ref="J21:O21"/>
    <mergeCell ref="C22:D22"/>
    <mergeCell ref="E22:I22"/>
    <mergeCell ref="J22:O22"/>
    <mergeCell ref="C18:O18"/>
    <mergeCell ref="C19:D19"/>
    <mergeCell ref="E19:I19"/>
    <mergeCell ref="J19:O19"/>
    <mergeCell ref="C20:D20"/>
    <mergeCell ref="E20:I20"/>
    <mergeCell ref="J20:O20"/>
    <mergeCell ref="C16:D16"/>
    <mergeCell ref="E16:I16"/>
    <mergeCell ref="J16:O16"/>
    <mergeCell ref="C17:D17"/>
    <mergeCell ref="E17:I17"/>
    <mergeCell ref="J17:O17"/>
    <mergeCell ref="C15:O15"/>
    <mergeCell ref="D5:N5"/>
    <mergeCell ref="D7:N7"/>
    <mergeCell ref="D8:N8"/>
    <mergeCell ref="D2:E4"/>
    <mergeCell ref="F2:L3"/>
    <mergeCell ref="D12:N12"/>
    <mergeCell ref="C13:O13"/>
    <mergeCell ref="C14:D14"/>
    <mergeCell ref="E14:I14"/>
    <mergeCell ref="J14:O14"/>
  </mergeCells>
  <hyperlinks>
    <hyperlink ref="D36" location="MENÚ!A1" display="MENÚ" xr:uid="{00000000-0004-0000-0400-000000000000}"/>
    <hyperlink ref="D36:E36" location="INICIO!A1" display="INICIO" xr:uid="{00000000-0004-0000-0400-000001000000}"/>
    <hyperlink ref="C14:D14" location="'HC CORPORATIVA-INCERTIDUMBRE'!B5" display="Datos Generales" xr:uid="{00000000-0004-0000-0400-000002000000}"/>
    <hyperlink ref="C16:D16" location="'HC CORPORATIVA-INCERTIDUMBRE'!B14" display="Fuente de Emision " xr:uid="{00000000-0004-0000-0400-000003000000}"/>
    <hyperlink ref="C17:D17" location="'HC CORPORATIVA-INCERTIDUMBRE'!C15" display="Carga ambiental" xr:uid="{00000000-0004-0000-0400-000004000000}"/>
    <hyperlink ref="C19:D19" location="'HC CORPORATIVA-INCERTIDUMBRE'!E15" display="Unidad" xr:uid="{00000000-0004-0000-0400-000005000000}"/>
    <hyperlink ref="C20:D20" location="'HC CORPORATIVA-INCERTIDUMBRE'!F15" display="Dato 1 al 12" xr:uid="{00000000-0004-0000-0400-000006000000}"/>
    <hyperlink ref="C21:D21" location="'HC CORPORATIVA-INCERTIDUMBRE'!R15" display="Total" xr:uid="{00000000-0004-0000-0400-000007000000}"/>
    <hyperlink ref="C22:D22" location="'HC CORPORATIVA-INCERTIDUMBRE'!S15" display="No. Datos" xr:uid="{00000000-0004-0000-0400-000008000000}"/>
    <hyperlink ref="C23:D23" location="'HC CORPORATIVA-INCERTIDUMBRE'!T15" display="Promedio" xr:uid="{00000000-0004-0000-0400-000009000000}"/>
    <hyperlink ref="C24:D24" location="'HC CORPORATIVA-INCERTIDUMBRE'!U15" display="Desviación Estandar" xr:uid="{00000000-0004-0000-0400-00000A000000}"/>
    <hyperlink ref="C25:D25" location="'HC CORPORATIVA-INCERTIDUMBRE'!V15" display="Factor T" xr:uid="{00000000-0004-0000-0400-00000B000000}"/>
    <hyperlink ref="C26:D26" location="'HC CORPORATIVA-INCERTIDUMBRE'!W15" display="Incertidumbre" xr:uid="{00000000-0004-0000-0400-00000C000000}"/>
    <hyperlink ref="C28:D28" location="'HC CORPORATIVA-INCERTIDUMBRE'!X15" display="Cantidad" xr:uid="{00000000-0004-0000-0400-00000D000000}"/>
    <hyperlink ref="C29:D29" location="'HC CORPORATIVA-INCERTIDUMBRE'!Y15" display="Unidad" xr:uid="{00000000-0004-0000-0400-00000E000000}"/>
    <hyperlink ref="C30:D30" location="'HC CORPORATIVA-INCERTIDUMBRE'!Z15" display="Incertidumbre" xr:uid="{00000000-0004-0000-0400-00000F000000}"/>
    <hyperlink ref="C32:D32" location="'HC CORPORATIVA-INCERTIDUMBRE'!AA15" display="Huella de Carbono  " xr:uid="{00000000-0004-0000-0400-000010000000}"/>
    <hyperlink ref="C34:D34" location="'HC CORPORATIVA-INCERTIDUMBRE'!AB15" display="Incertidumbre de la fuente " xr:uid="{00000000-0004-0000-0400-000011000000}"/>
    <hyperlink ref="F1" location="MENÚ!A1" display="MENÚ" xr:uid="{00000000-0004-0000-0400-000012000000}"/>
    <hyperlink ref="F1:G1" location="INICIO!A1" display="INICIO" xr:uid="{00000000-0004-0000-0400-000013000000}"/>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39997558519241921"/>
  </sheetPr>
  <dimension ref="A1:ED578"/>
  <sheetViews>
    <sheetView tabSelected="1" zoomScale="80" zoomScaleNormal="80" workbookViewId="0">
      <selection activeCell="A8" sqref="A8"/>
    </sheetView>
  </sheetViews>
  <sheetFormatPr baseColWidth="10" defaultColWidth="11.42578125" defaultRowHeight="15" x14ac:dyDescent="0.25"/>
  <cols>
    <col min="1" max="1" width="5.5703125" style="340" customWidth="1"/>
    <col min="2" max="2" width="37.85546875" style="341" customWidth="1"/>
    <col min="3" max="3" width="59.42578125" style="341" customWidth="1"/>
    <col min="4" max="4" width="16.42578125" style="341" customWidth="1"/>
    <col min="5" max="16" width="14.42578125" style="341" customWidth="1"/>
    <col min="17" max="17" width="16.7109375" style="341" customWidth="1"/>
    <col min="18" max="18" width="10" style="341" customWidth="1"/>
    <col min="19" max="19" width="13.42578125" style="341" customWidth="1"/>
    <col min="20" max="20" width="13" style="341" customWidth="1"/>
    <col min="21" max="21" width="11.42578125" style="341" customWidth="1"/>
    <col min="22" max="22" width="16.140625" style="336" customWidth="1"/>
    <col min="23" max="23" width="17" style="341" customWidth="1"/>
    <col min="24" max="24" width="11.42578125" style="341" customWidth="1"/>
    <col min="25" max="25" width="20.5703125" style="341" customWidth="1"/>
    <col min="26" max="26" width="16.140625" style="341" bestFit="1" customWidth="1"/>
    <col min="27" max="27" width="13.85546875" style="337" customWidth="1"/>
    <col min="28" max="28" width="14" style="337" customWidth="1"/>
    <col min="29" max="29" width="15.85546875" style="341" customWidth="1"/>
    <col min="30" max="30" width="12.85546875" style="337" hidden="1" customWidth="1"/>
    <col min="31" max="31" width="11.42578125" style="338" customWidth="1"/>
    <col min="32" max="32" width="20.5703125" style="341" customWidth="1"/>
    <col min="33" max="33" width="17.140625" style="341" customWidth="1"/>
    <col min="34" max="35" width="12.85546875" style="339" customWidth="1"/>
    <col min="36" max="36" width="16.7109375" style="341" customWidth="1"/>
    <col min="37" max="37" width="12.85546875" style="337" hidden="1" customWidth="1"/>
    <col min="38" max="38" width="11.42578125" style="341" customWidth="1"/>
    <col min="39" max="39" width="20.5703125" style="341" customWidth="1"/>
    <col min="40" max="40" width="17" style="341" customWidth="1"/>
    <col min="41" max="42" width="12.85546875" style="341" customWidth="1"/>
    <col min="43" max="43" width="16.140625" style="341" customWidth="1"/>
    <col min="44" max="44" width="15.140625" style="337" hidden="1" customWidth="1"/>
    <col min="45" max="45" width="11.42578125" style="341" customWidth="1"/>
    <col min="46" max="46" width="20.5703125" style="341" customWidth="1"/>
    <col min="47" max="47" width="16.140625" style="341" customWidth="1"/>
    <col min="48" max="48" width="12.85546875" style="337" customWidth="1"/>
    <col min="49" max="49" width="17.28515625" style="341" customWidth="1"/>
    <col min="50" max="50" width="12.85546875" style="337" customWidth="1"/>
    <col min="51" max="51" width="11.42578125" style="341" customWidth="1"/>
    <col min="52" max="52" width="20.5703125" style="341" customWidth="1"/>
    <col min="53" max="53" width="16.5703125" style="341" customWidth="1"/>
    <col min="54" max="54" width="12.85546875" style="337" customWidth="1"/>
    <col min="55" max="55" width="16" style="337" customWidth="1"/>
    <col min="56" max="56" width="17" style="341" customWidth="1"/>
    <col min="57" max="57" width="12.85546875" style="337" customWidth="1"/>
    <col min="58" max="58" width="21.5703125" style="341" customWidth="1"/>
    <col min="59" max="59" width="20" style="341" customWidth="1"/>
    <col min="60" max="60" width="16.5703125" style="342" customWidth="1"/>
    <col min="61" max="61" width="52.85546875" style="345" customWidth="1"/>
    <col min="62" max="62" width="18.5703125" style="473" customWidth="1"/>
    <col min="63" max="64" width="16.7109375" style="473" customWidth="1"/>
    <col min="65" max="66" width="11.7109375" style="463" customWidth="1"/>
    <col min="67" max="67" width="18.42578125" style="463" customWidth="1"/>
    <col min="68" max="68" width="16.28515625" style="473" customWidth="1"/>
    <col min="69" max="69" width="16" style="473" customWidth="1"/>
    <col min="70" max="70" width="13.42578125" style="473" customWidth="1"/>
    <col min="71" max="72" width="11.7109375" style="473" customWidth="1"/>
    <col min="73" max="73" width="14.85546875" style="473" bestFit="1" customWidth="1"/>
    <col min="74" max="78" width="11.7109375" style="473" customWidth="1"/>
    <col min="79" max="79" width="14.85546875" style="473" bestFit="1" customWidth="1"/>
    <col min="80" max="80" width="11.7109375" style="475" customWidth="1"/>
    <col min="81" max="82" width="11.7109375" style="473" customWidth="1"/>
    <col min="83" max="84" width="11.7109375" style="475" customWidth="1"/>
    <col min="85" max="85" width="14.85546875" style="475" bestFit="1" customWidth="1"/>
    <col min="86" max="86" width="11.7109375" style="475" customWidth="1"/>
    <col min="87" max="88" width="11.7109375" style="473" customWidth="1"/>
    <col min="89" max="90" width="11.7109375" style="475" customWidth="1"/>
    <col min="91" max="91" width="14.85546875" style="475" bestFit="1" customWidth="1"/>
    <col min="92" max="92" width="11.7109375" style="360" customWidth="1"/>
    <col min="93" max="94" width="11.7109375" style="346" customWidth="1"/>
    <col min="95" max="99" width="11.7109375" style="344" customWidth="1"/>
    <col min="100" max="100" width="11.42578125" style="344" customWidth="1"/>
    <col min="101" max="101" width="13.42578125" style="344" customWidth="1"/>
    <col min="102" max="102" width="14.85546875" style="344" customWidth="1"/>
    <col min="103" max="103" width="11.5703125" style="344" customWidth="1"/>
    <col min="104" max="111" width="11.42578125" style="344" customWidth="1"/>
    <col min="112" max="126" width="11.42578125" style="344"/>
    <col min="127" max="134" width="11.42578125" style="343"/>
    <col min="135" max="16384" width="11.42578125" style="341"/>
  </cols>
  <sheetData>
    <row r="1" spans="1:134" s="146" customFormat="1" ht="27" customHeight="1" thickBot="1" x14ac:dyDescent="0.3">
      <c r="B1" s="146" t="s">
        <v>464</v>
      </c>
      <c r="D1" s="778" t="s">
        <v>261</v>
      </c>
      <c r="E1" s="779"/>
      <c r="F1" s="779"/>
      <c r="G1" s="154"/>
      <c r="H1" s="773" t="s">
        <v>580</v>
      </c>
      <c r="I1" s="774"/>
      <c r="J1" s="154"/>
      <c r="K1" s="154"/>
      <c r="L1" s="154"/>
      <c r="M1" s="154"/>
      <c r="N1" s="154"/>
      <c r="O1" s="154"/>
      <c r="P1" s="154"/>
      <c r="Q1" s="154"/>
      <c r="R1" s="155"/>
      <c r="S1" s="154"/>
      <c r="T1" s="154"/>
      <c r="U1" s="154"/>
      <c r="V1" s="156"/>
      <c r="W1" s="156"/>
      <c r="Z1" s="156"/>
      <c r="AA1" s="157"/>
      <c r="AB1" s="157"/>
      <c r="AC1" s="156"/>
      <c r="AD1" s="157"/>
      <c r="AE1" s="158"/>
      <c r="AG1" s="156"/>
      <c r="AH1" s="159"/>
      <c r="AI1" s="159"/>
      <c r="AJ1" s="156"/>
      <c r="AK1" s="157"/>
      <c r="AN1" s="156"/>
      <c r="AO1" s="156"/>
      <c r="AP1" s="156"/>
      <c r="AQ1" s="156"/>
      <c r="AR1" s="157"/>
      <c r="AU1" s="156"/>
      <c r="AV1" s="157"/>
      <c r="AW1" s="156"/>
      <c r="AX1" s="157"/>
      <c r="BA1" s="156"/>
      <c r="BB1" s="157"/>
      <c r="BC1" s="157"/>
      <c r="BD1" s="156"/>
      <c r="BE1" s="157"/>
      <c r="BF1" s="154"/>
      <c r="BG1" s="156"/>
      <c r="BH1" s="160"/>
      <c r="BI1" s="458"/>
      <c r="BJ1" s="459"/>
      <c r="BK1" s="459"/>
      <c r="BL1" s="459"/>
      <c r="BM1" s="460"/>
      <c r="BN1" s="460"/>
      <c r="BO1" s="460"/>
      <c r="BP1" s="459"/>
      <c r="BQ1" s="459"/>
      <c r="BR1" s="459"/>
      <c r="BS1" s="459"/>
      <c r="BT1" s="459"/>
      <c r="BU1" s="459"/>
      <c r="BV1" s="459"/>
      <c r="BW1" s="459"/>
      <c r="BX1" s="459"/>
      <c r="BY1" s="459"/>
      <c r="BZ1" s="459"/>
      <c r="CA1" s="459"/>
      <c r="CB1" s="461"/>
      <c r="CC1" s="459"/>
      <c r="CD1" s="459"/>
      <c r="CE1" s="461"/>
      <c r="CF1" s="461"/>
      <c r="CG1" s="461"/>
      <c r="CH1" s="461"/>
      <c r="CI1" s="459"/>
      <c r="CJ1" s="459"/>
      <c r="CK1" s="461"/>
      <c r="CL1" s="461"/>
      <c r="CM1" s="461"/>
      <c r="CN1" s="355"/>
      <c r="CO1" s="396"/>
      <c r="CP1" s="396"/>
      <c r="CQ1" s="160"/>
      <c r="CR1" s="160"/>
      <c r="CS1" s="160"/>
      <c r="CT1" s="160"/>
      <c r="CU1" s="160"/>
      <c r="CV1" s="160"/>
      <c r="CW1" s="160"/>
      <c r="CX1" s="160"/>
      <c r="CY1" s="160"/>
      <c r="CZ1" s="160"/>
      <c r="DA1" s="160"/>
      <c r="DB1" s="160"/>
      <c r="DC1" s="160"/>
      <c r="DD1" s="160"/>
      <c r="DE1" s="160"/>
      <c r="DF1" s="160"/>
      <c r="DG1" s="160"/>
      <c r="DH1" s="160"/>
      <c r="DI1" s="160"/>
      <c r="DJ1" s="160"/>
      <c r="DK1" s="160"/>
      <c r="DL1" s="160"/>
      <c r="DM1" s="160"/>
      <c r="DN1" s="160"/>
      <c r="DO1" s="160"/>
      <c r="DP1" s="160"/>
      <c r="DQ1" s="160"/>
      <c r="DR1" s="160"/>
      <c r="DS1" s="160"/>
      <c r="DT1" s="160"/>
      <c r="DU1" s="160"/>
      <c r="DV1" s="160"/>
      <c r="DW1" s="161"/>
      <c r="DX1" s="161"/>
      <c r="DY1" s="161"/>
      <c r="DZ1" s="161"/>
      <c r="EA1" s="161"/>
      <c r="EB1" s="161"/>
      <c r="EC1" s="161"/>
      <c r="ED1" s="161"/>
    </row>
    <row r="2" spans="1:134" s="147" customFormat="1" ht="18.75" customHeight="1" x14ac:dyDescent="0.25">
      <c r="A2" s="146"/>
      <c r="B2" s="393" t="s">
        <v>573</v>
      </c>
      <c r="C2" s="782"/>
      <c r="D2" s="720" t="s">
        <v>207</v>
      </c>
      <c r="E2" s="721"/>
      <c r="F2" s="721"/>
      <c r="G2" s="721"/>
      <c r="H2" s="721"/>
      <c r="I2" s="721"/>
      <c r="J2" s="721"/>
      <c r="K2" s="721"/>
      <c r="L2" s="721"/>
      <c r="M2" s="721"/>
      <c r="N2" s="721"/>
      <c r="O2" s="721"/>
      <c r="P2" s="721"/>
      <c r="Q2" s="721"/>
      <c r="R2" s="721"/>
      <c r="S2" s="721"/>
      <c r="T2" s="721"/>
      <c r="U2" s="721"/>
      <c r="V2" s="721"/>
      <c r="W2" s="780"/>
      <c r="X2" s="162"/>
      <c r="Y2" s="163"/>
      <c r="Z2" s="164"/>
      <c r="AA2" s="165"/>
      <c r="AB2" s="165"/>
      <c r="AC2" s="164"/>
      <c r="AD2" s="165"/>
      <c r="AE2" s="166"/>
      <c r="AF2" s="163"/>
      <c r="AG2" s="164"/>
      <c r="AH2" s="167"/>
      <c r="AI2" s="167"/>
      <c r="AJ2" s="164"/>
      <c r="AK2" s="165"/>
      <c r="AL2" s="162"/>
      <c r="AM2" s="163"/>
      <c r="AN2" s="164"/>
      <c r="AO2" s="164"/>
      <c r="AP2" s="164"/>
      <c r="AQ2" s="164"/>
      <c r="AR2" s="165"/>
      <c r="AS2" s="162"/>
      <c r="AT2" s="163"/>
      <c r="AU2" s="164"/>
      <c r="AV2" s="165"/>
      <c r="AW2" s="164"/>
      <c r="AX2" s="165"/>
      <c r="AY2" s="162"/>
      <c r="AZ2" s="163"/>
      <c r="BA2" s="164"/>
      <c r="BB2" s="165"/>
      <c r="BC2" s="165"/>
      <c r="BD2" s="164"/>
      <c r="BE2" s="165"/>
      <c r="BF2" s="168"/>
      <c r="BG2" s="169"/>
      <c r="BH2" s="160"/>
      <c r="BI2" s="200"/>
      <c r="BJ2" s="462"/>
      <c r="BK2" s="462"/>
      <c r="BL2" s="462"/>
      <c r="BM2" s="463"/>
      <c r="BN2" s="463"/>
      <c r="BO2" s="463"/>
      <c r="BP2" s="462"/>
      <c r="BQ2" s="462"/>
      <c r="BR2" s="462"/>
      <c r="BS2" s="462"/>
      <c r="BT2" s="462"/>
      <c r="BU2" s="462"/>
      <c r="BV2" s="462"/>
      <c r="BW2" s="462"/>
      <c r="BX2" s="462"/>
      <c r="BY2" s="462"/>
      <c r="BZ2" s="462"/>
      <c r="CA2" s="462"/>
      <c r="CB2" s="464"/>
      <c r="CC2" s="462"/>
      <c r="CD2" s="462"/>
      <c r="CE2" s="464"/>
      <c r="CF2" s="464"/>
      <c r="CG2" s="464"/>
      <c r="CH2" s="464"/>
      <c r="CI2" s="462"/>
      <c r="CJ2" s="462"/>
      <c r="CK2" s="464"/>
      <c r="CL2" s="464"/>
      <c r="CM2" s="464"/>
      <c r="CN2" s="357"/>
      <c r="CO2" s="346"/>
      <c r="CP2" s="346"/>
      <c r="CQ2" s="171"/>
      <c r="CR2" s="171"/>
      <c r="CS2" s="171"/>
      <c r="CT2" s="171"/>
      <c r="CU2" s="171"/>
      <c r="CV2" s="171"/>
      <c r="CW2" s="171"/>
      <c r="CX2" s="171"/>
      <c r="CY2" s="171"/>
      <c r="CZ2" s="171"/>
      <c r="DA2" s="171"/>
      <c r="DB2" s="171"/>
      <c r="DC2" s="171"/>
      <c r="DD2" s="171"/>
      <c r="DE2" s="171"/>
      <c r="DF2" s="171"/>
      <c r="DG2" s="171"/>
      <c r="DH2" s="171"/>
      <c r="DI2" s="171"/>
      <c r="DJ2" s="171"/>
      <c r="DK2" s="171"/>
      <c r="DL2" s="171"/>
      <c r="DM2" s="171"/>
      <c r="DN2" s="171"/>
      <c r="DO2" s="171"/>
      <c r="DP2" s="171"/>
      <c r="DQ2" s="171"/>
      <c r="DR2" s="171"/>
      <c r="DS2" s="171"/>
      <c r="DT2" s="171"/>
      <c r="DU2" s="171"/>
      <c r="DV2" s="171"/>
      <c r="DW2" s="170"/>
      <c r="DX2" s="170"/>
      <c r="DY2" s="170"/>
      <c r="DZ2" s="170"/>
      <c r="EA2" s="170"/>
      <c r="EB2" s="170"/>
      <c r="EC2" s="170"/>
      <c r="ED2" s="170"/>
    </row>
    <row r="3" spans="1:134" s="147" customFormat="1" ht="28.5" customHeight="1" thickBot="1" x14ac:dyDescent="0.3">
      <c r="A3" s="146"/>
      <c r="B3" s="394"/>
      <c r="C3" s="782"/>
      <c r="D3" s="722"/>
      <c r="E3" s="723"/>
      <c r="F3" s="723"/>
      <c r="G3" s="723"/>
      <c r="H3" s="723"/>
      <c r="I3" s="723"/>
      <c r="J3" s="723"/>
      <c r="K3" s="723"/>
      <c r="L3" s="723"/>
      <c r="M3" s="723"/>
      <c r="N3" s="723"/>
      <c r="O3" s="723"/>
      <c r="P3" s="723"/>
      <c r="Q3" s="723"/>
      <c r="R3" s="723"/>
      <c r="S3" s="723"/>
      <c r="T3" s="723"/>
      <c r="U3" s="723"/>
      <c r="V3" s="723"/>
      <c r="W3" s="781"/>
      <c r="X3" s="172"/>
      <c r="Y3" s="173"/>
      <c r="Z3" s="174"/>
      <c r="AA3" s="175"/>
      <c r="AB3" s="175"/>
      <c r="AC3" s="174"/>
      <c r="AD3" s="175"/>
      <c r="AE3" s="176"/>
      <c r="AF3" s="173"/>
      <c r="AG3" s="174"/>
      <c r="AH3" s="177"/>
      <c r="AI3" s="177"/>
      <c r="AJ3" s="174"/>
      <c r="AK3" s="175"/>
      <c r="AL3" s="172"/>
      <c r="AM3" s="173"/>
      <c r="AN3" s="174"/>
      <c r="AO3" s="174"/>
      <c r="AP3" s="174"/>
      <c r="AQ3" s="174"/>
      <c r="AR3" s="175"/>
      <c r="AS3" s="172"/>
      <c r="AT3" s="173"/>
      <c r="AU3" s="174"/>
      <c r="AV3" s="175"/>
      <c r="AW3" s="174"/>
      <c r="AX3" s="175"/>
      <c r="AY3" s="172"/>
      <c r="AZ3" s="173"/>
      <c r="BA3" s="174"/>
      <c r="BB3" s="175"/>
      <c r="BC3" s="175"/>
      <c r="BD3" s="174"/>
      <c r="BE3" s="175"/>
      <c r="BF3" s="178"/>
      <c r="BG3" s="164"/>
      <c r="BH3" s="160"/>
      <c r="BI3" s="200"/>
      <c r="BJ3" s="462"/>
      <c r="BK3" s="462"/>
      <c r="BL3" s="462"/>
      <c r="BM3" s="463"/>
      <c r="BN3" s="463"/>
      <c r="BO3" s="463"/>
      <c r="BP3" s="462"/>
      <c r="BQ3" s="462"/>
      <c r="BR3" s="462"/>
      <c r="BS3" s="462"/>
      <c r="BT3" s="462"/>
      <c r="BU3" s="462"/>
      <c r="BV3" s="462"/>
      <c r="BW3" s="462"/>
      <c r="BX3" s="462"/>
      <c r="BY3" s="462"/>
      <c r="BZ3" s="462"/>
      <c r="CA3" s="462"/>
      <c r="CB3" s="464"/>
      <c r="CC3" s="462"/>
      <c r="CD3" s="462"/>
      <c r="CE3" s="464"/>
      <c r="CF3" s="464"/>
      <c r="CG3" s="464"/>
      <c r="CH3" s="464"/>
      <c r="CI3" s="462"/>
      <c r="CJ3" s="462"/>
      <c r="CK3" s="464"/>
      <c r="CL3" s="464"/>
      <c r="CM3" s="464"/>
      <c r="CN3" s="357"/>
      <c r="CO3" s="346"/>
      <c r="CP3" s="346"/>
      <c r="CQ3" s="171"/>
      <c r="CR3" s="171"/>
      <c r="CS3" s="171"/>
      <c r="CT3" s="171"/>
      <c r="CU3" s="171"/>
      <c r="CV3" s="171"/>
      <c r="CW3" s="171"/>
      <c r="CX3" s="171"/>
      <c r="CY3" s="171"/>
      <c r="CZ3" s="171"/>
      <c r="DA3" s="171"/>
      <c r="DB3" s="171"/>
      <c r="DC3" s="171"/>
      <c r="DD3" s="171"/>
      <c r="DE3" s="171"/>
      <c r="DF3" s="171"/>
      <c r="DG3" s="171"/>
      <c r="DH3" s="171"/>
      <c r="DI3" s="171"/>
      <c r="DJ3" s="171"/>
      <c r="DK3" s="171"/>
      <c r="DL3" s="171"/>
      <c r="DM3" s="171"/>
      <c r="DN3" s="171"/>
      <c r="DO3" s="171"/>
      <c r="DP3" s="171"/>
      <c r="DQ3" s="171"/>
      <c r="DR3" s="171"/>
      <c r="DS3" s="171"/>
      <c r="DT3" s="171"/>
      <c r="DU3" s="171"/>
      <c r="DV3" s="171"/>
      <c r="DW3" s="170"/>
      <c r="DX3" s="170"/>
      <c r="DY3" s="170"/>
      <c r="DZ3" s="170"/>
      <c r="EA3" s="170"/>
      <c r="EB3" s="170"/>
      <c r="EC3" s="170"/>
      <c r="ED3" s="170"/>
    </row>
    <row r="4" spans="1:134" s="146" customFormat="1" ht="19.5" thickBot="1" x14ac:dyDescent="0.3">
      <c r="A4" s="179"/>
      <c r="B4" s="163"/>
      <c r="C4" s="782"/>
      <c r="D4" s="179"/>
      <c r="E4" s="180"/>
      <c r="F4" s="180"/>
      <c r="G4" s="180"/>
      <c r="H4" s="180"/>
      <c r="I4" s="180"/>
      <c r="J4" s="180"/>
      <c r="K4" s="180"/>
      <c r="L4" s="180"/>
      <c r="M4" s="180"/>
      <c r="N4" s="180"/>
      <c r="O4" s="180"/>
      <c r="P4" s="180"/>
      <c r="Q4" s="180"/>
      <c r="R4" s="181"/>
      <c r="S4" s="180"/>
      <c r="T4" s="180"/>
      <c r="U4" s="180"/>
      <c r="V4" s="182"/>
      <c r="W4" s="182"/>
      <c r="X4" s="179"/>
      <c r="Y4" s="179"/>
      <c r="Z4" s="182"/>
      <c r="AA4" s="183"/>
      <c r="AB4" s="183"/>
      <c r="AC4" s="182"/>
      <c r="AD4" s="183"/>
      <c r="AE4" s="184"/>
      <c r="AF4" s="179"/>
      <c r="AG4" s="182"/>
      <c r="AH4" s="185"/>
      <c r="AI4" s="185"/>
      <c r="AJ4" s="182"/>
      <c r="AK4" s="183"/>
      <c r="AL4" s="179"/>
      <c r="AM4" s="179"/>
      <c r="AN4" s="182"/>
      <c r="AO4" s="182"/>
      <c r="AP4" s="182"/>
      <c r="AQ4" s="182"/>
      <c r="AR4" s="183"/>
      <c r="AS4" s="179"/>
      <c r="AT4" s="179"/>
      <c r="AU4" s="182"/>
      <c r="AV4" s="183"/>
      <c r="AW4" s="182"/>
      <c r="AX4" s="183"/>
      <c r="AY4" s="179"/>
      <c r="AZ4" s="179"/>
      <c r="BA4" s="182"/>
      <c r="BB4" s="183"/>
      <c r="BC4" s="183"/>
      <c r="BD4" s="182"/>
      <c r="BE4" s="183"/>
      <c r="BF4" s="186"/>
      <c r="BG4" s="187"/>
      <c r="BH4" s="160"/>
      <c r="BI4" s="458"/>
      <c r="BJ4" s="459"/>
      <c r="BK4" s="459"/>
      <c r="BL4" s="459"/>
      <c r="BM4" s="460"/>
      <c r="BN4" s="460"/>
      <c r="BO4" s="460"/>
      <c r="BP4" s="459"/>
      <c r="BQ4" s="459"/>
      <c r="BR4" s="459"/>
      <c r="BS4" s="459"/>
      <c r="BT4" s="459"/>
      <c r="BU4" s="459"/>
      <c r="BV4" s="459"/>
      <c r="BW4" s="459"/>
      <c r="BX4" s="459"/>
      <c r="BY4" s="459"/>
      <c r="BZ4" s="459"/>
      <c r="CA4" s="459"/>
      <c r="CB4" s="461"/>
      <c r="CC4" s="459"/>
      <c r="CD4" s="459"/>
      <c r="CE4" s="461"/>
      <c r="CF4" s="461"/>
      <c r="CG4" s="461"/>
      <c r="CH4" s="461"/>
      <c r="CI4" s="459"/>
      <c r="CJ4" s="459"/>
      <c r="CK4" s="461"/>
      <c r="CL4" s="461"/>
      <c r="CM4" s="461"/>
      <c r="CN4" s="355"/>
      <c r="CO4" s="396"/>
      <c r="CP4" s="396"/>
      <c r="CQ4" s="160"/>
      <c r="CR4" s="160"/>
      <c r="CS4" s="160"/>
      <c r="CT4" s="160"/>
      <c r="CU4" s="160"/>
      <c r="CV4" s="160"/>
      <c r="CW4" s="160"/>
      <c r="CX4" s="160"/>
      <c r="CY4" s="160"/>
      <c r="CZ4" s="160"/>
      <c r="DA4" s="160"/>
      <c r="DB4" s="160"/>
      <c r="DC4" s="160"/>
      <c r="DD4" s="160"/>
      <c r="DE4" s="160"/>
      <c r="DF4" s="160"/>
      <c r="DG4" s="160"/>
      <c r="DH4" s="160"/>
      <c r="DI4" s="160"/>
      <c r="DJ4" s="160"/>
      <c r="DK4" s="160"/>
      <c r="DL4" s="160"/>
      <c r="DM4" s="160"/>
      <c r="DN4" s="160"/>
      <c r="DO4" s="160"/>
      <c r="DP4" s="160"/>
      <c r="DQ4" s="160"/>
      <c r="DR4" s="160"/>
      <c r="DS4" s="160"/>
      <c r="DT4" s="160"/>
      <c r="DU4" s="160"/>
      <c r="DV4" s="160"/>
      <c r="DW4" s="161"/>
      <c r="DX4" s="161"/>
      <c r="DY4" s="161"/>
      <c r="DZ4" s="161"/>
      <c r="EA4" s="161"/>
      <c r="EB4" s="161"/>
      <c r="EC4" s="161"/>
      <c r="ED4" s="161"/>
    </row>
    <row r="5" spans="1:134" s="147" customFormat="1" ht="18.75" customHeight="1" thickBot="1" x14ac:dyDescent="0.3">
      <c r="A5" s="146"/>
      <c r="B5" s="775" t="s">
        <v>95</v>
      </c>
      <c r="C5" s="776"/>
      <c r="D5" s="776"/>
      <c r="E5" s="776"/>
      <c r="F5" s="776"/>
      <c r="G5" s="776"/>
      <c r="H5" s="776"/>
      <c r="I5" s="776"/>
      <c r="J5" s="776"/>
      <c r="K5" s="776"/>
      <c r="L5" s="776"/>
      <c r="M5" s="776"/>
      <c r="N5" s="776"/>
      <c r="O5" s="776"/>
      <c r="P5" s="776"/>
      <c r="Q5" s="776"/>
      <c r="R5" s="776"/>
      <c r="S5" s="776"/>
      <c r="T5" s="776"/>
      <c r="U5" s="776"/>
      <c r="V5" s="776"/>
      <c r="W5" s="776"/>
      <c r="X5" s="776"/>
      <c r="Y5" s="776"/>
      <c r="Z5" s="776"/>
      <c r="AA5" s="776"/>
      <c r="AB5" s="776"/>
      <c r="AC5" s="776"/>
      <c r="AD5" s="777"/>
      <c r="BH5" s="160"/>
      <c r="BI5" s="200"/>
      <c r="BJ5" s="462"/>
      <c r="BK5" s="462"/>
      <c r="BL5" s="462"/>
      <c r="BM5" s="463"/>
      <c r="BN5" s="463"/>
      <c r="BO5" s="463"/>
      <c r="BP5" s="462"/>
      <c r="BQ5" s="462"/>
      <c r="BR5" s="462"/>
      <c r="BS5" s="462"/>
      <c r="BT5" s="462"/>
      <c r="BU5" s="462"/>
      <c r="BV5" s="462"/>
      <c r="BW5" s="462"/>
      <c r="BX5" s="462"/>
      <c r="BY5" s="462"/>
      <c r="BZ5" s="462"/>
      <c r="CA5" s="462"/>
      <c r="CB5" s="464"/>
      <c r="CC5" s="462"/>
      <c r="CD5" s="462"/>
      <c r="CE5" s="464"/>
      <c r="CF5" s="464"/>
      <c r="CG5" s="464"/>
      <c r="CH5" s="464"/>
      <c r="CI5" s="462"/>
      <c r="CJ5" s="462"/>
      <c r="CK5" s="464"/>
      <c r="CL5" s="464"/>
      <c r="CM5" s="464"/>
      <c r="CN5" s="357"/>
      <c r="CO5" s="346"/>
      <c r="CP5" s="346"/>
      <c r="CQ5" s="171"/>
      <c r="CR5" s="171"/>
      <c r="CS5" s="171"/>
      <c r="CT5" s="171"/>
      <c r="CU5" s="171"/>
      <c r="CV5" s="171"/>
      <c r="CW5" s="171"/>
      <c r="CX5" s="171"/>
      <c r="CY5" s="171"/>
      <c r="CZ5" s="171"/>
      <c r="DA5" s="171"/>
      <c r="DB5" s="171"/>
      <c r="DC5" s="171"/>
      <c r="DD5" s="171"/>
      <c r="DE5" s="171"/>
      <c r="DF5" s="171"/>
      <c r="DG5" s="171"/>
      <c r="DH5" s="171"/>
      <c r="DI5" s="171"/>
      <c r="DJ5" s="171"/>
      <c r="DK5" s="171"/>
      <c r="DL5" s="171"/>
      <c r="DM5" s="171"/>
      <c r="DN5" s="171"/>
      <c r="DO5" s="171"/>
      <c r="DP5" s="171"/>
      <c r="DQ5" s="171"/>
      <c r="DR5" s="171"/>
      <c r="DS5" s="171"/>
      <c r="DT5" s="171"/>
      <c r="DU5" s="171"/>
      <c r="DV5" s="171"/>
      <c r="DW5" s="170"/>
      <c r="DX5" s="170"/>
      <c r="DY5" s="170"/>
      <c r="DZ5" s="170"/>
      <c r="EA5" s="170"/>
      <c r="EB5" s="170"/>
      <c r="EC5" s="170"/>
      <c r="ED5" s="170"/>
    </row>
    <row r="6" spans="1:134" s="147" customFormat="1" ht="15.75" thickBot="1" x14ac:dyDescent="0.3">
      <c r="A6" s="146"/>
      <c r="B6" s="140" t="s">
        <v>96</v>
      </c>
      <c r="C6" s="783" t="s">
        <v>970</v>
      </c>
      <c r="D6" s="783"/>
      <c r="E6" s="783"/>
      <c r="F6" s="783"/>
      <c r="G6" s="783"/>
      <c r="H6" s="783"/>
      <c r="I6" s="783"/>
      <c r="J6" s="783"/>
      <c r="K6" s="783"/>
      <c r="L6" s="141" t="s">
        <v>97</v>
      </c>
      <c r="M6" s="769" t="s">
        <v>976</v>
      </c>
      <c r="N6" s="769"/>
      <c r="O6" s="769"/>
      <c r="P6" s="769"/>
      <c r="Q6" s="769"/>
      <c r="R6" s="769"/>
      <c r="S6" s="769"/>
      <c r="T6" s="769"/>
      <c r="U6" s="769"/>
      <c r="V6" s="769"/>
      <c r="W6" s="769"/>
      <c r="X6" s="769"/>
      <c r="Y6" s="769"/>
      <c r="Z6" s="769"/>
      <c r="AA6" s="769"/>
      <c r="AB6" s="769"/>
      <c r="AC6" s="769"/>
      <c r="AD6" s="423"/>
      <c r="BH6" s="160"/>
      <c r="BI6" s="200"/>
      <c r="BJ6" s="462"/>
      <c r="BK6" s="462"/>
      <c r="BL6" s="462"/>
      <c r="BM6" s="463"/>
      <c r="BN6" s="463"/>
      <c r="BO6" s="463"/>
      <c r="BP6" s="462"/>
      <c r="BQ6" s="462"/>
      <c r="BR6" s="462"/>
      <c r="BS6" s="462"/>
      <c r="BT6" s="462"/>
      <c r="BU6" s="462"/>
      <c r="BV6" s="462"/>
      <c r="BW6" s="462"/>
      <c r="BX6" s="462"/>
      <c r="BY6" s="462"/>
      <c r="BZ6" s="462"/>
      <c r="CA6" s="462"/>
      <c r="CB6" s="464"/>
      <c r="CC6" s="462"/>
      <c r="CD6" s="462"/>
      <c r="CE6" s="464"/>
      <c r="CF6" s="464"/>
      <c r="CG6" s="464"/>
      <c r="CH6" s="464"/>
      <c r="CI6" s="462"/>
      <c r="CJ6" s="462"/>
      <c r="CK6" s="464"/>
      <c r="CL6" s="464"/>
      <c r="CM6" s="464"/>
      <c r="CN6" s="357"/>
      <c r="CO6" s="346"/>
      <c r="CP6" s="346"/>
      <c r="CQ6" s="171"/>
      <c r="CR6" s="171"/>
      <c r="CS6" s="171"/>
      <c r="CT6" s="171"/>
      <c r="CU6" s="171"/>
      <c r="CV6" s="171"/>
      <c r="CW6" s="171"/>
      <c r="CX6" s="171"/>
      <c r="CY6" s="171"/>
      <c r="CZ6" s="171"/>
      <c r="DA6" s="171"/>
      <c r="DB6" s="171"/>
      <c r="DC6" s="171"/>
      <c r="DD6" s="171"/>
      <c r="DE6" s="171"/>
      <c r="DF6" s="171"/>
      <c r="DG6" s="171"/>
      <c r="DH6" s="171"/>
      <c r="DI6" s="171"/>
      <c r="DJ6" s="171"/>
      <c r="DK6" s="171"/>
      <c r="DL6" s="171"/>
      <c r="DM6" s="171"/>
      <c r="DN6" s="171"/>
      <c r="DO6" s="171"/>
      <c r="DP6" s="171"/>
      <c r="DQ6" s="171"/>
      <c r="DR6" s="171"/>
      <c r="DS6" s="171"/>
      <c r="DT6" s="171"/>
      <c r="DU6" s="171"/>
      <c r="DV6" s="171"/>
      <c r="DW6" s="170"/>
      <c r="DX6" s="170"/>
      <c r="DY6" s="170"/>
      <c r="DZ6" s="170"/>
      <c r="EA6" s="170"/>
      <c r="EB6" s="170"/>
      <c r="EC6" s="170"/>
      <c r="ED6" s="170"/>
    </row>
    <row r="7" spans="1:134" s="147" customFormat="1" ht="15.75" thickBot="1" x14ac:dyDescent="0.3">
      <c r="A7" s="146"/>
      <c r="B7" s="137" t="s">
        <v>98</v>
      </c>
      <c r="C7" s="784" t="s">
        <v>971</v>
      </c>
      <c r="D7" s="784"/>
      <c r="E7" s="784"/>
      <c r="F7" s="784"/>
      <c r="G7" s="784"/>
      <c r="H7" s="784"/>
      <c r="I7" s="784"/>
      <c r="J7" s="784"/>
      <c r="K7" s="784"/>
      <c r="L7" s="420" t="s">
        <v>99</v>
      </c>
      <c r="M7" s="770" t="s">
        <v>972</v>
      </c>
      <c r="N7" s="770"/>
      <c r="O7" s="770"/>
      <c r="P7" s="770"/>
      <c r="Q7" s="770"/>
      <c r="R7" s="770"/>
      <c r="S7" s="770"/>
      <c r="T7" s="770"/>
      <c r="U7" s="770"/>
      <c r="V7" s="770"/>
      <c r="W7" s="770"/>
      <c r="X7" s="770"/>
      <c r="Y7" s="770"/>
      <c r="Z7" s="770"/>
      <c r="AA7" s="770"/>
      <c r="AB7" s="770"/>
      <c r="AC7" s="770"/>
      <c r="AD7" s="421"/>
      <c r="BH7" s="160"/>
      <c r="BI7" s="200"/>
      <c r="BJ7" s="462"/>
      <c r="BK7" s="462"/>
      <c r="BL7" s="462"/>
      <c r="BM7" s="463"/>
      <c r="BN7" s="463"/>
      <c r="BO7" s="463"/>
      <c r="BP7" s="462"/>
      <c r="BQ7" s="462"/>
      <c r="BR7" s="462"/>
      <c r="BS7" s="462"/>
      <c r="BT7" s="462"/>
      <c r="BU7" s="462"/>
      <c r="BV7" s="462"/>
      <c r="BW7" s="462"/>
      <c r="BX7" s="462"/>
      <c r="BY7" s="462"/>
      <c r="BZ7" s="462"/>
      <c r="CA7" s="462"/>
      <c r="CB7" s="464"/>
      <c r="CC7" s="462"/>
      <c r="CD7" s="462"/>
      <c r="CE7" s="464"/>
      <c r="CF7" s="464"/>
      <c r="CG7" s="464"/>
      <c r="CH7" s="464"/>
      <c r="CI7" s="462"/>
      <c r="CJ7" s="462"/>
      <c r="CK7" s="464"/>
      <c r="CL7" s="464"/>
      <c r="CM7" s="464"/>
      <c r="CN7" s="357"/>
      <c r="CO7" s="346"/>
      <c r="CP7" s="346"/>
      <c r="CQ7" s="171"/>
      <c r="CR7" s="171"/>
      <c r="CS7" s="171"/>
      <c r="CT7" s="171"/>
      <c r="CU7" s="171"/>
      <c r="CV7" s="171"/>
      <c r="CW7" s="171"/>
      <c r="CX7" s="171"/>
      <c r="CY7" s="171"/>
      <c r="CZ7" s="171"/>
      <c r="DA7" s="171"/>
      <c r="DB7" s="171"/>
      <c r="DC7" s="171"/>
      <c r="DD7" s="171"/>
      <c r="DE7" s="171"/>
      <c r="DF7" s="171"/>
      <c r="DG7" s="171"/>
      <c r="DH7" s="171"/>
      <c r="DI7" s="171"/>
      <c r="DJ7" s="171"/>
      <c r="DK7" s="171"/>
      <c r="DL7" s="171"/>
      <c r="DM7" s="171"/>
      <c r="DN7" s="171"/>
      <c r="DO7" s="171"/>
      <c r="DP7" s="171"/>
      <c r="DQ7" s="171"/>
      <c r="DR7" s="171"/>
      <c r="DS7" s="171"/>
      <c r="DT7" s="171"/>
      <c r="DU7" s="171"/>
      <c r="DV7" s="171"/>
      <c r="DW7" s="170"/>
      <c r="DX7" s="170"/>
      <c r="DY7" s="170"/>
      <c r="DZ7" s="170"/>
      <c r="EA7" s="170"/>
      <c r="EB7" s="170"/>
      <c r="EC7" s="170"/>
      <c r="ED7" s="170"/>
    </row>
    <row r="8" spans="1:134" s="147" customFormat="1" ht="15.75" thickBot="1" x14ac:dyDescent="0.3">
      <c r="A8" s="146"/>
      <c r="B8" s="137" t="s">
        <v>100</v>
      </c>
      <c r="C8" s="784" t="s">
        <v>979</v>
      </c>
      <c r="D8" s="784"/>
      <c r="E8" s="784"/>
      <c r="F8" s="784"/>
      <c r="G8" s="784"/>
      <c r="H8" s="784"/>
      <c r="I8" s="784"/>
      <c r="J8" s="784"/>
      <c r="K8" s="784"/>
      <c r="L8" s="420" t="s">
        <v>101</v>
      </c>
      <c r="M8" s="770"/>
      <c r="N8" s="770"/>
      <c r="O8" s="770"/>
      <c r="P8" s="770"/>
      <c r="Q8" s="770"/>
      <c r="R8" s="770"/>
      <c r="S8" s="770"/>
      <c r="T8" s="770"/>
      <c r="U8" s="770"/>
      <c r="V8" s="770"/>
      <c r="W8" s="770"/>
      <c r="X8" s="770"/>
      <c r="Y8" s="770"/>
      <c r="Z8" s="770"/>
      <c r="AA8" s="770"/>
      <c r="AB8" s="770"/>
      <c r="AC8" s="770"/>
      <c r="AD8" s="421"/>
      <c r="BH8" s="160"/>
      <c r="BI8" s="200"/>
      <c r="BJ8" s="462"/>
      <c r="BK8" s="462"/>
      <c r="BL8" s="462"/>
      <c r="BM8" s="463"/>
      <c r="BN8" s="463"/>
      <c r="BO8" s="463"/>
      <c r="BP8" s="462"/>
      <c r="BQ8" s="462"/>
      <c r="BR8" s="462"/>
      <c r="BS8" s="462"/>
      <c r="BT8" s="462"/>
      <c r="BU8" s="462"/>
      <c r="BV8" s="462"/>
      <c r="BW8" s="462"/>
      <c r="BX8" s="462"/>
      <c r="BY8" s="462"/>
      <c r="BZ8" s="462"/>
      <c r="CA8" s="462"/>
      <c r="CB8" s="464"/>
      <c r="CC8" s="462"/>
      <c r="CD8" s="462"/>
      <c r="CE8" s="464"/>
      <c r="CF8" s="464"/>
      <c r="CG8" s="464"/>
      <c r="CH8" s="464"/>
      <c r="CI8" s="462"/>
      <c r="CJ8" s="462"/>
      <c r="CK8" s="464"/>
      <c r="CL8" s="464"/>
      <c r="CM8" s="464"/>
      <c r="CN8" s="357"/>
      <c r="CO8" s="346"/>
      <c r="CP8" s="346"/>
      <c r="CQ8" s="171"/>
      <c r="CR8" s="171"/>
      <c r="CS8" s="171"/>
      <c r="CT8" s="171"/>
      <c r="CU8" s="171"/>
      <c r="CV8" s="171"/>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0"/>
      <c r="DX8" s="170"/>
      <c r="DY8" s="170"/>
      <c r="DZ8" s="170"/>
      <c r="EA8" s="170"/>
      <c r="EB8" s="170"/>
      <c r="EC8" s="170"/>
      <c r="ED8" s="170"/>
    </row>
    <row r="9" spans="1:134" s="147" customFormat="1" ht="15.75" thickBot="1" x14ac:dyDescent="0.3">
      <c r="A9" s="146"/>
      <c r="B9" s="137" t="s">
        <v>102</v>
      </c>
      <c r="C9" s="784" t="s">
        <v>980</v>
      </c>
      <c r="D9" s="784"/>
      <c r="E9" s="784"/>
      <c r="F9" s="784"/>
      <c r="G9" s="784"/>
      <c r="H9" s="784"/>
      <c r="I9" s="784"/>
      <c r="J9" s="784"/>
      <c r="K9" s="784"/>
      <c r="L9" s="420" t="s">
        <v>103</v>
      </c>
      <c r="M9" s="770">
        <v>2016</v>
      </c>
      <c r="N9" s="770"/>
      <c r="O9" s="770"/>
      <c r="P9" s="770"/>
      <c r="Q9" s="770"/>
      <c r="R9" s="770"/>
      <c r="S9" s="770"/>
      <c r="T9" s="770"/>
      <c r="U9" s="770"/>
      <c r="V9" s="770"/>
      <c r="W9" s="770"/>
      <c r="X9" s="770"/>
      <c r="Y9" s="770"/>
      <c r="Z9" s="770"/>
      <c r="AA9" s="770"/>
      <c r="AB9" s="770"/>
      <c r="AC9" s="770"/>
      <c r="AD9" s="421"/>
      <c r="BH9" s="160"/>
      <c r="BI9" s="200"/>
      <c r="BJ9" s="462"/>
      <c r="BK9" s="462"/>
      <c r="BL9" s="462"/>
      <c r="BM9" s="463"/>
      <c r="BN9" s="463"/>
      <c r="BO9" s="463"/>
      <c r="BP9" s="462"/>
      <c r="BQ9" s="462"/>
      <c r="BR9" s="462"/>
      <c r="BS9" s="462"/>
      <c r="BT9" s="462"/>
      <c r="BU9" s="462"/>
      <c r="BV9" s="462"/>
      <c r="BW9" s="462"/>
      <c r="BX9" s="462"/>
      <c r="BY9" s="462"/>
      <c r="BZ9" s="462"/>
      <c r="CA9" s="462"/>
      <c r="CB9" s="464"/>
      <c r="CC9" s="462"/>
      <c r="CD9" s="462"/>
      <c r="CE9" s="464"/>
      <c r="CF9" s="464"/>
      <c r="CG9" s="464"/>
      <c r="CH9" s="464"/>
      <c r="CI9" s="462"/>
      <c r="CJ9" s="462"/>
      <c r="CK9" s="464"/>
      <c r="CL9" s="464"/>
      <c r="CM9" s="464"/>
      <c r="CN9" s="357"/>
      <c r="CO9" s="346"/>
      <c r="CP9" s="346"/>
      <c r="CQ9" s="171"/>
      <c r="CR9" s="171"/>
      <c r="CS9" s="171"/>
      <c r="CT9" s="171"/>
      <c r="CU9" s="171"/>
      <c r="CV9" s="171"/>
      <c r="CW9" s="171"/>
      <c r="CX9" s="171"/>
      <c r="CY9" s="171"/>
      <c r="CZ9" s="171"/>
      <c r="DA9" s="171"/>
      <c r="DB9" s="171"/>
      <c r="DC9" s="171"/>
      <c r="DD9" s="171"/>
      <c r="DE9" s="171"/>
      <c r="DF9" s="171"/>
      <c r="DG9" s="171"/>
      <c r="DH9" s="171"/>
      <c r="DI9" s="171"/>
      <c r="DJ9" s="171"/>
      <c r="DK9" s="171"/>
      <c r="DL9" s="171"/>
      <c r="DM9" s="171"/>
      <c r="DN9" s="171"/>
      <c r="DO9" s="171"/>
      <c r="DP9" s="171"/>
      <c r="DQ9" s="171"/>
      <c r="DR9" s="171"/>
      <c r="DS9" s="171"/>
      <c r="DT9" s="171"/>
      <c r="DU9" s="171"/>
      <c r="DV9" s="171"/>
      <c r="DW9" s="170"/>
      <c r="DX9" s="170"/>
      <c r="DY9" s="170"/>
      <c r="DZ9" s="170"/>
      <c r="EA9" s="170"/>
      <c r="EB9" s="170"/>
      <c r="EC9" s="170"/>
      <c r="ED9" s="170"/>
    </row>
    <row r="10" spans="1:134" s="147" customFormat="1" ht="15.75" thickBot="1" x14ac:dyDescent="0.3">
      <c r="A10" s="146"/>
      <c r="B10" s="138" t="s">
        <v>230</v>
      </c>
      <c r="C10" s="785" t="s">
        <v>981</v>
      </c>
      <c r="D10" s="786"/>
      <c r="E10" s="786"/>
      <c r="F10" s="786"/>
      <c r="G10" s="786"/>
      <c r="H10" s="786"/>
      <c r="I10" s="786"/>
      <c r="J10" s="786"/>
      <c r="K10" s="786"/>
      <c r="L10" s="139" t="s">
        <v>104</v>
      </c>
      <c r="M10" s="771" t="s">
        <v>975</v>
      </c>
      <c r="N10" s="772"/>
      <c r="O10" s="772"/>
      <c r="P10" s="772"/>
      <c r="Q10" s="772"/>
      <c r="R10" s="772"/>
      <c r="S10" s="772"/>
      <c r="T10" s="772"/>
      <c r="U10" s="772"/>
      <c r="V10" s="772"/>
      <c r="W10" s="772"/>
      <c r="X10" s="772"/>
      <c r="Y10" s="772"/>
      <c r="Z10" s="772"/>
      <c r="AA10" s="772"/>
      <c r="AB10" s="772"/>
      <c r="AC10" s="772"/>
      <c r="AD10" s="422"/>
      <c r="BH10" s="160"/>
      <c r="BI10" s="200"/>
      <c r="BJ10" s="462"/>
      <c r="BK10" s="462"/>
      <c r="BL10" s="462"/>
      <c r="BM10" s="463"/>
      <c r="BN10" s="463"/>
      <c r="BO10" s="463"/>
      <c r="BP10" s="465"/>
      <c r="BQ10" s="465"/>
      <c r="BR10" s="465"/>
      <c r="BS10" s="465"/>
      <c r="BT10" s="465"/>
      <c r="BU10" s="465"/>
      <c r="BV10" s="462"/>
      <c r="BW10" s="465"/>
      <c r="BX10" s="465"/>
      <c r="BY10" s="462"/>
      <c r="BZ10" s="462"/>
      <c r="CA10" s="462"/>
      <c r="CB10" s="464"/>
      <c r="CC10" s="465"/>
      <c r="CD10" s="465"/>
      <c r="CE10" s="464"/>
      <c r="CF10" s="464"/>
      <c r="CG10" s="464"/>
      <c r="CH10" s="464"/>
      <c r="CI10" s="465"/>
      <c r="CJ10" s="465"/>
      <c r="CK10" s="464"/>
      <c r="CL10" s="464"/>
      <c r="CM10" s="464"/>
      <c r="CN10" s="357"/>
      <c r="CO10" s="346"/>
      <c r="CP10" s="346"/>
      <c r="CQ10" s="171"/>
      <c r="CR10" s="171"/>
      <c r="CS10" s="171"/>
      <c r="CT10" s="171"/>
      <c r="CU10" s="171"/>
      <c r="CV10" s="171"/>
      <c r="CW10" s="171"/>
      <c r="CX10" s="171"/>
      <c r="CY10" s="171"/>
      <c r="CZ10" s="171"/>
      <c r="DA10" s="171"/>
      <c r="DB10" s="171"/>
      <c r="DC10" s="171"/>
      <c r="DD10" s="171"/>
      <c r="DE10" s="171"/>
      <c r="DF10" s="171"/>
      <c r="DG10" s="171"/>
      <c r="DH10" s="171"/>
      <c r="DI10" s="171"/>
      <c r="DJ10" s="171"/>
      <c r="DK10" s="171"/>
      <c r="DL10" s="171"/>
      <c r="DM10" s="171"/>
      <c r="DN10" s="171"/>
      <c r="DO10" s="171"/>
      <c r="DP10" s="171"/>
      <c r="DQ10" s="171"/>
      <c r="DR10" s="171"/>
      <c r="DS10" s="171"/>
      <c r="DT10" s="171"/>
      <c r="DU10" s="171"/>
      <c r="DV10" s="171"/>
      <c r="DW10" s="170"/>
      <c r="DX10" s="170"/>
      <c r="DY10" s="170"/>
      <c r="DZ10" s="170"/>
      <c r="EA10" s="170"/>
      <c r="EB10" s="170"/>
      <c r="EC10" s="170"/>
      <c r="ED10" s="170"/>
    </row>
    <row r="11" spans="1:134" s="146" customFormat="1" ht="15.75" thickBot="1" x14ac:dyDescent="0.3">
      <c r="B11" s="188"/>
      <c r="C11" s="189"/>
      <c r="D11" s="189"/>
      <c r="E11" s="190"/>
      <c r="F11" s="190"/>
      <c r="G11" s="190"/>
      <c r="H11" s="190"/>
      <c r="I11" s="190"/>
      <c r="J11" s="190"/>
      <c r="K11" s="190"/>
      <c r="L11" s="190"/>
      <c r="M11" s="190"/>
      <c r="N11" s="190"/>
      <c r="O11" s="190"/>
      <c r="P11" s="190"/>
      <c r="Q11" s="190"/>
      <c r="R11" s="191"/>
      <c r="S11" s="190"/>
      <c r="T11" s="190"/>
      <c r="U11" s="190"/>
      <c r="V11" s="192"/>
      <c r="W11" s="192"/>
      <c r="X11" s="189"/>
      <c r="Y11" s="193"/>
      <c r="Z11" s="194"/>
      <c r="AA11" s="195"/>
      <c r="AB11" s="195"/>
      <c r="AC11" s="194"/>
      <c r="AD11" s="195"/>
      <c r="AE11" s="196"/>
      <c r="AF11" s="193"/>
      <c r="AG11" s="194"/>
      <c r="AH11" s="197"/>
      <c r="AI11" s="197"/>
      <c r="AJ11" s="194"/>
      <c r="AK11" s="195"/>
      <c r="AL11" s="189"/>
      <c r="AM11" s="193"/>
      <c r="AN11" s="194"/>
      <c r="AO11" s="194"/>
      <c r="AP11" s="194"/>
      <c r="AQ11" s="194"/>
      <c r="AR11" s="195"/>
      <c r="AS11" s="189"/>
      <c r="AT11" s="193"/>
      <c r="AU11" s="194"/>
      <c r="AV11" s="195"/>
      <c r="AW11" s="194"/>
      <c r="AX11" s="195"/>
      <c r="AY11" s="189"/>
      <c r="AZ11" s="193"/>
      <c r="BA11" s="194"/>
      <c r="BB11" s="195"/>
      <c r="BC11" s="195"/>
      <c r="BD11" s="194"/>
      <c r="BE11" s="195"/>
      <c r="BF11" s="198"/>
      <c r="BG11" s="199"/>
      <c r="BH11" s="160"/>
      <c r="BI11" s="458"/>
      <c r="BJ11" s="459"/>
      <c r="BK11" s="459"/>
      <c r="BL11" s="459"/>
      <c r="BM11" s="460"/>
      <c r="BN11" s="460"/>
      <c r="BO11" s="460"/>
      <c r="BP11" s="466"/>
      <c r="BQ11" s="466"/>
      <c r="BR11" s="466"/>
      <c r="BS11" s="466"/>
      <c r="BT11" s="466"/>
      <c r="BU11" s="466"/>
      <c r="BV11" s="459"/>
      <c r="BW11" s="466"/>
      <c r="BX11" s="466"/>
      <c r="BY11" s="459"/>
      <c r="BZ11" s="459"/>
      <c r="CA11" s="459"/>
      <c r="CB11" s="461"/>
      <c r="CC11" s="466"/>
      <c r="CD11" s="466"/>
      <c r="CE11" s="461"/>
      <c r="CF11" s="461"/>
      <c r="CG11" s="461"/>
      <c r="CH11" s="461"/>
      <c r="CI11" s="466"/>
      <c r="CJ11" s="466"/>
      <c r="CK11" s="461"/>
      <c r="CL11" s="461"/>
      <c r="CM11" s="461"/>
      <c r="CN11" s="355"/>
      <c r="CO11" s="396"/>
      <c r="CP11" s="396"/>
      <c r="CQ11" s="160"/>
      <c r="CR11" s="160"/>
      <c r="CS11" s="160"/>
      <c r="CT11" s="160"/>
      <c r="CU11" s="160"/>
      <c r="CV11" s="160"/>
      <c r="CW11" s="160"/>
      <c r="CX11" s="160"/>
      <c r="CY11" s="160"/>
      <c r="CZ11" s="160"/>
      <c r="DA11" s="160"/>
      <c r="DB11" s="160"/>
      <c r="DC11" s="160"/>
      <c r="DD11" s="160"/>
      <c r="DE11" s="160"/>
      <c r="DF11" s="160"/>
      <c r="DG11" s="160"/>
      <c r="DH11" s="160"/>
      <c r="DI11" s="160"/>
      <c r="DJ11" s="160"/>
      <c r="DK11" s="160"/>
      <c r="DL11" s="160"/>
      <c r="DM11" s="160"/>
      <c r="DN11" s="160"/>
      <c r="DO11" s="160"/>
      <c r="DP11" s="160"/>
      <c r="DQ11" s="160"/>
      <c r="DR11" s="160"/>
      <c r="DS11" s="160"/>
      <c r="DT11" s="160"/>
      <c r="DU11" s="160"/>
      <c r="DV11" s="160"/>
      <c r="DW11" s="161"/>
      <c r="DX11" s="161"/>
      <c r="DY11" s="161"/>
      <c r="DZ11" s="161"/>
      <c r="EA11" s="161"/>
      <c r="EB11" s="161"/>
      <c r="EC11" s="161"/>
      <c r="ED11" s="161"/>
    </row>
    <row r="12" spans="1:134" s="200" customFormat="1" ht="30.75" customHeight="1" x14ac:dyDescent="0.25">
      <c r="A12" s="146"/>
      <c r="B12" s="753" t="s">
        <v>105</v>
      </c>
      <c r="C12" s="754"/>
      <c r="D12" s="754"/>
      <c r="E12" s="754"/>
      <c r="F12" s="754"/>
      <c r="G12" s="754"/>
      <c r="H12" s="754"/>
      <c r="I12" s="754"/>
      <c r="J12" s="754"/>
      <c r="K12" s="754"/>
      <c r="L12" s="754"/>
      <c r="M12" s="754"/>
      <c r="N12" s="754"/>
      <c r="O12" s="754"/>
      <c r="P12" s="754"/>
      <c r="Q12" s="754"/>
      <c r="R12" s="754"/>
      <c r="S12" s="754"/>
      <c r="T12" s="754"/>
      <c r="U12" s="754"/>
      <c r="V12" s="754"/>
      <c r="W12" s="754"/>
      <c r="X12" s="754"/>
      <c r="Y12" s="754"/>
      <c r="Z12" s="754"/>
      <c r="AA12" s="754"/>
      <c r="AB12" s="754"/>
      <c r="AC12" s="754"/>
      <c r="AD12" s="754"/>
      <c r="AE12" s="754"/>
      <c r="AF12" s="754"/>
      <c r="AG12" s="754"/>
      <c r="AH12" s="754"/>
      <c r="AI12" s="754"/>
      <c r="AJ12" s="754"/>
      <c r="AK12" s="754"/>
      <c r="AL12" s="754"/>
      <c r="AM12" s="754"/>
      <c r="AN12" s="754"/>
      <c r="AO12" s="754"/>
      <c r="AP12" s="754"/>
      <c r="AQ12" s="754"/>
      <c r="AR12" s="754"/>
      <c r="AS12" s="754"/>
      <c r="AT12" s="754"/>
      <c r="AU12" s="754"/>
      <c r="AV12" s="754"/>
      <c r="AW12" s="754"/>
      <c r="AX12" s="754"/>
      <c r="AY12" s="754"/>
      <c r="AZ12" s="754"/>
      <c r="BA12" s="754"/>
      <c r="BB12" s="754"/>
      <c r="BC12" s="754"/>
      <c r="BD12" s="754"/>
      <c r="BE12" s="754"/>
      <c r="BF12" s="754"/>
      <c r="BG12" s="755"/>
      <c r="BH12" s="160"/>
      <c r="BJ12" s="462"/>
      <c r="BK12" s="462"/>
      <c r="BL12" s="462"/>
      <c r="BM12" s="463"/>
      <c r="BN12" s="463"/>
      <c r="BO12" s="463"/>
      <c r="BP12" s="462"/>
      <c r="BQ12" s="462"/>
      <c r="BR12" s="462"/>
      <c r="BS12" s="462"/>
      <c r="BT12" s="462"/>
      <c r="BU12" s="462"/>
      <c r="BV12" s="462"/>
      <c r="BW12" s="462"/>
      <c r="BX12" s="462"/>
      <c r="BY12" s="462"/>
      <c r="BZ12" s="462"/>
      <c r="CA12" s="462"/>
      <c r="CB12" s="464"/>
      <c r="CC12" s="462"/>
      <c r="CD12" s="462"/>
      <c r="CE12" s="464"/>
      <c r="CF12" s="464"/>
      <c r="CG12" s="464"/>
      <c r="CH12" s="464"/>
      <c r="CI12" s="462"/>
      <c r="CJ12" s="462"/>
      <c r="CK12" s="464"/>
      <c r="CL12" s="464"/>
      <c r="CM12" s="464"/>
      <c r="CN12" s="357"/>
      <c r="CO12" s="346"/>
      <c r="CP12" s="346"/>
      <c r="CQ12" s="171"/>
      <c r="CR12" s="171"/>
      <c r="CS12" s="171"/>
      <c r="CT12" s="171"/>
      <c r="CU12" s="171"/>
      <c r="CV12" s="171"/>
      <c r="CW12" s="171"/>
      <c r="CX12" s="171"/>
      <c r="CY12" s="171"/>
      <c r="CZ12" s="171"/>
      <c r="DA12" s="171"/>
      <c r="DB12" s="171"/>
      <c r="DC12" s="171"/>
      <c r="DD12" s="171"/>
      <c r="DE12" s="171"/>
      <c r="DF12" s="171"/>
      <c r="DG12" s="171"/>
      <c r="DH12" s="171"/>
      <c r="DI12" s="171"/>
      <c r="DJ12" s="171"/>
      <c r="DK12" s="171"/>
      <c r="DL12" s="171"/>
      <c r="DM12" s="171"/>
      <c r="DN12" s="171"/>
      <c r="DO12" s="171"/>
      <c r="DP12" s="171"/>
      <c r="DQ12" s="171"/>
      <c r="DR12" s="171"/>
      <c r="DS12" s="171"/>
      <c r="DT12" s="171"/>
      <c r="DU12" s="171"/>
      <c r="DV12" s="171"/>
      <c r="DW12" s="170"/>
      <c r="DX12" s="170"/>
      <c r="DY12" s="170"/>
      <c r="DZ12" s="170"/>
      <c r="EA12" s="170"/>
      <c r="EB12" s="170"/>
      <c r="EC12" s="170"/>
      <c r="ED12" s="170"/>
    </row>
    <row r="13" spans="1:134" s="200" customFormat="1" ht="25.5" customHeight="1" x14ac:dyDescent="0.25">
      <c r="A13" s="146"/>
      <c r="B13" s="745" t="s">
        <v>106</v>
      </c>
      <c r="C13" s="746"/>
      <c r="D13" s="746"/>
      <c r="E13" s="746"/>
      <c r="F13" s="746"/>
      <c r="G13" s="746"/>
      <c r="H13" s="746"/>
      <c r="I13" s="746"/>
      <c r="J13" s="746"/>
      <c r="K13" s="746"/>
      <c r="L13" s="746"/>
      <c r="M13" s="746"/>
      <c r="N13" s="746"/>
      <c r="O13" s="746"/>
      <c r="P13" s="746"/>
      <c r="Q13" s="746"/>
      <c r="R13" s="746"/>
      <c r="S13" s="746"/>
      <c r="T13" s="746"/>
      <c r="U13" s="746"/>
      <c r="V13" s="746"/>
      <c r="W13" s="746"/>
      <c r="X13" s="746"/>
      <c r="Y13" s="746"/>
      <c r="Z13" s="746"/>
      <c r="AA13" s="746"/>
      <c r="AB13" s="746"/>
      <c r="AC13" s="746"/>
      <c r="AD13" s="746"/>
      <c r="AE13" s="746"/>
      <c r="AF13" s="746"/>
      <c r="AG13" s="746"/>
      <c r="AH13" s="746"/>
      <c r="AI13" s="746"/>
      <c r="AJ13" s="746"/>
      <c r="AK13" s="746"/>
      <c r="AL13" s="746"/>
      <c r="AM13" s="746"/>
      <c r="AN13" s="746"/>
      <c r="AO13" s="746"/>
      <c r="AP13" s="746"/>
      <c r="AQ13" s="746"/>
      <c r="AR13" s="746"/>
      <c r="AS13" s="746"/>
      <c r="AT13" s="746"/>
      <c r="AU13" s="746"/>
      <c r="AV13" s="746"/>
      <c r="AW13" s="746"/>
      <c r="AX13" s="746"/>
      <c r="AY13" s="746"/>
      <c r="AZ13" s="746"/>
      <c r="BA13" s="746"/>
      <c r="BB13" s="746"/>
      <c r="BC13" s="746"/>
      <c r="BD13" s="746"/>
      <c r="BE13" s="746"/>
      <c r="BF13" s="746"/>
      <c r="BG13" s="747"/>
      <c r="BH13" s="160"/>
      <c r="BJ13" s="462"/>
      <c r="BK13" s="462"/>
      <c r="BL13" s="462"/>
      <c r="BM13" s="463"/>
      <c r="BN13" s="463"/>
      <c r="BO13" s="463"/>
      <c r="BP13" s="462"/>
      <c r="BQ13" s="462"/>
      <c r="BR13" s="462"/>
      <c r="BS13" s="462"/>
      <c r="BT13" s="462"/>
      <c r="BU13" s="462"/>
      <c r="BV13" s="462"/>
      <c r="BW13" s="462"/>
      <c r="BX13" s="462"/>
      <c r="BY13" s="462"/>
      <c r="BZ13" s="462"/>
      <c r="CA13" s="462"/>
      <c r="CB13" s="464"/>
      <c r="CC13" s="462"/>
      <c r="CD13" s="462"/>
      <c r="CE13" s="464"/>
      <c r="CF13" s="464"/>
      <c r="CG13" s="464"/>
      <c r="CH13" s="464"/>
      <c r="CI13" s="462"/>
      <c r="CJ13" s="462"/>
      <c r="CK13" s="464"/>
      <c r="CL13" s="464"/>
      <c r="CM13" s="464"/>
      <c r="CN13" s="357"/>
      <c r="CO13" s="346"/>
      <c r="CP13" s="346"/>
      <c r="CQ13" s="171"/>
      <c r="CR13" s="171"/>
      <c r="CS13" s="171"/>
      <c r="CT13" s="171"/>
      <c r="CU13" s="171"/>
      <c r="CV13" s="171"/>
      <c r="CW13" s="171"/>
      <c r="CX13" s="171"/>
      <c r="CY13" s="171"/>
      <c r="CZ13" s="171"/>
      <c r="DA13" s="171"/>
      <c r="DB13" s="171"/>
      <c r="DC13" s="171"/>
      <c r="DD13" s="171"/>
      <c r="DE13" s="171"/>
      <c r="DF13" s="171"/>
      <c r="DG13" s="171"/>
      <c r="DH13" s="171"/>
      <c r="DI13" s="171"/>
      <c r="DJ13" s="171"/>
      <c r="DK13" s="171"/>
      <c r="DL13" s="171"/>
      <c r="DM13" s="171"/>
      <c r="DN13" s="171"/>
      <c r="DO13" s="171"/>
      <c r="DP13" s="171"/>
      <c r="DQ13" s="171"/>
      <c r="DR13" s="171"/>
      <c r="DS13" s="171"/>
      <c r="DT13" s="171"/>
      <c r="DU13" s="171"/>
      <c r="DV13" s="171"/>
      <c r="DW13" s="170"/>
      <c r="DX13" s="170"/>
      <c r="DY13" s="170"/>
      <c r="DZ13" s="170"/>
      <c r="EA13" s="170"/>
      <c r="EB13" s="170"/>
      <c r="EC13" s="170"/>
      <c r="ED13" s="170"/>
    </row>
    <row r="14" spans="1:134" s="200" customFormat="1" ht="15" customHeight="1" x14ac:dyDescent="0.25">
      <c r="A14" s="146"/>
      <c r="B14" s="749" t="s">
        <v>442</v>
      </c>
      <c r="C14" s="739" t="s">
        <v>446</v>
      </c>
      <c r="D14" s="739" t="s">
        <v>107</v>
      </c>
      <c r="E14" s="739"/>
      <c r="F14" s="739"/>
      <c r="G14" s="739"/>
      <c r="H14" s="739"/>
      <c r="I14" s="739"/>
      <c r="J14" s="739"/>
      <c r="K14" s="739"/>
      <c r="L14" s="739"/>
      <c r="M14" s="739"/>
      <c r="N14" s="739"/>
      <c r="O14" s="739"/>
      <c r="P14" s="739"/>
      <c r="Q14" s="739"/>
      <c r="R14" s="739"/>
      <c r="S14" s="739" t="s">
        <v>352</v>
      </c>
      <c r="T14" s="739"/>
      <c r="U14" s="739"/>
      <c r="V14" s="739"/>
      <c r="W14" s="739"/>
      <c r="X14" s="740" t="s">
        <v>360</v>
      </c>
      <c r="Y14" s="740"/>
      <c r="Z14" s="740"/>
      <c r="AA14" s="740"/>
      <c r="AB14" s="740"/>
      <c r="AC14" s="740"/>
      <c r="AD14" s="740"/>
      <c r="AE14" s="740" t="s">
        <v>359</v>
      </c>
      <c r="AF14" s="740"/>
      <c r="AG14" s="740"/>
      <c r="AH14" s="740"/>
      <c r="AI14" s="740"/>
      <c r="AJ14" s="740"/>
      <c r="AK14" s="740"/>
      <c r="AL14" s="740" t="s">
        <v>358</v>
      </c>
      <c r="AM14" s="740"/>
      <c r="AN14" s="740"/>
      <c r="AO14" s="740"/>
      <c r="AP14" s="740"/>
      <c r="AQ14" s="740"/>
      <c r="AR14" s="740"/>
      <c r="AS14" s="740" t="s">
        <v>543</v>
      </c>
      <c r="AT14" s="740"/>
      <c r="AU14" s="740"/>
      <c r="AV14" s="740"/>
      <c r="AW14" s="740"/>
      <c r="AX14" s="740"/>
      <c r="AY14" s="740" t="s">
        <v>357</v>
      </c>
      <c r="AZ14" s="740"/>
      <c r="BA14" s="740"/>
      <c r="BB14" s="740"/>
      <c r="BC14" s="740"/>
      <c r="BD14" s="740"/>
      <c r="BE14" s="740"/>
      <c r="BF14" s="744" t="s">
        <v>794</v>
      </c>
      <c r="BG14" s="748" t="s">
        <v>109</v>
      </c>
      <c r="BH14" s="160"/>
      <c r="BJ14" s="462"/>
      <c r="BK14" s="462"/>
      <c r="BL14" s="462"/>
      <c r="BM14" s="463"/>
      <c r="BN14" s="463"/>
      <c r="BO14" s="463"/>
      <c r="BP14" s="462"/>
      <c r="BQ14" s="462"/>
      <c r="BR14" s="462"/>
      <c r="BS14" s="462"/>
      <c r="BT14" s="462"/>
      <c r="BU14" s="462"/>
      <c r="BV14" s="462"/>
      <c r="BW14" s="462"/>
      <c r="BX14" s="462"/>
      <c r="BY14" s="462"/>
      <c r="BZ14" s="462"/>
      <c r="CA14" s="462"/>
      <c r="CB14" s="464"/>
      <c r="CC14" s="462"/>
      <c r="CD14" s="462"/>
      <c r="CE14" s="464"/>
      <c r="CF14" s="464"/>
      <c r="CG14" s="464"/>
      <c r="CH14" s="464"/>
      <c r="CI14" s="462"/>
      <c r="CJ14" s="462"/>
      <c r="CK14" s="464"/>
      <c r="CL14" s="464"/>
      <c r="CM14" s="464"/>
      <c r="CN14" s="357"/>
      <c r="CO14" s="346"/>
      <c r="CP14" s="346"/>
      <c r="CQ14" s="171"/>
      <c r="CR14" s="171"/>
      <c r="CS14" s="171"/>
      <c r="CT14" s="171"/>
      <c r="CU14" s="171"/>
      <c r="CV14" s="171"/>
      <c r="CW14" s="171"/>
      <c r="CX14" s="171"/>
      <c r="CY14" s="171"/>
      <c r="CZ14" s="171"/>
      <c r="DA14" s="171"/>
      <c r="DB14" s="171"/>
      <c r="DC14" s="171"/>
      <c r="DD14" s="171"/>
      <c r="DE14" s="171"/>
      <c r="DF14" s="171"/>
      <c r="DG14" s="171"/>
      <c r="DH14" s="171"/>
      <c r="DI14" s="171"/>
      <c r="DJ14" s="171"/>
      <c r="DK14" s="171"/>
      <c r="DL14" s="171"/>
      <c r="DM14" s="171"/>
      <c r="DN14" s="171"/>
      <c r="DO14" s="171"/>
      <c r="DP14" s="171"/>
      <c r="DQ14" s="171"/>
      <c r="DR14" s="171"/>
      <c r="DS14" s="171"/>
      <c r="DT14" s="171"/>
      <c r="DU14" s="171"/>
      <c r="DV14" s="171"/>
      <c r="DW14" s="170"/>
      <c r="DX14" s="170"/>
      <c r="DY14" s="170"/>
      <c r="DZ14" s="170"/>
      <c r="EA14" s="170"/>
      <c r="EB14" s="170"/>
      <c r="EC14" s="170"/>
      <c r="ED14" s="170"/>
    </row>
    <row r="15" spans="1:134" s="200" customFormat="1" ht="75" customHeight="1" x14ac:dyDescent="0.25">
      <c r="A15" s="146"/>
      <c r="B15" s="750"/>
      <c r="C15" s="739"/>
      <c r="D15" s="201" t="s">
        <v>110</v>
      </c>
      <c r="E15" s="201" t="s">
        <v>111</v>
      </c>
      <c r="F15" s="201" t="s">
        <v>112</v>
      </c>
      <c r="G15" s="201" t="s">
        <v>113</v>
      </c>
      <c r="H15" s="201" t="s">
        <v>114</v>
      </c>
      <c r="I15" s="201" t="s">
        <v>115</v>
      </c>
      <c r="J15" s="201" t="s">
        <v>116</v>
      </c>
      <c r="K15" s="201" t="s">
        <v>117</v>
      </c>
      <c r="L15" s="201" t="s">
        <v>118</v>
      </c>
      <c r="M15" s="201" t="s">
        <v>119</v>
      </c>
      <c r="N15" s="201" t="s">
        <v>120</v>
      </c>
      <c r="O15" s="201" t="s">
        <v>121</v>
      </c>
      <c r="P15" s="201" t="s">
        <v>122</v>
      </c>
      <c r="Q15" s="201" t="s">
        <v>123</v>
      </c>
      <c r="R15" s="201" t="s">
        <v>124</v>
      </c>
      <c r="S15" s="201" t="s">
        <v>125</v>
      </c>
      <c r="T15" s="201" t="s">
        <v>126</v>
      </c>
      <c r="U15" s="201" t="s">
        <v>127</v>
      </c>
      <c r="V15" s="202" t="s">
        <v>369</v>
      </c>
      <c r="W15" s="571" t="s">
        <v>352</v>
      </c>
      <c r="X15" s="744" t="s">
        <v>353</v>
      </c>
      <c r="Y15" s="744"/>
      <c r="Z15" s="201" t="s">
        <v>361</v>
      </c>
      <c r="AA15" s="203" t="s">
        <v>793</v>
      </c>
      <c r="AB15" s="203" t="s">
        <v>806</v>
      </c>
      <c r="AC15" s="571" t="s">
        <v>362</v>
      </c>
      <c r="AD15" s="203" t="s">
        <v>453</v>
      </c>
      <c r="AE15" s="744" t="s">
        <v>354</v>
      </c>
      <c r="AF15" s="744"/>
      <c r="AG15" s="571" t="s">
        <v>363</v>
      </c>
      <c r="AH15" s="204" t="s">
        <v>807</v>
      </c>
      <c r="AI15" s="204" t="s">
        <v>808</v>
      </c>
      <c r="AJ15" s="571" t="s">
        <v>364</v>
      </c>
      <c r="AK15" s="203" t="s">
        <v>453</v>
      </c>
      <c r="AL15" s="744" t="s">
        <v>355</v>
      </c>
      <c r="AM15" s="744"/>
      <c r="AN15" s="571" t="s">
        <v>365</v>
      </c>
      <c r="AO15" s="201" t="s">
        <v>809</v>
      </c>
      <c r="AP15" s="201" t="s">
        <v>810</v>
      </c>
      <c r="AQ15" s="571" t="s">
        <v>366</v>
      </c>
      <c r="AR15" s="203" t="s">
        <v>453</v>
      </c>
      <c r="AS15" s="744" t="s">
        <v>811</v>
      </c>
      <c r="AT15" s="744"/>
      <c r="AU15" s="571" t="s">
        <v>546</v>
      </c>
      <c r="AV15" s="203" t="s">
        <v>812</v>
      </c>
      <c r="AW15" s="571" t="s">
        <v>545</v>
      </c>
      <c r="AX15" s="203" t="s">
        <v>453</v>
      </c>
      <c r="AY15" s="744" t="s">
        <v>356</v>
      </c>
      <c r="AZ15" s="744"/>
      <c r="BA15" s="571" t="s">
        <v>367</v>
      </c>
      <c r="BB15" s="203" t="s">
        <v>813</v>
      </c>
      <c r="BC15" s="203" t="s">
        <v>814</v>
      </c>
      <c r="BD15" s="571" t="s">
        <v>368</v>
      </c>
      <c r="BE15" s="203" t="s">
        <v>453</v>
      </c>
      <c r="BF15" s="744"/>
      <c r="BG15" s="748"/>
      <c r="BH15" s="160" t="s">
        <v>128</v>
      </c>
      <c r="BJ15" s="462"/>
      <c r="BK15" s="462"/>
      <c r="BL15" s="462"/>
      <c r="BM15" s="463"/>
      <c r="BN15" s="463"/>
      <c r="BO15" s="463"/>
      <c r="BP15" s="462"/>
      <c r="BQ15" s="462"/>
      <c r="BR15" s="462"/>
      <c r="BS15" s="462"/>
      <c r="BT15" s="462"/>
      <c r="BU15" s="462"/>
      <c r="BV15" s="462"/>
      <c r="BW15" s="462"/>
      <c r="BX15" s="462"/>
      <c r="BY15" s="462"/>
      <c r="BZ15" s="462"/>
      <c r="CA15" s="462"/>
      <c r="CB15" s="464"/>
      <c r="CC15" s="462"/>
      <c r="CD15" s="462"/>
      <c r="CE15" s="464"/>
      <c r="CF15" s="464"/>
      <c r="CG15" s="464"/>
      <c r="CH15" s="464"/>
      <c r="CI15" s="462"/>
      <c r="CJ15" s="462"/>
      <c r="CK15" s="464"/>
      <c r="CL15" s="464"/>
      <c r="CM15" s="464"/>
      <c r="CN15" s="357"/>
      <c r="CO15" s="346"/>
      <c r="CP15" s="346"/>
      <c r="CQ15" s="171"/>
      <c r="CR15" s="171"/>
      <c r="CS15" s="171"/>
      <c r="CT15" s="171"/>
      <c r="CU15" s="171"/>
      <c r="CV15" s="171"/>
      <c r="CW15" s="171"/>
      <c r="CX15" s="171"/>
      <c r="CY15" s="171"/>
      <c r="CZ15" s="171"/>
      <c r="DA15" s="171"/>
      <c r="DB15" s="171"/>
      <c r="DC15" s="171"/>
      <c r="DD15" s="171"/>
      <c r="DE15" s="171"/>
      <c r="DF15" s="171"/>
      <c r="DG15" s="171"/>
      <c r="DH15" s="171"/>
      <c r="DI15" s="171"/>
      <c r="DJ15" s="171"/>
      <c r="DK15" s="171"/>
      <c r="DL15" s="171"/>
      <c r="DM15" s="171"/>
      <c r="DN15" s="171"/>
      <c r="DO15" s="171"/>
      <c r="DP15" s="171"/>
      <c r="DQ15" s="171"/>
      <c r="DR15" s="171"/>
      <c r="DS15" s="171"/>
      <c r="DT15" s="171"/>
      <c r="DU15" s="171"/>
      <c r="DV15" s="171"/>
      <c r="DW15" s="170"/>
      <c r="DX15" s="170"/>
      <c r="DY15" s="170"/>
      <c r="DZ15" s="170"/>
      <c r="EA15" s="170"/>
      <c r="EB15" s="170"/>
      <c r="EC15" s="170"/>
      <c r="ED15" s="170"/>
    </row>
    <row r="16" spans="1:134" s="147" customFormat="1" ht="15" customHeight="1" x14ac:dyDescent="0.25">
      <c r="A16" s="146"/>
      <c r="B16" s="453" t="s">
        <v>600</v>
      </c>
      <c r="C16" s="111" t="s">
        <v>762</v>
      </c>
      <c r="D16" s="205" t="str">
        <f t="shared" ref="D16:D23" si="0">VLOOKUP($C16,$BI$195:$CM$609,2,FALSE)</f>
        <v>Gal</v>
      </c>
      <c r="E16" s="641">
        <v>14793.126200000002</v>
      </c>
      <c r="F16" s="641">
        <v>18613.716920000003</v>
      </c>
      <c r="G16" s="641">
        <v>18240.074554480001</v>
      </c>
      <c r="H16" s="641">
        <v>20163.052119999997</v>
      </c>
      <c r="I16" s="641">
        <v>19974.418080000003</v>
      </c>
      <c r="J16" s="641">
        <v>16959.090664000003</v>
      </c>
      <c r="K16" s="641">
        <v>17702.127008000003</v>
      </c>
      <c r="L16" s="641">
        <v>18230.777499999997</v>
      </c>
      <c r="M16" s="641">
        <v>18906.065320000002</v>
      </c>
      <c r="N16" s="641">
        <v>19178.502619999999</v>
      </c>
      <c r="O16" s="641">
        <v>17086.342120000005</v>
      </c>
      <c r="P16" s="641">
        <v>14803.979439999999</v>
      </c>
      <c r="Q16" s="206">
        <f>SUM(E16:P16)</f>
        <v>214651.27254648</v>
      </c>
      <c r="R16" s="205">
        <f>COUNT(E16:P16)</f>
        <v>12</v>
      </c>
      <c r="S16" s="206">
        <f>IF(R16&gt;1,AVERAGE(E16:P16),0)</f>
        <v>17887.60604554</v>
      </c>
      <c r="T16" s="206">
        <f>IF(R16&gt;1,STDEV(E16:P16),0)</f>
        <v>1748.4662366025673</v>
      </c>
      <c r="U16" s="206">
        <f t="shared" ref="U16:U23" si="1">IF(R16&gt;1,VLOOKUP($R16,$BI$529:$BJ$541,2,FALSE),0)</f>
        <v>2.2000000000000002</v>
      </c>
      <c r="V16" s="92"/>
      <c r="W16" s="207">
        <f t="shared" ref="W16:W23" si="2">IF(R16&gt;1,1-((S16-((T16*U16)/(SQRT(R16))))/S16),VLOOKUP($C16,$BI$195:$CP$609,34,FALSE))</f>
        <v>6.2077909966352207E-2</v>
      </c>
      <c r="X16" s="208">
        <f t="shared" ref="X16:X23" si="3">VLOOKUP($C16,$BI$195:$CM$609,3,FALSE)</f>
        <v>10.148999999999999</v>
      </c>
      <c r="Y16" s="209" t="str">
        <f t="shared" ref="Y16:Y23" si="4">VLOOKUP($C16,$BI$195:$CM$609,4,FALSE)</f>
        <v>kg CO2/gal</v>
      </c>
      <c r="Z16" s="207">
        <f t="shared" ref="Z16:Z23" si="5">IF($Q16&gt;0,VLOOKUP($C16,$BI$195:$CM$609,6,FALSE),0)</f>
        <v>2.0499999999999997E-3</v>
      </c>
      <c r="AA16" s="210">
        <f>($Q16*X16)/1000</f>
        <v>2178.4957650742253</v>
      </c>
      <c r="AB16" s="210">
        <f t="shared" ref="AB16:AB23" si="6">AA16*$BJ$547</f>
        <v>2178.4957650742253</v>
      </c>
      <c r="AC16" s="207">
        <f>IF(AA16&gt;0,SQRT(($W16*$W16)+(Z16*Z16)+($V16*$V16)),0)</f>
        <v>6.2111749337710097E-2</v>
      </c>
      <c r="AD16" s="210">
        <f>(AB16*AC16)^2</f>
        <v>18308.845594686838</v>
      </c>
      <c r="AE16" s="211">
        <f t="shared" ref="AE16:AE23" si="7">VLOOKUP($C16,$BI$195:$CM$609,21,FALSE)</f>
        <v>3.6999999999999998E-5</v>
      </c>
      <c r="AF16" s="209" t="str">
        <f t="shared" ref="AF16:AF23" si="8">VLOOKUP($C16,$BI$195:$CM$609,22,FALSE)</f>
        <v>kg CH4/gal</v>
      </c>
      <c r="AG16" s="207">
        <f t="shared" ref="AG16:AG23" si="9">IF($Q16&gt;0,VLOOKUP($C16,$BI$195:$CM$609,24,FALSE),0)</f>
        <v>9.5000000000000001E-2</v>
      </c>
      <c r="AH16" s="212">
        <f>($Q16*AE16)/1000</f>
        <v>7.94209708421976E-3</v>
      </c>
      <c r="AI16" s="212">
        <f t="shared" ref="AI16:AI23" si="10">AH16*$BJ$548</f>
        <v>0.22237871835815329</v>
      </c>
      <c r="AJ16" s="207">
        <f>IF(AH16&gt;0,SQRT(($W16*$W16)+(AG16*AG16)+($V16*$V16)),0)</f>
        <v>0.11348421434627166</v>
      </c>
      <c r="AK16" s="210">
        <f>(AI16*AJ16)^2</f>
        <v>6.3687962702927835E-4</v>
      </c>
      <c r="AL16" s="211">
        <f t="shared" ref="AL16:AL23" si="11">VLOOKUP($C16,$BI$195:$CM$609,27,FALSE)</f>
        <v>3.6999999999999998E-5</v>
      </c>
      <c r="AM16" s="209" t="str">
        <f t="shared" ref="AM16:AM23" si="12">VLOOKUP($C16,$BI$195:$CM$609,28,FALSE)</f>
        <v>kg N2O/gal</v>
      </c>
      <c r="AN16" s="207">
        <f t="shared" ref="AN16:AN23" si="13">IF($Q16&gt;0,VLOOKUP($C16,$BI$195:$CM$609,30,FALSE),0)</f>
        <v>0.12</v>
      </c>
      <c r="AO16" s="212">
        <f>($Q16*AL16)/1000</f>
        <v>7.94209708421976E-3</v>
      </c>
      <c r="AP16" s="212">
        <f t="shared" ref="AP16:AP23" si="14">AO16*$BJ$549</f>
        <v>2.1046557273182365</v>
      </c>
      <c r="AQ16" s="207">
        <f>IF(AO16&gt;0,SQRT(($W16*$W16)+(AN16*AN16)+($V16*$V16)),0)</f>
        <v>0.13510613200662111</v>
      </c>
      <c r="AR16" s="210">
        <f>(AP16*AQ16)^2</f>
        <v>8.0855999919131422E-2</v>
      </c>
      <c r="AS16" s="213">
        <v>0</v>
      </c>
      <c r="AT16" s="209">
        <v>0</v>
      </c>
      <c r="AU16" s="207">
        <v>0</v>
      </c>
      <c r="AV16" s="212">
        <f t="shared" ref="AV16:AV23" si="15">($Q16*AS16)/1000</f>
        <v>0</v>
      </c>
      <c r="AW16" s="207">
        <f t="shared" ref="AW16:AW22" si="16">IF(AV16&gt;0,SQRT(($W16*$W16)+(AU16*AU16)+($V16*$V16)),0)</f>
        <v>0</v>
      </c>
      <c r="AX16" s="210">
        <f>(AV16*AW16)^2</f>
        <v>0</v>
      </c>
      <c r="AY16" s="213">
        <v>0</v>
      </c>
      <c r="AZ16" s="209">
        <v>0</v>
      </c>
      <c r="BA16" s="207">
        <v>0</v>
      </c>
      <c r="BB16" s="212">
        <f>($Q16*AY16)/1000</f>
        <v>0</v>
      </c>
      <c r="BC16" s="212">
        <f t="shared" ref="BC16:BC23" si="17">BB16*$BJ$550</f>
        <v>0</v>
      </c>
      <c r="BD16" s="207">
        <f>IF(BB16&gt;0,SQRT(($W16*$W16)+(BA16*BA16)+($V16*$V16)),0)</f>
        <v>0</v>
      </c>
      <c r="BE16" s="210">
        <f>(BC16*BD16)^2</f>
        <v>0</v>
      </c>
      <c r="BF16" s="206">
        <f t="shared" ref="BF16:BF23" si="18">AB16+AI16+AP16+AV16+BC16</f>
        <v>2180.8227995199018</v>
      </c>
      <c r="BG16" s="214">
        <f t="shared" ref="BG16:BG23" si="19">IF(BF16&gt;0,SQRT(AD16+AK16+AR16+AX16+BE16)/BF16,0)</f>
        <v>6.204561143463197E-2</v>
      </c>
      <c r="BH16" s="160">
        <f>(BF16*BG16)^2</f>
        <v>18308.92708756639</v>
      </c>
      <c r="BI16" s="200"/>
      <c r="BJ16" s="462"/>
      <c r="BK16" s="462"/>
      <c r="BL16" s="462"/>
      <c r="BM16" s="463"/>
      <c r="BN16" s="463"/>
      <c r="BO16" s="463"/>
      <c r="BP16" s="462"/>
      <c r="BQ16" s="462"/>
      <c r="BR16" s="462"/>
      <c r="BS16" s="462"/>
      <c r="BT16" s="462"/>
      <c r="BU16" s="462"/>
      <c r="BV16" s="462"/>
      <c r="BW16" s="462"/>
      <c r="BX16" s="462"/>
      <c r="BY16" s="462"/>
      <c r="BZ16" s="462"/>
      <c r="CA16" s="462"/>
      <c r="CB16" s="464"/>
      <c r="CC16" s="462"/>
      <c r="CD16" s="462"/>
      <c r="CE16" s="464"/>
      <c r="CF16" s="464"/>
      <c r="CG16" s="464"/>
      <c r="CH16" s="464"/>
      <c r="CI16" s="462"/>
      <c r="CJ16" s="462"/>
      <c r="CK16" s="464"/>
      <c r="CL16" s="464"/>
      <c r="CM16" s="464"/>
      <c r="CN16" s="357"/>
      <c r="CO16" s="346"/>
      <c r="CP16" s="346"/>
      <c r="CQ16" s="171"/>
      <c r="CR16" s="171"/>
      <c r="CS16" s="171"/>
      <c r="CT16" s="171"/>
      <c r="CU16" s="171"/>
      <c r="CV16" s="171"/>
      <c r="CW16" s="171"/>
      <c r="CX16" s="171"/>
      <c r="CY16" s="171"/>
      <c r="CZ16" s="171"/>
      <c r="DA16" s="171"/>
      <c r="DB16" s="171"/>
      <c r="DC16" s="171"/>
      <c r="DD16" s="171"/>
      <c r="DE16" s="171"/>
      <c r="DF16" s="171"/>
      <c r="DG16" s="171"/>
      <c r="DH16" s="171"/>
      <c r="DI16" s="171"/>
      <c r="DJ16" s="171"/>
      <c r="DK16" s="171"/>
      <c r="DL16" s="171"/>
      <c r="DM16" s="171"/>
      <c r="DN16" s="171"/>
      <c r="DO16" s="171"/>
      <c r="DP16" s="171"/>
      <c r="DQ16" s="171"/>
      <c r="DR16" s="171"/>
      <c r="DS16" s="171"/>
      <c r="DT16" s="171"/>
      <c r="DU16" s="171"/>
      <c r="DV16" s="171"/>
      <c r="DW16" s="170"/>
      <c r="DX16" s="170"/>
      <c r="DY16" s="170"/>
      <c r="DZ16" s="170"/>
      <c r="EA16" s="170"/>
      <c r="EB16" s="170"/>
      <c r="EC16" s="170"/>
      <c r="ED16" s="170"/>
    </row>
    <row r="17" spans="1:134" s="147" customFormat="1" x14ac:dyDescent="0.25">
      <c r="A17" s="146"/>
      <c r="B17" s="454" t="s">
        <v>599</v>
      </c>
      <c r="C17" s="111" t="s">
        <v>549</v>
      </c>
      <c r="D17" s="205" t="str">
        <f t="shared" si="0"/>
        <v>Gal</v>
      </c>
      <c r="E17" s="641">
        <v>12108.812759999999</v>
      </c>
      <c r="F17" s="641">
        <v>14922.676920000007</v>
      </c>
      <c r="G17" s="641">
        <v>14103.219036279999</v>
      </c>
      <c r="H17" s="641">
        <v>15022.453680000001</v>
      </c>
      <c r="I17" s="641">
        <v>14909.063679999999</v>
      </c>
      <c r="J17" s="641">
        <v>14276.352816000004</v>
      </c>
      <c r="K17" s="641">
        <v>13229.849412</v>
      </c>
      <c r="L17" s="641">
        <v>14772.826584000006</v>
      </c>
      <c r="M17" s="641">
        <v>14942.015603516405</v>
      </c>
      <c r="N17" s="641">
        <v>15426.305853096213</v>
      </c>
      <c r="O17" s="641">
        <v>14125.766479999998</v>
      </c>
      <c r="P17" s="641">
        <v>13117.36368</v>
      </c>
      <c r="Q17" s="206">
        <f t="shared" ref="Q17:Q23" si="20">SUM(E17:P17)</f>
        <v>170956.70650489262</v>
      </c>
      <c r="R17" s="205">
        <f t="shared" ref="R17:R23" si="21">COUNT(E17:P17)</f>
        <v>12</v>
      </c>
      <c r="S17" s="206">
        <f t="shared" ref="S17:S23" si="22">IF(R17&gt;1,AVERAGE(E17:P17),0)</f>
        <v>14246.392208741052</v>
      </c>
      <c r="T17" s="206">
        <f t="shared" ref="T17:T23" si="23">IF(R17&gt;1,STDEV(E17:P17),0)</f>
        <v>980.03916903893855</v>
      </c>
      <c r="U17" s="206">
        <f t="shared" si="1"/>
        <v>2.2000000000000002</v>
      </c>
      <c r="V17" s="92"/>
      <c r="W17" s="207">
        <f t="shared" si="2"/>
        <v>4.3688848148180415E-2</v>
      </c>
      <c r="X17" s="208">
        <f t="shared" si="3"/>
        <v>8.8085000000000004</v>
      </c>
      <c r="Y17" s="209" t="str">
        <f t="shared" si="4"/>
        <v>kg CO2/gal</v>
      </c>
      <c r="Z17" s="207">
        <f t="shared" si="5"/>
        <v>2.0300000000000001E-3</v>
      </c>
      <c r="AA17" s="210">
        <f t="shared" ref="AA17:AA23" si="24">($Q17*X17)/1000</f>
        <v>1505.8721492483467</v>
      </c>
      <c r="AB17" s="210">
        <f t="shared" si="6"/>
        <v>1505.8721492483467</v>
      </c>
      <c r="AC17" s="207">
        <f t="shared" ref="AC17:AC23" si="25">IF(AA17&gt;0,SQRT(($W17*$W17)+(Z17*Z17)+($V17*$V17)),0)</f>
        <v>4.3735984640965467E-2</v>
      </c>
      <c r="AD17" s="210">
        <f t="shared" ref="AD17:AD24" si="26">(AB17*AC17)^2</f>
        <v>4337.6451334918893</v>
      </c>
      <c r="AE17" s="211">
        <f t="shared" si="7"/>
        <v>2.9260000000000001E-4</v>
      </c>
      <c r="AF17" s="209" t="str">
        <f t="shared" si="8"/>
        <v>kg CH4/gal</v>
      </c>
      <c r="AG17" s="207">
        <f t="shared" si="9"/>
        <v>1.1000000000000001</v>
      </c>
      <c r="AH17" s="212">
        <f t="shared" ref="AH17:AH23" si="27">($Q17*AE17)/1000</f>
        <v>5.0021932323331582E-2</v>
      </c>
      <c r="AI17" s="212">
        <f t="shared" si="10"/>
        <v>1.4006141050532843</v>
      </c>
      <c r="AJ17" s="207">
        <f t="shared" ref="AJ17:AJ23" si="28">IF(AH17&gt;0,SQRT(($W17*$W17)+(AG17*AG17)+($V17*$V17)),0)</f>
        <v>1.100867256054296</v>
      </c>
      <c r="AK17" s="210">
        <f t="shared" ref="AK17:AK24" si="29">(AI17*AJ17)^2</f>
        <v>2.3774254092736036</v>
      </c>
      <c r="AL17" s="211">
        <f t="shared" si="11"/>
        <v>2.8400000000000003E-5</v>
      </c>
      <c r="AM17" s="209" t="str">
        <f t="shared" si="12"/>
        <v>kg N2O/gal</v>
      </c>
      <c r="AN17" s="207">
        <f t="shared" si="13"/>
        <v>0.11</v>
      </c>
      <c r="AO17" s="212">
        <f t="shared" ref="AO17:AO23" si="30">($Q17*AL17)/1000</f>
        <v>4.8551704647389502E-3</v>
      </c>
      <c r="AP17" s="212">
        <f t="shared" si="14"/>
        <v>1.2866201731558218</v>
      </c>
      <c r="AQ17" s="207">
        <f t="shared" ref="AQ17:AQ23" si="31">IF(AO17&gt;0,SQRT(($W17*$W17)+(AN17*AN17)+($V17*$V17)),0)</f>
        <v>0.11835841944075955</v>
      </c>
      <c r="AR17" s="210">
        <f t="shared" ref="AR17:AR24" si="32">(AP17*AQ17)^2</f>
        <v>2.3189908065351126E-2</v>
      </c>
      <c r="AS17" s="213">
        <v>0</v>
      </c>
      <c r="AT17" s="209">
        <v>0</v>
      </c>
      <c r="AU17" s="207">
        <v>0</v>
      </c>
      <c r="AV17" s="212">
        <f t="shared" si="15"/>
        <v>0</v>
      </c>
      <c r="AW17" s="207">
        <f t="shared" si="16"/>
        <v>0</v>
      </c>
      <c r="AX17" s="210">
        <f t="shared" ref="AX17:AX24" si="33">(AV17*AW17)^2</f>
        <v>0</v>
      </c>
      <c r="AY17" s="213">
        <v>0</v>
      </c>
      <c r="AZ17" s="209">
        <v>0</v>
      </c>
      <c r="BA17" s="207">
        <v>0</v>
      </c>
      <c r="BB17" s="212">
        <f t="shared" ref="BB17:BB23" si="34">($Q17*AY17)/1000</f>
        <v>0</v>
      </c>
      <c r="BC17" s="212">
        <f t="shared" si="17"/>
        <v>0</v>
      </c>
      <c r="BD17" s="207">
        <f t="shared" ref="BD17:BD23" si="35">IF(BB17&gt;0,SQRT(($W17*$W17)+(BA17*BA17)+($V17*$V17)),0)</f>
        <v>0</v>
      </c>
      <c r="BE17" s="210">
        <f t="shared" ref="BE17:BE24" si="36">(BC17*BD17)^2</f>
        <v>0</v>
      </c>
      <c r="BF17" s="206">
        <f t="shared" si="18"/>
        <v>1508.5593835265558</v>
      </c>
      <c r="BG17" s="214">
        <f t="shared" si="19"/>
        <v>4.3670155982353923E-2</v>
      </c>
      <c r="BH17" s="160">
        <f t="shared" ref="BH17:BH88" si="37">(BF17*BG17)^2</f>
        <v>4340.045748809227</v>
      </c>
      <c r="BI17" s="200"/>
      <c r="BJ17" s="462"/>
      <c r="BK17" s="462"/>
      <c r="BL17" s="462"/>
      <c r="BM17" s="463"/>
      <c r="BN17" s="463"/>
      <c r="BO17" s="463"/>
      <c r="BP17" s="462"/>
      <c r="BQ17" s="462"/>
      <c r="BR17" s="462"/>
      <c r="BS17" s="462"/>
      <c r="BT17" s="462"/>
      <c r="BU17" s="462"/>
      <c r="BV17" s="462"/>
      <c r="BW17" s="462"/>
      <c r="BX17" s="462"/>
      <c r="BY17" s="462"/>
      <c r="BZ17" s="462"/>
      <c r="CA17" s="462"/>
      <c r="CB17" s="464"/>
      <c r="CC17" s="462"/>
      <c r="CD17" s="462"/>
      <c r="CE17" s="464"/>
      <c r="CF17" s="464"/>
      <c r="CG17" s="464"/>
      <c r="CH17" s="464"/>
      <c r="CI17" s="462"/>
      <c r="CJ17" s="462"/>
      <c r="CK17" s="464"/>
      <c r="CL17" s="464"/>
      <c r="CM17" s="464"/>
      <c r="CN17" s="357"/>
      <c r="CO17" s="346"/>
      <c r="CP17" s="346"/>
      <c r="CQ17" s="171"/>
      <c r="CR17" s="171"/>
      <c r="CS17" s="171"/>
      <c r="CT17" s="171"/>
      <c r="CU17" s="171"/>
      <c r="CV17" s="171"/>
      <c r="CW17" s="171"/>
      <c r="CX17" s="171"/>
      <c r="CY17" s="171"/>
      <c r="CZ17" s="171"/>
      <c r="DA17" s="171"/>
      <c r="DB17" s="171"/>
      <c r="DC17" s="171"/>
      <c r="DD17" s="171"/>
      <c r="DE17" s="171"/>
      <c r="DF17" s="171"/>
      <c r="DG17" s="171"/>
      <c r="DH17" s="171"/>
      <c r="DI17" s="171"/>
      <c r="DJ17" s="171"/>
      <c r="DK17" s="171"/>
      <c r="DL17" s="171"/>
      <c r="DM17" s="171"/>
      <c r="DN17" s="171"/>
      <c r="DO17" s="171"/>
      <c r="DP17" s="171"/>
      <c r="DQ17" s="171"/>
      <c r="DR17" s="171"/>
      <c r="DS17" s="171"/>
      <c r="DT17" s="171"/>
      <c r="DU17" s="171"/>
      <c r="DV17" s="171"/>
      <c r="DW17" s="170"/>
      <c r="DX17" s="170"/>
      <c r="DY17" s="170"/>
      <c r="DZ17" s="170"/>
      <c r="EA17" s="170"/>
      <c r="EB17" s="170"/>
      <c r="EC17" s="170"/>
      <c r="ED17" s="170"/>
    </row>
    <row r="18" spans="1:134" s="147" customFormat="1" x14ac:dyDescent="0.25">
      <c r="A18" s="146"/>
      <c r="B18" s="454"/>
      <c r="C18" s="111" t="s">
        <v>396</v>
      </c>
      <c r="D18" s="205" t="str">
        <f t="shared" si="0"/>
        <v>Gal</v>
      </c>
      <c r="E18" s="641">
        <v>1286.3588000000002</v>
      </c>
      <c r="F18" s="641">
        <v>1618.5840800000003</v>
      </c>
      <c r="G18" s="641">
        <v>1586.0934395199999</v>
      </c>
      <c r="H18" s="641">
        <v>1753.3088799999998</v>
      </c>
      <c r="I18" s="641">
        <v>1736.9059200000002</v>
      </c>
      <c r="J18" s="641">
        <v>1474.7035360000004</v>
      </c>
      <c r="K18" s="641">
        <v>1539.3153920000004</v>
      </c>
      <c r="L18" s="641">
        <v>1585.2849999999999</v>
      </c>
      <c r="M18" s="641">
        <v>1644.00568</v>
      </c>
      <c r="N18" s="641">
        <v>1667.69588</v>
      </c>
      <c r="O18" s="641">
        <v>1485.7688800000003</v>
      </c>
      <c r="P18" s="641">
        <v>1287.3025599999999</v>
      </c>
      <c r="Q18" s="206">
        <f t="shared" si="20"/>
        <v>18665.328047520001</v>
      </c>
      <c r="R18" s="205">
        <f t="shared" si="21"/>
        <v>12</v>
      </c>
      <c r="S18" s="206">
        <f t="shared" si="22"/>
        <v>1555.4440039600001</v>
      </c>
      <c r="T18" s="206">
        <f t="shared" si="23"/>
        <v>152.04054231326671</v>
      </c>
      <c r="U18" s="206">
        <f t="shared" si="1"/>
        <v>2.2000000000000002</v>
      </c>
      <c r="V18" s="92"/>
      <c r="W18" s="207">
        <f t="shared" si="2"/>
        <v>6.2077909966352318E-2</v>
      </c>
      <c r="X18" s="208">
        <f t="shared" si="3"/>
        <v>0</v>
      </c>
      <c r="Y18" s="209" t="str">
        <f t="shared" si="4"/>
        <v>kg CO2/gal</v>
      </c>
      <c r="Z18" s="207">
        <f t="shared" si="5"/>
        <v>2.98E-3</v>
      </c>
      <c r="AA18" s="210">
        <f t="shared" si="24"/>
        <v>0</v>
      </c>
      <c r="AB18" s="210">
        <f t="shared" si="6"/>
        <v>0</v>
      </c>
      <c r="AC18" s="207">
        <f t="shared" si="25"/>
        <v>0</v>
      </c>
      <c r="AD18" s="210">
        <f t="shared" si="26"/>
        <v>0</v>
      </c>
      <c r="AE18" s="211">
        <f t="shared" si="7"/>
        <v>3.4200000000000005E-5</v>
      </c>
      <c r="AF18" s="209" t="str">
        <f t="shared" si="8"/>
        <v>kg CH4/gal</v>
      </c>
      <c r="AG18" s="207">
        <f t="shared" si="9"/>
        <v>9.5000000000000001E-2</v>
      </c>
      <c r="AH18" s="212">
        <f t="shared" si="27"/>
        <v>6.3835421922518406E-4</v>
      </c>
      <c r="AI18" s="212">
        <f t="shared" si="10"/>
        <v>1.7873918138305155E-2</v>
      </c>
      <c r="AJ18" s="207">
        <f t="shared" si="28"/>
        <v>0.11348421434627172</v>
      </c>
      <c r="AK18" s="210">
        <f t="shared" si="29"/>
        <v>4.1144372181674763E-6</v>
      </c>
      <c r="AL18" s="211">
        <f t="shared" si="11"/>
        <v>3.4200000000000005E-5</v>
      </c>
      <c r="AM18" s="209" t="str">
        <f t="shared" si="12"/>
        <v>kg N2O/gal</v>
      </c>
      <c r="AN18" s="207">
        <f t="shared" si="13"/>
        <v>0.12</v>
      </c>
      <c r="AO18" s="212">
        <f t="shared" si="30"/>
        <v>6.3835421922518406E-4</v>
      </c>
      <c r="AP18" s="212">
        <f t="shared" si="14"/>
        <v>0.16916386809467376</v>
      </c>
      <c r="AQ18" s="207">
        <f t="shared" si="31"/>
        <v>0.13510613200662117</v>
      </c>
      <c r="AR18" s="210">
        <f t="shared" si="32"/>
        <v>5.2235449409991403E-4</v>
      </c>
      <c r="AS18" s="213">
        <v>0</v>
      </c>
      <c r="AT18" s="209">
        <v>0</v>
      </c>
      <c r="AU18" s="207">
        <v>0</v>
      </c>
      <c r="AV18" s="212">
        <f t="shared" si="15"/>
        <v>0</v>
      </c>
      <c r="AW18" s="207">
        <f t="shared" si="16"/>
        <v>0</v>
      </c>
      <c r="AX18" s="210">
        <f t="shared" si="33"/>
        <v>0</v>
      </c>
      <c r="AY18" s="213">
        <v>0</v>
      </c>
      <c r="AZ18" s="209">
        <v>0</v>
      </c>
      <c r="BA18" s="207">
        <v>0</v>
      </c>
      <c r="BB18" s="212">
        <f t="shared" si="34"/>
        <v>0</v>
      </c>
      <c r="BC18" s="212">
        <f t="shared" si="17"/>
        <v>0</v>
      </c>
      <c r="BD18" s="207">
        <f t="shared" si="35"/>
        <v>0</v>
      </c>
      <c r="BE18" s="210">
        <f t="shared" si="36"/>
        <v>0</v>
      </c>
      <c r="BF18" s="206">
        <f t="shared" si="18"/>
        <v>0.18703778623297893</v>
      </c>
      <c r="BG18" s="214">
        <f t="shared" si="19"/>
        <v>0.12267526928938834</v>
      </c>
      <c r="BH18" s="160">
        <f t="shared" si="37"/>
        <v>5.2646893131808145E-4</v>
      </c>
      <c r="BI18" s="200"/>
      <c r="BJ18" s="462"/>
      <c r="BK18" s="462"/>
      <c r="BL18" s="462"/>
      <c r="BM18" s="463"/>
      <c r="BN18" s="463"/>
      <c r="BO18" s="463"/>
      <c r="BP18" s="462"/>
      <c r="BQ18" s="462"/>
      <c r="BR18" s="462"/>
      <c r="BS18" s="462"/>
      <c r="BT18" s="462"/>
      <c r="BU18" s="462"/>
      <c r="BV18" s="462"/>
      <c r="BW18" s="462"/>
      <c r="BX18" s="462"/>
      <c r="BY18" s="462"/>
      <c r="BZ18" s="462"/>
      <c r="CA18" s="462"/>
      <c r="CB18" s="464"/>
      <c r="CC18" s="462"/>
      <c r="CD18" s="462"/>
      <c r="CE18" s="464"/>
      <c r="CF18" s="464"/>
      <c r="CG18" s="464"/>
      <c r="CH18" s="464"/>
      <c r="CI18" s="462"/>
      <c r="CJ18" s="462"/>
      <c r="CK18" s="464"/>
      <c r="CL18" s="464"/>
      <c r="CM18" s="464"/>
      <c r="CN18" s="357"/>
      <c r="CO18" s="346"/>
      <c r="CP18" s="346"/>
      <c r="CQ18" s="171"/>
      <c r="CR18" s="171"/>
      <c r="CS18" s="171"/>
      <c r="CT18" s="171"/>
      <c r="CU18" s="171"/>
      <c r="CV18" s="171"/>
      <c r="CW18" s="171"/>
      <c r="CX18" s="171"/>
      <c r="CY18" s="171"/>
      <c r="CZ18" s="171"/>
      <c r="DA18" s="171"/>
      <c r="DB18" s="171"/>
      <c r="DC18" s="171"/>
      <c r="DD18" s="171"/>
      <c r="DE18" s="171"/>
      <c r="DF18" s="171"/>
      <c r="DG18" s="171"/>
      <c r="DH18" s="171"/>
      <c r="DI18" s="171"/>
      <c r="DJ18" s="171"/>
      <c r="DK18" s="171"/>
      <c r="DL18" s="171"/>
      <c r="DM18" s="171"/>
      <c r="DN18" s="171"/>
      <c r="DO18" s="171"/>
      <c r="DP18" s="171"/>
      <c r="DQ18" s="171"/>
      <c r="DR18" s="171"/>
      <c r="DS18" s="171"/>
      <c r="DT18" s="171"/>
      <c r="DU18" s="171"/>
      <c r="DV18" s="171"/>
      <c r="DW18" s="170"/>
      <c r="DX18" s="170"/>
      <c r="DY18" s="170"/>
      <c r="DZ18" s="170"/>
      <c r="EA18" s="170"/>
      <c r="EB18" s="170"/>
      <c r="EC18" s="170"/>
      <c r="ED18" s="170"/>
    </row>
    <row r="19" spans="1:134" s="147" customFormat="1" x14ac:dyDescent="0.25">
      <c r="A19" s="146"/>
      <c r="B19" s="455"/>
      <c r="C19" s="111" t="s">
        <v>550</v>
      </c>
      <c r="D19" s="205" t="str">
        <f t="shared" si="0"/>
        <v>Gal</v>
      </c>
      <c r="E19" s="641">
        <v>1052.9402399999999</v>
      </c>
      <c r="F19" s="641">
        <v>1297.6240800000005</v>
      </c>
      <c r="G19" s="641">
        <v>1226.3668727199999</v>
      </c>
      <c r="H19" s="641">
        <v>1306.3003200000001</v>
      </c>
      <c r="I19" s="641">
        <v>1296.4403199999999</v>
      </c>
      <c r="J19" s="641">
        <v>1241.4219840000003</v>
      </c>
      <c r="K19" s="641">
        <v>1150.4216879999999</v>
      </c>
      <c r="L19" s="641">
        <v>1284.5936160000006</v>
      </c>
      <c r="M19" s="641">
        <v>1299.3057046536005</v>
      </c>
      <c r="N19" s="641">
        <v>1341.4179002692358</v>
      </c>
      <c r="O19" s="641">
        <v>1228.3275199999998</v>
      </c>
      <c r="P19" s="641">
        <v>1140.64032</v>
      </c>
      <c r="Q19" s="206">
        <f t="shared" si="20"/>
        <v>14865.800565642838</v>
      </c>
      <c r="R19" s="205">
        <f t="shared" si="21"/>
        <v>12</v>
      </c>
      <c r="S19" s="206">
        <f t="shared" si="22"/>
        <v>1238.8167138035699</v>
      </c>
      <c r="T19" s="206">
        <f t="shared" si="23"/>
        <v>85.22079730773379</v>
      </c>
      <c r="U19" s="206">
        <f t="shared" si="1"/>
        <v>2.2000000000000002</v>
      </c>
      <c r="V19" s="92"/>
      <c r="W19" s="207">
        <f t="shared" si="2"/>
        <v>4.3688848148180526E-2</v>
      </c>
      <c r="X19" s="208">
        <f t="shared" si="3"/>
        <v>0</v>
      </c>
      <c r="Y19" s="209" t="str">
        <f t="shared" si="4"/>
        <v>kg CO2/gal</v>
      </c>
      <c r="Z19" s="207">
        <f t="shared" si="5"/>
        <v>3.4799999999999996E-3</v>
      </c>
      <c r="AA19" s="210">
        <f t="shared" si="24"/>
        <v>0</v>
      </c>
      <c r="AB19" s="210">
        <f t="shared" si="6"/>
        <v>0</v>
      </c>
      <c r="AC19" s="207">
        <f t="shared" si="25"/>
        <v>0</v>
      </c>
      <c r="AD19" s="210">
        <f t="shared" si="26"/>
        <v>0</v>
      </c>
      <c r="AE19" s="211">
        <f t="shared" si="7"/>
        <v>8.7700000000000004E-5</v>
      </c>
      <c r="AF19" s="209" t="str">
        <f t="shared" si="8"/>
        <v>kg CH4/gal</v>
      </c>
      <c r="AG19" s="207">
        <f t="shared" si="9"/>
        <v>0.84</v>
      </c>
      <c r="AH19" s="212">
        <f t="shared" si="27"/>
        <v>1.3037307096068769E-3</v>
      </c>
      <c r="AI19" s="212">
        <f t="shared" si="10"/>
        <v>3.6504459868992555E-2</v>
      </c>
      <c r="AJ19" s="207">
        <f t="shared" si="28"/>
        <v>0.84113537284584261</v>
      </c>
      <c r="AK19" s="210">
        <f t="shared" si="29"/>
        <v>9.4280884415555281E-4</v>
      </c>
      <c r="AL19" s="211">
        <f t="shared" si="11"/>
        <v>1.9990000000000001E-4</v>
      </c>
      <c r="AM19" s="209" t="str">
        <f t="shared" si="12"/>
        <v>kg N2O/gal</v>
      </c>
      <c r="AN19" s="207">
        <f t="shared" si="13"/>
        <v>1.23</v>
      </c>
      <c r="AO19" s="212">
        <f t="shared" si="30"/>
        <v>2.9716735330720034E-3</v>
      </c>
      <c r="AP19" s="212">
        <f t="shared" si="14"/>
        <v>0.78749348626408089</v>
      </c>
      <c r="AQ19" s="207">
        <f t="shared" si="31"/>
        <v>1.2307756560204279</v>
      </c>
      <c r="AR19" s="210">
        <f t="shared" si="32"/>
        <v>0.93940255188091382</v>
      </c>
      <c r="AS19" s="213">
        <v>0</v>
      </c>
      <c r="AT19" s="209">
        <v>0</v>
      </c>
      <c r="AU19" s="207">
        <v>0</v>
      </c>
      <c r="AV19" s="212">
        <f t="shared" si="15"/>
        <v>0</v>
      </c>
      <c r="AW19" s="207">
        <f t="shared" si="16"/>
        <v>0</v>
      </c>
      <c r="AX19" s="210">
        <f t="shared" si="33"/>
        <v>0</v>
      </c>
      <c r="AY19" s="213">
        <v>0</v>
      </c>
      <c r="AZ19" s="209">
        <v>0</v>
      </c>
      <c r="BA19" s="207">
        <v>0</v>
      </c>
      <c r="BB19" s="212">
        <f t="shared" si="34"/>
        <v>0</v>
      </c>
      <c r="BC19" s="212">
        <f t="shared" si="17"/>
        <v>0</v>
      </c>
      <c r="BD19" s="207">
        <f t="shared" si="35"/>
        <v>0</v>
      </c>
      <c r="BE19" s="210">
        <f t="shared" si="36"/>
        <v>0</v>
      </c>
      <c r="BF19" s="206">
        <f t="shared" si="18"/>
        <v>0.82399794613307342</v>
      </c>
      <c r="BG19" s="214">
        <f t="shared" si="19"/>
        <v>1.1768403864020267</v>
      </c>
      <c r="BH19" s="160">
        <f t="shared" si="37"/>
        <v>0.94034536072506947</v>
      </c>
      <c r="BI19" s="200"/>
      <c r="BJ19" s="462"/>
      <c r="BK19" s="462"/>
      <c r="BL19" s="462"/>
      <c r="BM19" s="463"/>
      <c r="BN19" s="463"/>
      <c r="BO19" s="463"/>
      <c r="BP19" s="462"/>
      <c r="BQ19" s="462"/>
      <c r="BR19" s="462"/>
      <c r="BS19" s="462"/>
      <c r="BT19" s="462"/>
      <c r="BU19" s="462"/>
      <c r="BV19" s="462"/>
      <c r="BW19" s="462"/>
      <c r="BX19" s="462"/>
      <c r="BY19" s="462"/>
      <c r="BZ19" s="462"/>
      <c r="CA19" s="462"/>
      <c r="CB19" s="464"/>
      <c r="CC19" s="462"/>
      <c r="CD19" s="462"/>
      <c r="CE19" s="464"/>
      <c r="CF19" s="464"/>
      <c r="CG19" s="464"/>
      <c r="CH19" s="464"/>
      <c r="CI19" s="462"/>
      <c r="CJ19" s="462"/>
      <c r="CK19" s="464"/>
      <c r="CL19" s="464"/>
      <c r="CM19" s="464"/>
      <c r="CN19" s="357"/>
      <c r="CO19" s="346"/>
      <c r="CP19" s="346"/>
      <c r="CQ19" s="171"/>
      <c r="CR19" s="171"/>
      <c r="CS19" s="171"/>
      <c r="CT19" s="171"/>
      <c r="CU19" s="171"/>
      <c r="CV19" s="171"/>
      <c r="CW19" s="171"/>
      <c r="CX19" s="171"/>
      <c r="CY19" s="171"/>
      <c r="CZ19" s="171"/>
      <c r="DA19" s="171"/>
      <c r="DB19" s="171"/>
      <c r="DC19" s="171"/>
      <c r="DD19" s="171"/>
      <c r="DE19" s="171"/>
      <c r="DF19" s="171"/>
      <c r="DG19" s="171"/>
      <c r="DH19" s="171"/>
      <c r="DI19" s="171"/>
      <c r="DJ19" s="171"/>
      <c r="DK19" s="171"/>
      <c r="DL19" s="171"/>
      <c r="DM19" s="171"/>
      <c r="DN19" s="171"/>
      <c r="DO19" s="171"/>
      <c r="DP19" s="171"/>
      <c r="DQ19" s="171"/>
      <c r="DR19" s="171"/>
      <c r="DS19" s="171"/>
      <c r="DT19" s="171"/>
      <c r="DU19" s="171"/>
      <c r="DV19" s="171"/>
      <c r="DW19" s="170"/>
      <c r="DX19" s="170"/>
      <c r="DY19" s="170"/>
      <c r="DZ19" s="170"/>
      <c r="EA19" s="170"/>
      <c r="EB19" s="170"/>
      <c r="EC19" s="170"/>
      <c r="ED19" s="170"/>
    </row>
    <row r="20" spans="1:134" s="147" customFormat="1" ht="15" hidden="1" customHeight="1" x14ac:dyDescent="0.25">
      <c r="A20" s="146"/>
      <c r="B20" s="453" t="s">
        <v>596</v>
      </c>
      <c r="C20" s="111"/>
      <c r="D20" s="205">
        <f t="shared" si="0"/>
        <v>0</v>
      </c>
      <c r="E20" s="91"/>
      <c r="F20" s="91"/>
      <c r="G20" s="91"/>
      <c r="H20" s="91"/>
      <c r="I20" s="91"/>
      <c r="J20" s="91"/>
      <c r="K20" s="91"/>
      <c r="L20" s="91"/>
      <c r="M20" s="91"/>
      <c r="N20" s="91"/>
      <c r="O20" s="91"/>
      <c r="P20" s="91"/>
      <c r="Q20" s="206">
        <f t="shared" si="20"/>
        <v>0</v>
      </c>
      <c r="R20" s="205">
        <f t="shared" si="21"/>
        <v>0</v>
      </c>
      <c r="S20" s="206">
        <f t="shared" si="22"/>
        <v>0</v>
      </c>
      <c r="T20" s="206">
        <f t="shared" si="23"/>
        <v>0</v>
      </c>
      <c r="U20" s="206">
        <f t="shared" si="1"/>
        <v>0</v>
      </c>
      <c r="V20" s="92"/>
      <c r="W20" s="207">
        <f t="shared" si="2"/>
        <v>0</v>
      </c>
      <c r="X20" s="208">
        <f t="shared" si="3"/>
        <v>0</v>
      </c>
      <c r="Y20" s="209">
        <f t="shared" si="4"/>
        <v>0</v>
      </c>
      <c r="Z20" s="207">
        <f t="shared" si="5"/>
        <v>0</v>
      </c>
      <c r="AA20" s="210">
        <f t="shared" si="24"/>
        <v>0</v>
      </c>
      <c r="AB20" s="552">
        <f t="shared" si="6"/>
        <v>0</v>
      </c>
      <c r="AC20" s="207">
        <f t="shared" si="25"/>
        <v>0</v>
      </c>
      <c r="AD20" s="210">
        <f t="shared" si="26"/>
        <v>0</v>
      </c>
      <c r="AE20" s="211">
        <f t="shared" si="7"/>
        <v>0</v>
      </c>
      <c r="AF20" s="209">
        <f t="shared" si="8"/>
        <v>0</v>
      </c>
      <c r="AG20" s="207">
        <f t="shared" si="9"/>
        <v>0</v>
      </c>
      <c r="AH20" s="212">
        <f t="shared" si="27"/>
        <v>0</v>
      </c>
      <c r="AI20" s="212">
        <f t="shared" si="10"/>
        <v>0</v>
      </c>
      <c r="AJ20" s="207">
        <f t="shared" si="28"/>
        <v>0</v>
      </c>
      <c r="AK20" s="210">
        <f t="shared" si="29"/>
        <v>0</v>
      </c>
      <c r="AL20" s="211">
        <f t="shared" si="11"/>
        <v>0</v>
      </c>
      <c r="AM20" s="209">
        <f t="shared" si="12"/>
        <v>0</v>
      </c>
      <c r="AN20" s="207">
        <f t="shared" si="13"/>
        <v>0</v>
      </c>
      <c r="AO20" s="212">
        <f t="shared" si="30"/>
        <v>0</v>
      </c>
      <c r="AP20" s="212">
        <f t="shared" si="14"/>
        <v>0</v>
      </c>
      <c r="AQ20" s="207">
        <f t="shared" si="31"/>
        <v>0</v>
      </c>
      <c r="AR20" s="210">
        <f t="shared" si="32"/>
        <v>0</v>
      </c>
      <c r="AS20" s="213">
        <v>0</v>
      </c>
      <c r="AT20" s="209">
        <v>0</v>
      </c>
      <c r="AU20" s="207">
        <v>0</v>
      </c>
      <c r="AV20" s="212">
        <f t="shared" si="15"/>
        <v>0</v>
      </c>
      <c r="AW20" s="207">
        <f t="shared" si="16"/>
        <v>0</v>
      </c>
      <c r="AX20" s="210">
        <f t="shared" si="33"/>
        <v>0</v>
      </c>
      <c r="AY20" s="213">
        <v>0</v>
      </c>
      <c r="AZ20" s="209">
        <v>0</v>
      </c>
      <c r="BA20" s="207">
        <v>0</v>
      </c>
      <c r="BB20" s="212">
        <f t="shared" si="34"/>
        <v>0</v>
      </c>
      <c r="BC20" s="212">
        <f t="shared" si="17"/>
        <v>0</v>
      </c>
      <c r="BD20" s="207">
        <f t="shared" si="35"/>
        <v>0</v>
      </c>
      <c r="BE20" s="210">
        <f t="shared" si="36"/>
        <v>0</v>
      </c>
      <c r="BF20" s="206">
        <f t="shared" si="18"/>
        <v>0</v>
      </c>
      <c r="BG20" s="214">
        <f t="shared" si="19"/>
        <v>0</v>
      </c>
      <c r="BH20" s="160">
        <f t="shared" si="37"/>
        <v>0</v>
      </c>
      <c r="BI20" s="200"/>
      <c r="BJ20" s="462"/>
      <c r="BK20" s="462"/>
      <c r="BL20" s="462"/>
      <c r="BM20" s="463"/>
      <c r="BN20" s="463"/>
      <c r="BO20" s="463"/>
      <c r="BP20" s="462"/>
      <c r="BQ20" s="462"/>
      <c r="BR20" s="462"/>
      <c r="BS20" s="462"/>
      <c r="BT20" s="462"/>
      <c r="BU20" s="462"/>
      <c r="BV20" s="462"/>
      <c r="BW20" s="462"/>
      <c r="BX20" s="462"/>
      <c r="BY20" s="462"/>
      <c r="BZ20" s="462"/>
      <c r="CA20" s="462"/>
      <c r="CB20" s="464"/>
      <c r="CC20" s="462"/>
      <c r="CD20" s="462"/>
      <c r="CE20" s="464"/>
      <c r="CF20" s="464"/>
      <c r="CG20" s="464"/>
      <c r="CH20" s="464"/>
      <c r="CI20" s="462"/>
      <c r="CJ20" s="462"/>
      <c r="CK20" s="464"/>
      <c r="CL20" s="464"/>
      <c r="CM20" s="464"/>
      <c r="CN20" s="357"/>
      <c r="CO20" s="346"/>
      <c r="CP20" s="346"/>
      <c r="CQ20" s="171"/>
      <c r="CR20" s="171"/>
      <c r="CS20" s="171"/>
      <c r="CT20" s="171"/>
      <c r="CU20" s="171"/>
      <c r="CV20" s="171"/>
      <c r="CW20" s="171"/>
      <c r="CX20" s="171"/>
      <c r="CY20" s="171"/>
      <c r="CZ20" s="171"/>
      <c r="DA20" s="171"/>
      <c r="DB20" s="171"/>
      <c r="DC20" s="171"/>
      <c r="DD20" s="171"/>
      <c r="DE20" s="171"/>
      <c r="DF20" s="171"/>
      <c r="DG20" s="171"/>
      <c r="DH20" s="171"/>
      <c r="DI20" s="171"/>
      <c r="DJ20" s="171"/>
      <c r="DK20" s="171"/>
      <c r="DL20" s="171"/>
      <c r="DM20" s="171"/>
      <c r="DN20" s="171"/>
      <c r="DO20" s="171"/>
      <c r="DP20" s="171"/>
      <c r="DQ20" s="171"/>
      <c r="DR20" s="171"/>
      <c r="DS20" s="171"/>
      <c r="DT20" s="171"/>
      <c r="DU20" s="171"/>
      <c r="DV20" s="171"/>
      <c r="DW20" s="170"/>
      <c r="DX20" s="170"/>
      <c r="DY20" s="170"/>
      <c r="DZ20" s="170"/>
      <c r="EA20" s="170"/>
      <c r="EB20" s="170"/>
      <c r="EC20" s="170"/>
      <c r="ED20" s="170"/>
    </row>
    <row r="21" spans="1:134" s="147" customFormat="1" hidden="1" x14ac:dyDescent="0.25">
      <c r="A21" s="146"/>
      <c r="B21" s="454" t="s">
        <v>599</v>
      </c>
      <c r="C21" s="111"/>
      <c r="D21" s="205">
        <f t="shared" si="0"/>
        <v>0</v>
      </c>
      <c r="E21" s="91"/>
      <c r="F21" s="91"/>
      <c r="G21" s="91"/>
      <c r="H21" s="91"/>
      <c r="I21" s="91"/>
      <c r="J21" s="91"/>
      <c r="K21" s="91"/>
      <c r="L21" s="91"/>
      <c r="M21" s="91"/>
      <c r="N21" s="91"/>
      <c r="O21" s="91"/>
      <c r="P21" s="91"/>
      <c r="Q21" s="206">
        <f t="shared" si="20"/>
        <v>0</v>
      </c>
      <c r="R21" s="205">
        <f t="shared" si="21"/>
        <v>0</v>
      </c>
      <c r="S21" s="206">
        <f t="shared" si="22"/>
        <v>0</v>
      </c>
      <c r="T21" s="206">
        <f t="shared" si="23"/>
        <v>0</v>
      </c>
      <c r="U21" s="206">
        <f t="shared" si="1"/>
        <v>0</v>
      </c>
      <c r="V21" s="92"/>
      <c r="W21" s="207">
        <f t="shared" si="2"/>
        <v>0</v>
      </c>
      <c r="X21" s="208">
        <f t="shared" si="3"/>
        <v>0</v>
      </c>
      <c r="Y21" s="209">
        <f t="shared" si="4"/>
        <v>0</v>
      </c>
      <c r="Z21" s="207">
        <f t="shared" si="5"/>
        <v>0</v>
      </c>
      <c r="AA21" s="210">
        <f t="shared" si="24"/>
        <v>0</v>
      </c>
      <c r="AB21" s="210">
        <f t="shared" si="6"/>
        <v>0</v>
      </c>
      <c r="AC21" s="207">
        <f t="shared" si="25"/>
        <v>0</v>
      </c>
      <c r="AD21" s="210">
        <f t="shared" si="26"/>
        <v>0</v>
      </c>
      <c r="AE21" s="211">
        <f t="shared" si="7"/>
        <v>0</v>
      </c>
      <c r="AF21" s="209">
        <f t="shared" si="8"/>
        <v>0</v>
      </c>
      <c r="AG21" s="207">
        <f t="shared" si="9"/>
        <v>0</v>
      </c>
      <c r="AH21" s="212">
        <f t="shared" si="27"/>
        <v>0</v>
      </c>
      <c r="AI21" s="212">
        <f t="shared" si="10"/>
        <v>0</v>
      </c>
      <c r="AJ21" s="207">
        <f t="shared" si="28"/>
        <v>0</v>
      </c>
      <c r="AK21" s="210">
        <f t="shared" si="29"/>
        <v>0</v>
      </c>
      <c r="AL21" s="211">
        <f t="shared" si="11"/>
        <v>0</v>
      </c>
      <c r="AM21" s="209">
        <f t="shared" si="12"/>
        <v>0</v>
      </c>
      <c r="AN21" s="207">
        <f t="shared" si="13"/>
        <v>0</v>
      </c>
      <c r="AO21" s="212">
        <f t="shared" si="30"/>
        <v>0</v>
      </c>
      <c r="AP21" s="212">
        <f t="shared" si="14"/>
        <v>0</v>
      </c>
      <c r="AQ21" s="207">
        <f t="shared" si="31"/>
        <v>0</v>
      </c>
      <c r="AR21" s="210">
        <f t="shared" si="32"/>
        <v>0</v>
      </c>
      <c r="AS21" s="213">
        <v>0</v>
      </c>
      <c r="AT21" s="209">
        <v>0</v>
      </c>
      <c r="AU21" s="207">
        <v>0</v>
      </c>
      <c r="AV21" s="212">
        <f t="shared" si="15"/>
        <v>0</v>
      </c>
      <c r="AW21" s="207">
        <f t="shared" si="16"/>
        <v>0</v>
      </c>
      <c r="AX21" s="210">
        <f t="shared" si="33"/>
        <v>0</v>
      </c>
      <c r="AY21" s="213">
        <v>0</v>
      </c>
      <c r="AZ21" s="209">
        <v>0</v>
      </c>
      <c r="BA21" s="207">
        <v>0</v>
      </c>
      <c r="BB21" s="212">
        <f t="shared" si="34"/>
        <v>0</v>
      </c>
      <c r="BC21" s="212">
        <f t="shared" si="17"/>
        <v>0</v>
      </c>
      <c r="BD21" s="207">
        <f t="shared" si="35"/>
        <v>0</v>
      </c>
      <c r="BE21" s="210">
        <f t="shared" si="36"/>
        <v>0</v>
      </c>
      <c r="BF21" s="206">
        <f t="shared" si="18"/>
        <v>0</v>
      </c>
      <c r="BG21" s="214">
        <f t="shared" si="19"/>
        <v>0</v>
      </c>
      <c r="BH21" s="160">
        <f t="shared" si="37"/>
        <v>0</v>
      </c>
      <c r="BI21" s="200"/>
      <c r="BJ21" s="462"/>
      <c r="BK21" s="462"/>
      <c r="BL21" s="462"/>
      <c r="BM21" s="463"/>
      <c r="BN21" s="463"/>
      <c r="BO21" s="463"/>
      <c r="BP21" s="462"/>
      <c r="BQ21" s="462"/>
      <c r="BR21" s="462"/>
      <c r="BS21" s="462"/>
      <c r="BT21" s="462"/>
      <c r="BU21" s="462"/>
      <c r="BV21" s="462"/>
      <c r="BW21" s="462"/>
      <c r="BX21" s="462"/>
      <c r="BY21" s="462"/>
      <c r="BZ21" s="462"/>
      <c r="CA21" s="462"/>
      <c r="CB21" s="464"/>
      <c r="CC21" s="462"/>
      <c r="CD21" s="462"/>
      <c r="CE21" s="464"/>
      <c r="CF21" s="464"/>
      <c r="CG21" s="464"/>
      <c r="CH21" s="464"/>
      <c r="CI21" s="462"/>
      <c r="CJ21" s="462"/>
      <c r="CK21" s="464"/>
      <c r="CL21" s="464"/>
      <c r="CM21" s="464"/>
      <c r="CN21" s="357"/>
      <c r="CO21" s="346"/>
      <c r="CP21" s="346"/>
      <c r="CQ21" s="171"/>
      <c r="CR21" s="171"/>
      <c r="CS21" s="171"/>
      <c r="CT21" s="171"/>
      <c r="CU21" s="171"/>
      <c r="CV21" s="171"/>
      <c r="CW21" s="171"/>
      <c r="CX21" s="171"/>
      <c r="CY21" s="171"/>
      <c r="CZ21" s="171"/>
      <c r="DA21" s="171"/>
      <c r="DB21" s="171"/>
      <c r="DC21" s="171"/>
      <c r="DD21" s="171"/>
      <c r="DE21" s="171"/>
      <c r="DF21" s="171"/>
      <c r="DG21" s="171"/>
      <c r="DH21" s="171"/>
      <c r="DI21" s="171"/>
      <c r="DJ21" s="171"/>
      <c r="DK21" s="171"/>
      <c r="DL21" s="171"/>
      <c r="DM21" s="171"/>
      <c r="DN21" s="171"/>
      <c r="DO21" s="171"/>
      <c r="DP21" s="171"/>
      <c r="DQ21" s="171"/>
      <c r="DR21" s="171"/>
      <c r="DS21" s="171"/>
      <c r="DT21" s="171"/>
      <c r="DU21" s="171"/>
      <c r="DV21" s="171"/>
      <c r="DW21" s="170"/>
      <c r="DX21" s="170"/>
      <c r="DY21" s="170"/>
      <c r="DZ21" s="170"/>
      <c r="EA21" s="170"/>
      <c r="EB21" s="170"/>
      <c r="EC21" s="170"/>
      <c r="ED21" s="170"/>
    </row>
    <row r="22" spans="1:134" s="147" customFormat="1" hidden="1" x14ac:dyDescent="0.25">
      <c r="A22" s="146"/>
      <c r="B22" s="454"/>
      <c r="C22" s="111"/>
      <c r="D22" s="205">
        <f t="shared" si="0"/>
        <v>0</v>
      </c>
      <c r="E22" s="91"/>
      <c r="F22" s="91"/>
      <c r="G22" s="91"/>
      <c r="H22" s="91"/>
      <c r="I22" s="91"/>
      <c r="J22" s="91"/>
      <c r="K22" s="91"/>
      <c r="L22" s="91"/>
      <c r="M22" s="91"/>
      <c r="N22" s="91"/>
      <c r="O22" s="91"/>
      <c r="P22" s="91"/>
      <c r="Q22" s="206">
        <f t="shared" si="20"/>
        <v>0</v>
      </c>
      <c r="R22" s="205">
        <f t="shared" si="21"/>
        <v>0</v>
      </c>
      <c r="S22" s="206">
        <f t="shared" si="22"/>
        <v>0</v>
      </c>
      <c r="T22" s="206">
        <f t="shared" si="23"/>
        <v>0</v>
      </c>
      <c r="U22" s="206">
        <f t="shared" si="1"/>
        <v>0</v>
      </c>
      <c r="V22" s="92"/>
      <c r="W22" s="207">
        <f t="shared" si="2"/>
        <v>0</v>
      </c>
      <c r="X22" s="208">
        <f t="shared" si="3"/>
        <v>0</v>
      </c>
      <c r="Y22" s="209">
        <f t="shared" si="4"/>
        <v>0</v>
      </c>
      <c r="Z22" s="207">
        <f t="shared" si="5"/>
        <v>0</v>
      </c>
      <c r="AA22" s="210">
        <f t="shared" si="24"/>
        <v>0</v>
      </c>
      <c r="AB22" s="210">
        <f t="shared" si="6"/>
        <v>0</v>
      </c>
      <c r="AC22" s="207">
        <f t="shared" si="25"/>
        <v>0</v>
      </c>
      <c r="AD22" s="210">
        <f t="shared" si="26"/>
        <v>0</v>
      </c>
      <c r="AE22" s="211">
        <f t="shared" si="7"/>
        <v>0</v>
      </c>
      <c r="AF22" s="209">
        <f t="shared" si="8"/>
        <v>0</v>
      </c>
      <c r="AG22" s="207">
        <f t="shared" si="9"/>
        <v>0</v>
      </c>
      <c r="AH22" s="212">
        <f t="shared" si="27"/>
        <v>0</v>
      </c>
      <c r="AI22" s="212">
        <f t="shared" si="10"/>
        <v>0</v>
      </c>
      <c r="AJ22" s="207">
        <f t="shared" si="28"/>
        <v>0</v>
      </c>
      <c r="AK22" s="210">
        <f t="shared" si="29"/>
        <v>0</v>
      </c>
      <c r="AL22" s="211">
        <f t="shared" si="11"/>
        <v>0</v>
      </c>
      <c r="AM22" s="209">
        <f t="shared" si="12"/>
        <v>0</v>
      </c>
      <c r="AN22" s="207">
        <f t="shared" si="13"/>
        <v>0</v>
      </c>
      <c r="AO22" s="212">
        <f t="shared" si="30"/>
        <v>0</v>
      </c>
      <c r="AP22" s="212">
        <f t="shared" si="14"/>
        <v>0</v>
      </c>
      <c r="AQ22" s="207">
        <f t="shared" si="31"/>
        <v>0</v>
      </c>
      <c r="AR22" s="210">
        <f t="shared" si="32"/>
        <v>0</v>
      </c>
      <c r="AS22" s="213">
        <v>0</v>
      </c>
      <c r="AT22" s="209">
        <v>0</v>
      </c>
      <c r="AU22" s="207">
        <v>0</v>
      </c>
      <c r="AV22" s="212">
        <f t="shared" si="15"/>
        <v>0</v>
      </c>
      <c r="AW22" s="207">
        <f t="shared" si="16"/>
        <v>0</v>
      </c>
      <c r="AX22" s="210">
        <f t="shared" si="33"/>
        <v>0</v>
      </c>
      <c r="AY22" s="213">
        <v>0</v>
      </c>
      <c r="AZ22" s="209">
        <v>0</v>
      </c>
      <c r="BA22" s="207">
        <v>0</v>
      </c>
      <c r="BB22" s="212">
        <f t="shared" si="34"/>
        <v>0</v>
      </c>
      <c r="BC22" s="212">
        <f t="shared" si="17"/>
        <v>0</v>
      </c>
      <c r="BD22" s="207">
        <f t="shared" si="35"/>
        <v>0</v>
      </c>
      <c r="BE22" s="210">
        <f t="shared" si="36"/>
        <v>0</v>
      </c>
      <c r="BF22" s="206">
        <f t="shared" si="18"/>
        <v>0</v>
      </c>
      <c r="BG22" s="214">
        <f t="shared" si="19"/>
        <v>0</v>
      </c>
      <c r="BH22" s="160">
        <f t="shared" si="37"/>
        <v>0</v>
      </c>
      <c r="BI22" s="200"/>
      <c r="BJ22" s="462"/>
      <c r="BK22" s="462"/>
      <c r="BL22" s="462"/>
      <c r="BM22" s="463"/>
      <c r="BN22" s="463"/>
      <c r="BO22" s="463"/>
      <c r="BP22" s="462"/>
      <c r="BQ22" s="462"/>
      <c r="BR22" s="462"/>
      <c r="BS22" s="462"/>
      <c r="BT22" s="462"/>
      <c r="BU22" s="462"/>
      <c r="BV22" s="462"/>
      <c r="BW22" s="462"/>
      <c r="BX22" s="462"/>
      <c r="BY22" s="462"/>
      <c r="BZ22" s="462"/>
      <c r="CA22" s="462"/>
      <c r="CB22" s="464"/>
      <c r="CC22" s="462"/>
      <c r="CD22" s="462"/>
      <c r="CE22" s="464"/>
      <c r="CF22" s="464"/>
      <c r="CG22" s="464"/>
      <c r="CH22" s="464"/>
      <c r="CI22" s="462"/>
      <c r="CJ22" s="462"/>
      <c r="CK22" s="464"/>
      <c r="CL22" s="464"/>
      <c r="CM22" s="464"/>
      <c r="CN22" s="357"/>
      <c r="CO22" s="346"/>
      <c r="CP22" s="346"/>
      <c r="CQ22" s="171"/>
      <c r="CR22" s="171"/>
      <c r="CS22" s="171"/>
      <c r="CT22" s="171"/>
      <c r="CU22" s="171"/>
      <c r="CV22" s="171"/>
      <c r="CW22" s="171"/>
      <c r="CX22" s="171"/>
      <c r="CY22" s="171"/>
      <c r="CZ22" s="171"/>
      <c r="DA22" s="171"/>
      <c r="DB22" s="171"/>
      <c r="DC22" s="171"/>
      <c r="DD22" s="171"/>
      <c r="DE22" s="171"/>
      <c r="DF22" s="171"/>
      <c r="DG22" s="171"/>
      <c r="DH22" s="171"/>
      <c r="DI22" s="171"/>
      <c r="DJ22" s="171"/>
      <c r="DK22" s="171"/>
      <c r="DL22" s="171"/>
      <c r="DM22" s="171"/>
      <c r="DN22" s="171"/>
      <c r="DO22" s="171"/>
      <c r="DP22" s="171"/>
      <c r="DQ22" s="171"/>
      <c r="DR22" s="171"/>
      <c r="DS22" s="171"/>
      <c r="DT22" s="171"/>
      <c r="DU22" s="171"/>
      <c r="DV22" s="171"/>
      <c r="DW22" s="170"/>
      <c r="DX22" s="170"/>
      <c r="DY22" s="170"/>
      <c r="DZ22" s="170"/>
      <c r="EA22" s="170"/>
      <c r="EB22" s="170"/>
      <c r="EC22" s="170"/>
      <c r="ED22" s="170"/>
    </row>
    <row r="23" spans="1:134" s="147" customFormat="1" hidden="1" x14ac:dyDescent="0.25">
      <c r="A23" s="146"/>
      <c r="B23" s="455"/>
      <c r="C23" s="111"/>
      <c r="D23" s="205">
        <f t="shared" si="0"/>
        <v>0</v>
      </c>
      <c r="E23" s="91"/>
      <c r="F23" s="91"/>
      <c r="G23" s="91"/>
      <c r="H23" s="91"/>
      <c r="I23" s="91"/>
      <c r="J23" s="91"/>
      <c r="K23" s="91"/>
      <c r="L23" s="91"/>
      <c r="M23" s="91"/>
      <c r="N23" s="91"/>
      <c r="O23" s="91"/>
      <c r="P23" s="91"/>
      <c r="Q23" s="206">
        <f t="shared" si="20"/>
        <v>0</v>
      </c>
      <c r="R23" s="205">
        <f t="shared" si="21"/>
        <v>0</v>
      </c>
      <c r="S23" s="206">
        <f t="shared" si="22"/>
        <v>0</v>
      </c>
      <c r="T23" s="206">
        <f t="shared" si="23"/>
        <v>0</v>
      </c>
      <c r="U23" s="206">
        <f t="shared" si="1"/>
        <v>0</v>
      </c>
      <c r="V23" s="92"/>
      <c r="W23" s="207">
        <f t="shared" si="2"/>
        <v>0</v>
      </c>
      <c r="X23" s="208">
        <f t="shared" si="3"/>
        <v>0</v>
      </c>
      <c r="Y23" s="209">
        <f t="shared" si="4"/>
        <v>0</v>
      </c>
      <c r="Z23" s="207">
        <f t="shared" si="5"/>
        <v>0</v>
      </c>
      <c r="AA23" s="210">
        <f t="shared" si="24"/>
        <v>0</v>
      </c>
      <c r="AB23" s="210">
        <f t="shared" si="6"/>
        <v>0</v>
      </c>
      <c r="AC23" s="207">
        <f t="shared" si="25"/>
        <v>0</v>
      </c>
      <c r="AD23" s="210">
        <f t="shared" si="26"/>
        <v>0</v>
      </c>
      <c r="AE23" s="211">
        <f t="shared" si="7"/>
        <v>0</v>
      </c>
      <c r="AF23" s="209">
        <f t="shared" si="8"/>
        <v>0</v>
      </c>
      <c r="AG23" s="207">
        <f t="shared" si="9"/>
        <v>0</v>
      </c>
      <c r="AH23" s="212">
        <f t="shared" si="27"/>
        <v>0</v>
      </c>
      <c r="AI23" s="212">
        <f t="shared" si="10"/>
        <v>0</v>
      </c>
      <c r="AJ23" s="207">
        <f t="shared" si="28"/>
        <v>0</v>
      </c>
      <c r="AK23" s="210">
        <f t="shared" si="29"/>
        <v>0</v>
      </c>
      <c r="AL23" s="211">
        <f t="shared" si="11"/>
        <v>0</v>
      </c>
      <c r="AM23" s="209">
        <f t="shared" si="12"/>
        <v>0</v>
      </c>
      <c r="AN23" s="207">
        <f t="shared" si="13"/>
        <v>0</v>
      </c>
      <c r="AO23" s="212">
        <f t="shared" si="30"/>
        <v>0</v>
      </c>
      <c r="AP23" s="212">
        <f t="shared" si="14"/>
        <v>0</v>
      </c>
      <c r="AQ23" s="207">
        <f t="shared" si="31"/>
        <v>0</v>
      </c>
      <c r="AR23" s="210">
        <f t="shared" si="32"/>
        <v>0</v>
      </c>
      <c r="AS23" s="213">
        <v>0</v>
      </c>
      <c r="AT23" s="209">
        <v>0</v>
      </c>
      <c r="AU23" s="207">
        <v>0</v>
      </c>
      <c r="AV23" s="212">
        <f t="shared" si="15"/>
        <v>0</v>
      </c>
      <c r="AW23" s="207">
        <f>IF(AV23&gt;0,SQRT(($W23*$W23)+(AU23*AU23)+($V23*$V23)),0)</f>
        <v>0</v>
      </c>
      <c r="AX23" s="210">
        <f t="shared" si="33"/>
        <v>0</v>
      </c>
      <c r="AY23" s="213">
        <v>0</v>
      </c>
      <c r="AZ23" s="209">
        <v>0</v>
      </c>
      <c r="BA23" s="207">
        <v>0</v>
      </c>
      <c r="BB23" s="212">
        <f t="shared" si="34"/>
        <v>0</v>
      </c>
      <c r="BC23" s="212">
        <f t="shared" si="17"/>
        <v>0</v>
      </c>
      <c r="BD23" s="207">
        <f t="shared" si="35"/>
        <v>0</v>
      </c>
      <c r="BE23" s="210">
        <f t="shared" si="36"/>
        <v>0</v>
      </c>
      <c r="BF23" s="206">
        <f t="shared" si="18"/>
        <v>0</v>
      </c>
      <c r="BG23" s="214">
        <f t="shared" si="19"/>
        <v>0</v>
      </c>
      <c r="BH23" s="160">
        <f t="shared" si="37"/>
        <v>0</v>
      </c>
      <c r="BI23" s="200"/>
      <c r="BJ23" s="462"/>
      <c r="BK23" s="462"/>
      <c r="BL23" s="462"/>
      <c r="BM23" s="463"/>
      <c r="BN23" s="463"/>
      <c r="BO23" s="463"/>
      <c r="BP23" s="462"/>
      <c r="BQ23" s="462"/>
      <c r="BR23" s="462"/>
      <c r="BS23" s="462"/>
      <c r="BT23" s="462"/>
      <c r="BU23" s="462"/>
      <c r="BV23" s="462"/>
      <c r="BW23" s="462"/>
      <c r="BX23" s="462"/>
      <c r="BY23" s="462"/>
      <c r="BZ23" s="462"/>
      <c r="CA23" s="462"/>
      <c r="CB23" s="464"/>
      <c r="CC23" s="462"/>
      <c r="CD23" s="462"/>
      <c r="CE23" s="464"/>
      <c r="CF23" s="464"/>
      <c r="CG23" s="464"/>
      <c r="CH23" s="464"/>
      <c r="CI23" s="462"/>
      <c r="CJ23" s="462"/>
      <c r="CK23" s="464"/>
      <c r="CL23" s="464"/>
      <c r="CM23" s="464"/>
      <c r="CN23" s="357"/>
      <c r="CO23" s="346"/>
      <c r="CP23" s="346"/>
      <c r="CQ23" s="171"/>
      <c r="CR23" s="171"/>
      <c r="CS23" s="171"/>
      <c r="CT23" s="171"/>
      <c r="CU23" s="171"/>
      <c r="CV23" s="171"/>
      <c r="CW23" s="171"/>
      <c r="CX23" s="171"/>
      <c r="CY23" s="171"/>
      <c r="CZ23" s="171"/>
      <c r="DA23" s="171"/>
      <c r="DB23" s="171"/>
      <c r="DC23" s="171"/>
      <c r="DD23" s="171"/>
      <c r="DE23" s="171"/>
      <c r="DF23" s="171"/>
      <c r="DG23" s="171"/>
      <c r="DH23" s="171"/>
      <c r="DI23" s="171"/>
      <c r="DJ23" s="171"/>
      <c r="DK23" s="171"/>
      <c r="DL23" s="171"/>
      <c r="DM23" s="171"/>
      <c r="DN23" s="171"/>
      <c r="DO23" s="171"/>
      <c r="DP23" s="171"/>
      <c r="DQ23" s="171"/>
      <c r="DR23" s="171"/>
      <c r="DS23" s="171"/>
      <c r="DT23" s="171"/>
      <c r="DU23" s="171"/>
      <c r="DV23" s="171"/>
      <c r="DW23" s="170"/>
      <c r="DX23" s="170"/>
      <c r="DY23" s="170"/>
      <c r="DZ23" s="170"/>
      <c r="EA23" s="170"/>
      <c r="EB23" s="170"/>
      <c r="EC23" s="170"/>
      <c r="ED23" s="170"/>
    </row>
    <row r="24" spans="1:134" s="147" customFormat="1" x14ac:dyDescent="0.25">
      <c r="A24" s="146"/>
      <c r="B24" s="215" t="s">
        <v>129</v>
      </c>
      <c r="C24" s="216"/>
      <c r="D24" s="216"/>
      <c r="E24" s="216"/>
      <c r="F24" s="216"/>
      <c r="G24" s="216"/>
      <c r="H24" s="216"/>
      <c r="I24" s="216"/>
      <c r="J24" s="216"/>
      <c r="K24" s="216"/>
      <c r="L24" s="216"/>
      <c r="M24" s="216"/>
      <c r="N24" s="216"/>
      <c r="O24" s="216"/>
      <c r="P24" s="216"/>
      <c r="Q24" s="216"/>
      <c r="R24" s="216"/>
      <c r="S24" s="216"/>
      <c r="T24" s="216"/>
      <c r="U24" s="216"/>
      <c r="V24" s="216"/>
      <c r="W24" s="216"/>
      <c r="X24" s="217"/>
      <c r="Y24" s="216"/>
      <c r="Z24" s="216"/>
      <c r="AA24" s="218"/>
      <c r="AB24" s="219">
        <f>SUM(AB16:AB23)</f>
        <v>3684.3679143225718</v>
      </c>
      <c r="AC24" s="220">
        <f>IF(AB24&gt;0,SQRT(SUM(AD16:AD23))/AB24,0)</f>
        <v>4.0844865036845847E-2</v>
      </c>
      <c r="AD24" s="219">
        <f t="shared" si="26"/>
        <v>22646.490728178727</v>
      </c>
      <c r="AE24" s="221"/>
      <c r="AF24" s="216"/>
      <c r="AG24" s="216"/>
      <c r="AH24" s="222"/>
      <c r="AI24" s="219">
        <f>SUM(AI16:AI23)</f>
        <v>1.6773712014187354</v>
      </c>
      <c r="AJ24" s="220">
        <f>IF(AI24&gt;0,SQRT(SUM(AK16:AK23))/AI24,0)</f>
        <v>0.91953630248702256</v>
      </c>
      <c r="AK24" s="219">
        <f t="shared" si="29"/>
        <v>2.3790092121820061</v>
      </c>
      <c r="AL24" s="216"/>
      <c r="AM24" s="216"/>
      <c r="AN24" s="216"/>
      <c r="AO24" s="216"/>
      <c r="AP24" s="219">
        <f>SUM(AP16:AP23)</f>
        <v>4.3479332548328129</v>
      </c>
      <c r="AQ24" s="220">
        <f>IF(AP24&gt;0,SQRT(SUM(AR16:AR23))/AP24,0)</f>
        <v>0.2349964546308419</v>
      </c>
      <c r="AR24" s="219">
        <f t="shared" si="32"/>
        <v>1.0439708143594963</v>
      </c>
      <c r="AS24" s="216"/>
      <c r="AT24" s="216"/>
      <c r="AU24" s="216"/>
      <c r="AV24" s="219">
        <f>SUM(AV16:AV23)</f>
        <v>0</v>
      </c>
      <c r="AW24" s="220">
        <f>IF(AV24&gt;0,SQRT(SUM(AX16:AX23))/AV24,0)</f>
        <v>0</v>
      </c>
      <c r="AX24" s="219">
        <f t="shared" si="33"/>
        <v>0</v>
      </c>
      <c r="AY24" s="216"/>
      <c r="AZ24" s="216"/>
      <c r="BA24" s="223"/>
      <c r="BB24" s="224"/>
      <c r="BC24" s="219">
        <f>SUM(BC16:BC23)</f>
        <v>0</v>
      </c>
      <c r="BD24" s="220">
        <f>IF(BC24&gt;0,SQRT(SUM(BE16:BE23))/BC24,0)</f>
        <v>0</v>
      </c>
      <c r="BE24" s="219">
        <f t="shared" si="36"/>
        <v>0</v>
      </c>
      <c r="BF24" s="219">
        <f>SUM(BF16:BF23)</f>
        <v>3690.3932187788237</v>
      </c>
      <c r="BG24" s="225">
        <f>IF(BF24&gt;0,SQRT(SUM(BH16:BH23))/BF24,0)</f>
        <v>4.0781259292787947E-2</v>
      </c>
      <c r="BH24" s="160">
        <f t="shared" si="37"/>
        <v>22649.913708205273</v>
      </c>
      <c r="BI24" s="200"/>
      <c r="BJ24" s="462"/>
      <c r="BK24" s="462"/>
      <c r="BL24" s="462"/>
      <c r="BM24" s="463"/>
      <c r="BN24" s="463"/>
      <c r="BO24" s="463"/>
      <c r="BP24" s="462"/>
      <c r="BQ24" s="462"/>
      <c r="BR24" s="462"/>
      <c r="BS24" s="462"/>
      <c r="BT24" s="462"/>
      <c r="BU24" s="462"/>
      <c r="BV24" s="462"/>
      <c r="BW24" s="462"/>
      <c r="BX24" s="462"/>
      <c r="BY24" s="462"/>
      <c r="BZ24" s="462"/>
      <c r="CA24" s="462"/>
      <c r="CB24" s="464"/>
      <c r="CC24" s="462"/>
      <c r="CD24" s="462"/>
      <c r="CE24" s="464"/>
      <c r="CF24" s="464"/>
      <c r="CG24" s="464"/>
      <c r="CH24" s="464"/>
      <c r="CI24" s="462"/>
      <c r="CJ24" s="462"/>
      <c r="CK24" s="464"/>
      <c r="CL24" s="464"/>
      <c r="CM24" s="464"/>
      <c r="CN24" s="357"/>
      <c r="CO24" s="346"/>
      <c r="CP24" s="346"/>
      <c r="CQ24" s="171"/>
      <c r="CR24" s="171"/>
      <c r="CS24" s="171"/>
      <c r="CT24" s="171"/>
      <c r="CU24" s="171"/>
      <c r="CV24" s="171"/>
      <c r="CW24" s="171"/>
      <c r="CX24" s="171"/>
      <c r="CY24" s="171"/>
      <c r="CZ24" s="171"/>
      <c r="DA24" s="171"/>
      <c r="DB24" s="171"/>
      <c r="DC24" s="171"/>
      <c r="DD24" s="171"/>
      <c r="DE24" s="171"/>
      <c r="DF24" s="171"/>
      <c r="DG24" s="171"/>
      <c r="DH24" s="171"/>
      <c r="DI24" s="171"/>
      <c r="DJ24" s="171"/>
      <c r="DK24" s="171"/>
      <c r="DL24" s="171"/>
      <c r="DM24" s="171"/>
      <c r="DN24" s="171"/>
      <c r="DO24" s="171"/>
      <c r="DP24" s="171"/>
      <c r="DQ24" s="171"/>
      <c r="DR24" s="171"/>
      <c r="DS24" s="171"/>
      <c r="DT24" s="171"/>
      <c r="DU24" s="171"/>
      <c r="DV24" s="171"/>
      <c r="DW24" s="170"/>
      <c r="DX24" s="170"/>
      <c r="DY24" s="170"/>
      <c r="DZ24" s="170"/>
      <c r="EA24" s="170"/>
      <c r="EB24" s="170"/>
      <c r="EC24" s="170"/>
      <c r="ED24" s="170"/>
    </row>
    <row r="25" spans="1:134" s="147" customFormat="1" ht="15" hidden="1" customHeight="1" x14ac:dyDescent="0.25">
      <c r="A25" s="146"/>
      <c r="B25" s="453" t="s">
        <v>597</v>
      </c>
      <c r="C25" s="111"/>
      <c r="D25" s="205">
        <f t="shared" ref="D25:D32" si="38">VLOOKUP($C25,$BI$195:$CM$609,2,FALSE)</f>
        <v>0</v>
      </c>
      <c r="E25" s="91"/>
      <c r="F25" s="91"/>
      <c r="G25" s="91"/>
      <c r="H25" s="91"/>
      <c r="I25" s="91"/>
      <c r="J25" s="91"/>
      <c r="K25" s="91"/>
      <c r="L25" s="91"/>
      <c r="M25" s="91"/>
      <c r="N25" s="91"/>
      <c r="O25" s="91"/>
      <c r="P25" s="91"/>
      <c r="Q25" s="206">
        <f t="shared" ref="Q25:Q32" si="39">SUM(E25:P25)</f>
        <v>0</v>
      </c>
      <c r="R25" s="205">
        <f t="shared" ref="R25:R32" si="40">COUNT(E25:P25)</f>
        <v>0</v>
      </c>
      <c r="S25" s="206">
        <f t="shared" ref="S25:S32" si="41">IF(R25&gt;1,AVERAGE(E25:P25),0)</f>
        <v>0</v>
      </c>
      <c r="T25" s="206">
        <f t="shared" ref="T25:T32" si="42">IF(R25&gt;1,STDEV(E25:P25),0)</f>
        <v>0</v>
      </c>
      <c r="U25" s="206">
        <f t="shared" ref="U25:U32" si="43">IF(R25&gt;1,VLOOKUP($R25,$BI$529:$BJ$541,2,FALSE),0)</f>
        <v>0</v>
      </c>
      <c r="V25" s="92"/>
      <c r="W25" s="207">
        <f t="shared" ref="W25:W32" si="44">IF(R25&gt;1,1-((S25-((T25*U25)/(SQRT(R25))))/S25),VLOOKUP($C25,$BI$195:$CP$609,34,FALSE))</f>
        <v>0</v>
      </c>
      <c r="X25" s="208">
        <v>0</v>
      </c>
      <c r="Y25" s="209">
        <v>0</v>
      </c>
      <c r="Z25" s="207">
        <v>0</v>
      </c>
      <c r="AA25" s="210">
        <f t="shared" ref="AA25:AA32" si="45">($Q25*X25)/1000</f>
        <v>0</v>
      </c>
      <c r="AB25" s="210">
        <f t="shared" ref="AB25:AB32" si="46">AA25*$BJ$547</f>
        <v>0</v>
      </c>
      <c r="AC25" s="207">
        <f t="shared" ref="AC25:AC32" si="47">IF(AA25&gt;0,SQRT(($W25*$W25)+(Z25*Z25)+($V25*$V25)),0)</f>
        <v>0</v>
      </c>
      <c r="AD25" s="210">
        <f t="shared" ref="AD25:AD34" si="48">(AB25*AC25)^2</f>
        <v>0</v>
      </c>
      <c r="AE25" s="211">
        <v>0</v>
      </c>
      <c r="AF25" s="209">
        <v>0</v>
      </c>
      <c r="AG25" s="207">
        <v>0</v>
      </c>
      <c r="AH25" s="212">
        <f t="shared" ref="AH25:AH32" si="49">($Q25*AE25)/1000</f>
        <v>0</v>
      </c>
      <c r="AI25" s="212">
        <f t="shared" ref="AI25:AI32" si="50">AH25*$BJ$548</f>
        <v>0</v>
      </c>
      <c r="AJ25" s="207">
        <f t="shared" ref="AJ25:AJ32" si="51">IF(AH25&gt;0,SQRT(($W25*$W25)+(AG25*AG25)+($V25*$V25)),0)</f>
        <v>0</v>
      </c>
      <c r="AK25" s="210">
        <f t="shared" ref="AK25:AK34" si="52">(AI25*AJ25)^2</f>
        <v>0</v>
      </c>
      <c r="AL25" s="211">
        <v>0</v>
      </c>
      <c r="AM25" s="209">
        <f>VLOOKUP($C25,$BI$195:$CM$609,28,FALSE)</f>
        <v>0</v>
      </c>
      <c r="AN25" s="207">
        <v>0</v>
      </c>
      <c r="AO25" s="212">
        <f>(W25*AL25)/1000</f>
        <v>0</v>
      </c>
      <c r="AP25" s="212">
        <f t="shared" ref="AP25:AP32" si="53">AO25*$BJ$549</f>
        <v>0</v>
      </c>
      <c r="AQ25" s="207">
        <f t="shared" ref="AQ25:AQ32" si="54">IF(AO25&gt;0,SQRT(($W25*$W25)+(AN25*AN25)+($V25*$V25)),0)</f>
        <v>0</v>
      </c>
      <c r="AR25" s="210">
        <f t="shared" ref="AR25:AR34" si="55">(AP25*AQ25)^2</f>
        <v>0</v>
      </c>
      <c r="AS25" s="213">
        <f>VLOOKUP($C25,$BI$195:$CM$609,3,FALSE)</f>
        <v>0</v>
      </c>
      <c r="AT25" s="209">
        <f>VLOOKUP($C25,$BI$195:$CM$609,4,FALSE)</f>
        <v>0</v>
      </c>
      <c r="AU25" s="207">
        <f>IF($Q25&gt;0,VLOOKUP($C25,$BI$195:$CM$609,6,FALSE),0)</f>
        <v>0</v>
      </c>
      <c r="AV25" s="212">
        <f t="shared" ref="AV25:AV32" si="56">($Q25*AS25)/1000</f>
        <v>0</v>
      </c>
      <c r="AW25" s="207">
        <f>IF(AV25&gt;0,SQRT(($W25*$W25)+(AU25*AU25)+($V25*$V25)),0)</f>
        <v>0</v>
      </c>
      <c r="AX25" s="210">
        <f t="shared" ref="AX25:AX34" si="57">(AV25*AW25)^2</f>
        <v>0</v>
      </c>
      <c r="AY25" s="213">
        <v>0</v>
      </c>
      <c r="AZ25" s="209">
        <v>0</v>
      </c>
      <c r="BA25" s="207">
        <v>0</v>
      </c>
      <c r="BB25" s="212">
        <f t="shared" ref="BB25:BB32" si="58">($Q25*AY25)/1000</f>
        <v>0</v>
      </c>
      <c r="BC25" s="212">
        <f t="shared" ref="BC25:BC32" si="59">BB25*$BJ$550</f>
        <v>0</v>
      </c>
      <c r="BD25" s="207">
        <v>0</v>
      </c>
      <c r="BE25" s="210">
        <f t="shared" ref="BE25:BE34" si="60">(BC25*BD25)^2</f>
        <v>0</v>
      </c>
      <c r="BF25" s="206">
        <f t="shared" ref="BF25:BF32" si="61">AB25+AI25+AP25+AV25+BC25</f>
        <v>0</v>
      </c>
      <c r="BG25" s="214">
        <f t="shared" ref="BG25:BG32" si="62">IF(BF25&gt;0,SQRT(AD25+AK25+AR25+AX25+BE25)/BF25,0)</f>
        <v>0</v>
      </c>
      <c r="BH25" s="160">
        <f t="shared" si="37"/>
        <v>0</v>
      </c>
      <c r="BI25" s="200"/>
      <c r="BJ25" s="462"/>
      <c r="BK25" s="462"/>
      <c r="BL25" s="462"/>
      <c r="BM25" s="463"/>
      <c r="BN25" s="463"/>
      <c r="BO25" s="463"/>
      <c r="BP25" s="462"/>
      <c r="BQ25" s="462"/>
      <c r="BR25" s="462"/>
      <c r="BS25" s="462"/>
      <c r="BT25" s="462"/>
      <c r="BU25" s="462"/>
      <c r="BV25" s="462"/>
      <c r="BW25" s="462"/>
      <c r="BX25" s="462"/>
      <c r="BY25" s="462"/>
      <c r="BZ25" s="462"/>
      <c r="CA25" s="462"/>
      <c r="CB25" s="464"/>
      <c r="CC25" s="462"/>
      <c r="CD25" s="462"/>
      <c r="CE25" s="464"/>
      <c r="CF25" s="464"/>
      <c r="CG25" s="464"/>
      <c r="CH25" s="464"/>
      <c r="CI25" s="462"/>
      <c r="CJ25" s="462"/>
      <c r="CK25" s="464"/>
      <c r="CL25" s="464"/>
      <c r="CM25" s="464"/>
      <c r="CN25" s="357"/>
      <c r="CO25" s="346"/>
      <c r="CP25" s="346"/>
      <c r="CQ25" s="171"/>
      <c r="CR25" s="171"/>
      <c r="CS25" s="171"/>
      <c r="CT25" s="171"/>
      <c r="CU25" s="171"/>
      <c r="CV25" s="171"/>
      <c r="CW25" s="171"/>
      <c r="CX25" s="171"/>
      <c r="CY25" s="171"/>
      <c r="CZ25" s="171"/>
      <c r="DA25" s="171"/>
      <c r="DB25" s="171"/>
      <c r="DC25" s="171"/>
      <c r="DD25" s="171"/>
      <c r="DE25" s="171"/>
      <c r="DF25" s="171"/>
      <c r="DG25" s="171"/>
      <c r="DH25" s="171"/>
      <c r="DI25" s="171"/>
      <c r="DJ25" s="171"/>
      <c r="DK25" s="171"/>
      <c r="DL25" s="171"/>
      <c r="DM25" s="171"/>
      <c r="DN25" s="171"/>
      <c r="DO25" s="171"/>
      <c r="DP25" s="171"/>
      <c r="DQ25" s="171"/>
      <c r="DR25" s="171"/>
      <c r="DS25" s="171"/>
      <c r="DT25" s="171"/>
      <c r="DU25" s="171"/>
      <c r="DV25" s="171"/>
      <c r="DW25" s="170"/>
      <c r="DX25" s="170"/>
      <c r="DY25" s="170"/>
      <c r="DZ25" s="170"/>
      <c r="EA25" s="170"/>
      <c r="EB25" s="170"/>
      <c r="EC25" s="170"/>
      <c r="ED25" s="170"/>
    </row>
    <row r="26" spans="1:134" s="147" customFormat="1" hidden="1" x14ac:dyDescent="0.25">
      <c r="A26" s="146"/>
      <c r="B26" s="456" t="s">
        <v>599</v>
      </c>
      <c r="C26" s="111"/>
      <c r="D26" s="205">
        <f t="shared" si="38"/>
        <v>0</v>
      </c>
      <c r="E26" s="91"/>
      <c r="F26" s="91"/>
      <c r="G26" s="91"/>
      <c r="H26" s="91"/>
      <c r="I26" s="91"/>
      <c r="J26" s="91"/>
      <c r="K26" s="91"/>
      <c r="L26" s="91"/>
      <c r="M26" s="91"/>
      <c r="N26" s="91"/>
      <c r="O26" s="91"/>
      <c r="P26" s="91"/>
      <c r="Q26" s="206">
        <f t="shared" si="39"/>
        <v>0</v>
      </c>
      <c r="R26" s="205">
        <f t="shared" si="40"/>
        <v>0</v>
      </c>
      <c r="S26" s="206">
        <f t="shared" si="41"/>
        <v>0</v>
      </c>
      <c r="T26" s="206">
        <f t="shared" si="42"/>
        <v>0</v>
      </c>
      <c r="U26" s="206">
        <f t="shared" si="43"/>
        <v>0</v>
      </c>
      <c r="V26" s="92"/>
      <c r="W26" s="207">
        <f t="shared" si="44"/>
        <v>0</v>
      </c>
      <c r="X26" s="208">
        <v>0</v>
      </c>
      <c r="Y26" s="209">
        <v>0</v>
      </c>
      <c r="Z26" s="207">
        <v>0</v>
      </c>
      <c r="AA26" s="210">
        <f t="shared" si="45"/>
        <v>0</v>
      </c>
      <c r="AB26" s="210">
        <f t="shared" si="46"/>
        <v>0</v>
      </c>
      <c r="AC26" s="207">
        <f t="shared" si="47"/>
        <v>0</v>
      </c>
      <c r="AD26" s="210">
        <f t="shared" si="48"/>
        <v>0</v>
      </c>
      <c r="AE26" s="211">
        <v>0</v>
      </c>
      <c r="AF26" s="209">
        <v>0</v>
      </c>
      <c r="AG26" s="207">
        <v>0</v>
      </c>
      <c r="AH26" s="212">
        <f t="shared" si="49"/>
        <v>0</v>
      </c>
      <c r="AI26" s="212">
        <f t="shared" si="50"/>
        <v>0</v>
      </c>
      <c r="AJ26" s="207">
        <f t="shared" si="51"/>
        <v>0</v>
      </c>
      <c r="AK26" s="210">
        <f t="shared" si="52"/>
        <v>0</v>
      </c>
      <c r="AL26" s="211">
        <v>0</v>
      </c>
      <c r="AM26" s="209">
        <v>0</v>
      </c>
      <c r="AN26" s="207">
        <v>0</v>
      </c>
      <c r="AO26" s="212">
        <f>(W26*AL26)/1000</f>
        <v>0</v>
      </c>
      <c r="AP26" s="212">
        <f t="shared" si="53"/>
        <v>0</v>
      </c>
      <c r="AQ26" s="207">
        <f t="shared" si="54"/>
        <v>0</v>
      </c>
      <c r="AR26" s="210">
        <f t="shared" si="55"/>
        <v>0</v>
      </c>
      <c r="AS26" s="213">
        <f>VLOOKUP($C26,$BI$195:$CM$609,3,FALSE)</f>
        <v>0</v>
      </c>
      <c r="AT26" s="209">
        <f>VLOOKUP($C26,$BI$195:$CM$609,4,FALSE)</f>
        <v>0</v>
      </c>
      <c r="AU26" s="207">
        <f>IF($Q26&gt;0,VLOOKUP($C26,$BI$195:$CM$609,6,FALSE),0)</f>
        <v>0</v>
      </c>
      <c r="AV26" s="212">
        <f t="shared" si="56"/>
        <v>0</v>
      </c>
      <c r="AW26" s="207">
        <f t="shared" ref="AW26:AW32" si="63">IF(AV26&gt;0,SQRT(($W26*$W26)+(AU26*AU26)+($V26*$V26)),0)</f>
        <v>0</v>
      </c>
      <c r="AX26" s="210">
        <f t="shared" si="57"/>
        <v>0</v>
      </c>
      <c r="AY26" s="213">
        <v>0</v>
      </c>
      <c r="AZ26" s="209">
        <v>0</v>
      </c>
      <c r="BA26" s="207">
        <v>0</v>
      </c>
      <c r="BB26" s="212">
        <f t="shared" si="58"/>
        <v>0</v>
      </c>
      <c r="BC26" s="212">
        <f t="shared" si="59"/>
        <v>0</v>
      </c>
      <c r="BD26" s="207">
        <v>0</v>
      </c>
      <c r="BE26" s="210">
        <f t="shared" si="60"/>
        <v>0</v>
      </c>
      <c r="BF26" s="206">
        <f t="shared" si="61"/>
        <v>0</v>
      </c>
      <c r="BG26" s="214">
        <f t="shared" si="62"/>
        <v>0</v>
      </c>
      <c r="BH26" s="160">
        <f t="shared" si="37"/>
        <v>0</v>
      </c>
      <c r="BI26" s="200"/>
      <c r="BJ26" s="462"/>
      <c r="BK26" s="462"/>
      <c r="BL26" s="462"/>
      <c r="BM26" s="463"/>
      <c r="BN26" s="463"/>
      <c r="BO26" s="463"/>
      <c r="BP26" s="462"/>
      <c r="BQ26" s="462"/>
      <c r="BR26" s="462"/>
      <c r="BS26" s="462"/>
      <c r="BT26" s="462"/>
      <c r="BU26" s="462"/>
      <c r="BV26" s="462"/>
      <c r="BW26" s="462"/>
      <c r="BX26" s="462"/>
      <c r="BY26" s="462"/>
      <c r="BZ26" s="462"/>
      <c r="CA26" s="462"/>
      <c r="CB26" s="464"/>
      <c r="CC26" s="462"/>
      <c r="CD26" s="462"/>
      <c r="CE26" s="464"/>
      <c r="CF26" s="464"/>
      <c r="CG26" s="464"/>
      <c r="CH26" s="464"/>
      <c r="CI26" s="462"/>
      <c r="CJ26" s="462"/>
      <c r="CK26" s="464"/>
      <c r="CL26" s="464"/>
      <c r="CM26" s="464"/>
      <c r="CN26" s="357"/>
      <c r="CO26" s="346"/>
      <c r="CP26" s="346"/>
      <c r="CQ26" s="171"/>
      <c r="CR26" s="171"/>
      <c r="CS26" s="171"/>
      <c r="CT26" s="171"/>
      <c r="CU26" s="171"/>
      <c r="CV26" s="171"/>
      <c r="CW26" s="171"/>
      <c r="CX26" s="171"/>
      <c r="CY26" s="171"/>
      <c r="CZ26" s="171"/>
      <c r="DA26" s="171"/>
      <c r="DB26" s="171"/>
      <c r="DC26" s="171"/>
      <c r="DD26" s="171"/>
      <c r="DE26" s="171"/>
      <c r="DF26" s="171"/>
      <c r="DG26" s="171"/>
      <c r="DH26" s="171"/>
      <c r="DI26" s="171"/>
      <c r="DJ26" s="171"/>
      <c r="DK26" s="171"/>
      <c r="DL26" s="171"/>
      <c r="DM26" s="171"/>
      <c r="DN26" s="171"/>
      <c r="DO26" s="171"/>
      <c r="DP26" s="171"/>
      <c r="DQ26" s="171"/>
      <c r="DR26" s="171"/>
      <c r="DS26" s="171"/>
      <c r="DT26" s="171"/>
      <c r="DU26" s="171"/>
      <c r="DV26" s="171"/>
      <c r="DW26" s="170"/>
      <c r="DX26" s="170"/>
      <c r="DY26" s="170"/>
      <c r="DZ26" s="170"/>
      <c r="EA26" s="170"/>
      <c r="EB26" s="170"/>
      <c r="EC26" s="170"/>
      <c r="ED26" s="170"/>
    </row>
    <row r="27" spans="1:134" s="147" customFormat="1" hidden="1" x14ac:dyDescent="0.25">
      <c r="A27" s="146"/>
      <c r="B27" s="456"/>
      <c r="C27" s="111"/>
      <c r="D27" s="205">
        <f t="shared" si="38"/>
        <v>0</v>
      </c>
      <c r="E27" s="91"/>
      <c r="F27" s="91"/>
      <c r="G27" s="91"/>
      <c r="H27" s="91"/>
      <c r="I27" s="91"/>
      <c r="J27" s="91"/>
      <c r="K27" s="91"/>
      <c r="L27" s="91"/>
      <c r="M27" s="91"/>
      <c r="N27" s="91"/>
      <c r="O27" s="91"/>
      <c r="P27" s="91"/>
      <c r="Q27" s="206">
        <f t="shared" si="39"/>
        <v>0</v>
      </c>
      <c r="R27" s="205">
        <f t="shared" si="40"/>
        <v>0</v>
      </c>
      <c r="S27" s="206">
        <f t="shared" si="41"/>
        <v>0</v>
      </c>
      <c r="T27" s="206">
        <f t="shared" si="42"/>
        <v>0</v>
      </c>
      <c r="U27" s="206">
        <f t="shared" si="43"/>
        <v>0</v>
      </c>
      <c r="V27" s="92"/>
      <c r="W27" s="207">
        <f t="shared" si="44"/>
        <v>0</v>
      </c>
      <c r="X27" s="208">
        <v>0</v>
      </c>
      <c r="Y27" s="209">
        <v>0</v>
      </c>
      <c r="Z27" s="207">
        <v>0</v>
      </c>
      <c r="AA27" s="210">
        <f t="shared" si="45"/>
        <v>0</v>
      </c>
      <c r="AB27" s="210">
        <f t="shared" si="46"/>
        <v>0</v>
      </c>
      <c r="AC27" s="207">
        <f t="shared" si="47"/>
        <v>0</v>
      </c>
      <c r="AD27" s="210">
        <f t="shared" si="48"/>
        <v>0</v>
      </c>
      <c r="AE27" s="211">
        <v>0</v>
      </c>
      <c r="AF27" s="209">
        <v>0</v>
      </c>
      <c r="AG27" s="207">
        <v>0</v>
      </c>
      <c r="AH27" s="212">
        <f t="shared" si="49"/>
        <v>0</v>
      </c>
      <c r="AI27" s="212">
        <f t="shared" si="50"/>
        <v>0</v>
      </c>
      <c r="AJ27" s="207">
        <f t="shared" si="51"/>
        <v>0</v>
      </c>
      <c r="AK27" s="210">
        <f t="shared" si="52"/>
        <v>0</v>
      </c>
      <c r="AL27" s="211">
        <v>0</v>
      </c>
      <c r="AM27" s="209">
        <v>0</v>
      </c>
      <c r="AN27" s="207">
        <v>0</v>
      </c>
      <c r="AO27" s="212">
        <f>(W27*AL27)/1000</f>
        <v>0</v>
      </c>
      <c r="AP27" s="212">
        <f t="shared" si="53"/>
        <v>0</v>
      </c>
      <c r="AQ27" s="207">
        <f t="shared" si="54"/>
        <v>0</v>
      </c>
      <c r="AR27" s="210">
        <f t="shared" si="55"/>
        <v>0</v>
      </c>
      <c r="AS27" s="213">
        <f>VLOOKUP($C27,$BI$195:$CM$609,3,FALSE)</f>
        <v>0</v>
      </c>
      <c r="AT27" s="209">
        <f>VLOOKUP($C27,$BI$195:$CM$609,4,FALSE)</f>
        <v>0</v>
      </c>
      <c r="AU27" s="207">
        <f>IF($Q27&gt;0,VLOOKUP($C27,$BI$195:$CM$609,6,FALSE),0)</f>
        <v>0</v>
      </c>
      <c r="AV27" s="212">
        <f t="shared" si="56"/>
        <v>0</v>
      </c>
      <c r="AW27" s="207">
        <f t="shared" si="63"/>
        <v>0</v>
      </c>
      <c r="AX27" s="210">
        <f t="shared" si="57"/>
        <v>0</v>
      </c>
      <c r="AY27" s="213">
        <v>0</v>
      </c>
      <c r="AZ27" s="209">
        <v>0</v>
      </c>
      <c r="BA27" s="207">
        <v>0</v>
      </c>
      <c r="BB27" s="212">
        <f t="shared" si="58"/>
        <v>0</v>
      </c>
      <c r="BC27" s="212">
        <f t="shared" si="59"/>
        <v>0</v>
      </c>
      <c r="BD27" s="207">
        <v>0</v>
      </c>
      <c r="BE27" s="210">
        <f t="shared" si="60"/>
        <v>0</v>
      </c>
      <c r="BF27" s="206">
        <f t="shared" si="61"/>
        <v>0</v>
      </c>
      <c r="BG27" s="214">
        <f t="shared" si="62"/>
        <v>0</v>
      </c>
      <c r="BH27" s="160">
        <f t="shared" si="37"/>
        <v>0</v>
      </c>
      <c r="BI27" s="200"/>
      <c r="BJ27" s="462"/>
      <c r="BK27" s="462"/>
      <c r="BL27" s="462"/>
      <c r="BM27" s="463"/>
      <c r="BN27" s="463"/>
      <c r="BO27" s="463"/>
      <c r="BP27" s="462"/>
      <c r="BQ27" s="462"/>
      <c r="BR27" s="462"/>
      <c r="BS27" s="462"/>
      <c r="BT27" s="462"/>
      <c r="BU27" s="462"/>
      <c r="BV27" s="462"/>
      <c r="BW27" s="462"/>
      <c r="BX27" s="462"/>
      <c r="BY27" s="462"/>
      <c r="BZ27" s="462"/>
      <c r="CA27" s="462"/>
      <c r="CB27" s="464"/>
      <c r="CC27" s="462"/>
      <c r="CD27" s="462"/>
      <c r="CE27" s="464"/>
      <c r="CF27" s="464"/>
      <c r="CG27" s="464"/>
      <c r="CH27" s="464"/>
      <c r="CI27" s="462"/>
      <c r="CJ27" s="462"/>
      <c r="CK27" s="464"/>
      <c r="CL27" s="464"/>
      <c r="CM27" s="464"/>
      <c r="CN27" s="357"/>
      <c r="CO27" s="346"/>
      <c r="CP27" s="346"/>
      <c r="CQ27" s="171"/>
      <c r="CR27" s="171"/>
      <c r="CS27" s="171"/>
      <c r="CT27" s="171"/>
      <c r="CU27" s="171"/>
      <c r="CV27" s="171"/>
      <c r="CW27" s="171"/>
      <c r="CX27" s="171"/>
      <c r="CY27" s="171"/>
      <c r="CZ27" s="171"/>
      <c r="DA27" s="171"/>
      <c r="DB27" s="171"/>
      <c r="DC27" s="171"/>
      <c r="DD27" s="171"/>
      <c r="DE27" s="171"/>
      <c r="DF27" s="171"/>
      <c r="DG27" s="171"/>
      <c r="DH27" s="171"/>
      <c r="DI27" s="171"/>
      <c r="DJ27" s="171"/>
      <c r="DK27" s="171"/>
      <c r="DL27" s="171"/>
      <c r="DM27" s="171"/>
      <c r="DN27" s="171"/>
      <c r="DO27" s="171"/>
      <c r="DP27" s="171"/>
      <c r="DQ27" s="171"/>
      <c r="DR27" s="171"/>
      <c r="DS27" s="171"/>
      <c r="DT27" s="171"/>
      <c r="DU27" s="171"/>
      <c r="DV27" s="171"/>
      <c r="DW27" s="170"/>
      <c r="DX27" s="170"/>
      <c r="DY27" s="170"/>
      <c r="DZ27" s="170"/>
      <c r="EA27" s="170"/>
      <c r="EB27" s="170"/>
      <c r="EC27" s="170"/>
      <c r="ED27" s="170"/>
    </row>
    <row r="28" spans="1:134" s="147" customFormat="1" hidden="1" x14ac:dyDescent="0.25">
      <c r="A28" s="146"/>
      <c r="B28" s="457"/>
      <c r="C28" s="111"/>
      <c r="D28" s="205">
        <f t="shared" si="38"/>
        <v>0</v>
      </c>
      <c r="E28" s="91"/>
      <c r="F28" s="91"/>
      <c r="G28" s="91"/>
      <c r="H28" s="91"/>
      <c r="I28" s="91"/>
      <c r="J28" s="91"/>
      <c r="K28" s="91"/>
      <c r="L28" s="91"/>
      <c r="M28" s="91"/>
      <c r="N28" s="91"/>
      <c r="O28" s="91"/>
      <c r="P28" s="91"/>
      <c r="Q28" s="206">
        <f t="shared" si="39"/>
        <v>0</v>
      </c>
      <c r="R28" s="205">
        <f t="shared" si="40"/>
        <v>0</v>
      </c>
      <c r="S28" s="206">
        <f t="shared" si="41"/>
        <v>0</v>
      </c>
      <c r="T28" s="206">
        <f t="shared" si="42"/>
        <v>0</v>
      </c>
      <c r="U28" s="206">
        <f t="shared" si="43"/>
        <v>0</v>
      </c>
      <c r="V28" s="92"/>
      <c r="W28" s="207">
        <f t="shared" si="44"/>
        <v>0</v>
      </c>
      <c r="X28" s="208">
        <v>0</v>
      </c>
      <c r="Y28" s="209">
        <v>0</v>
      </c>
      <c r="Z28" s="207">
        <v>0</v>
      </c>
      <c r="AA28" s="210">
        <f t="shared" si="45"/>
        <v>0</v>
      </c>
      <c r="AB28" s="210">
        <f t="shared" si="46"/>
        <v>0</v>
      </c>
      <c r="AC28" s="207">
        <f t="shared" si="47"/>
        <v>0</v>
      </c>
      <c r="AD28" s="210">
        <f t="shared" si="48"/>
        <v>0</v>
      </c>
      <c r="AE28" s="211">
        <v>0</v>
      </c>
      <c r="AF28" s="209">
        <v>0</v>
      </c>
      <c r="AG28" s="207">
        <v>0</v>
      </c>
      <c r="AH28" s="212">
        <f t="shared" si="49"/>
        <v>0</v>
      </c>
      <c r="AI28" s="212">
        <f t="shared" si="50"/>
        <v>0</v>
      </c>
      <c r="AJ28" s="207">
        <f t="shared" si="51"/>
        <v>0</v>
      </c>
      <c r="AK28" s="210">
        <f t="shared" si="52"/>
        <v>0</v>
      </c>
      <c r="AL28" s="211">
        <v>0</v>
      </c>
      <c r="AM28" s="209">
        <v>0</v>
      </c>
      <c r="AN28" s="207">
        <v>0</v>
      </c>
      <c r="AO28" s="212">
        <f>(W28*AL28)/1000</f>
        <v>0</v>
      </c>
      <c r="AP28" s="212">
        <f t="shared" si="53"/>
        <v>0</v>
      </c>
      <c r="AQ28" s="207">
        <f t="shared" si="54"/>
        <v>0</v>
      </c>
      <c r="AR28" s="210">
        <f t="shared" si="55"/>
        <v>0</v>
      </c>
      <c r="AS28" s="213">
        <f>VLOOKUP($C28,$BI$195:$CM$609,3,FALSE)</f>
        <v>0</v>
      </c>
      <c r="AT28" s="209">
        <f>VLOOKUP($C28,$BI$195:$CM$609,4,FALSE)</f>
        <v>0</v>
      </c>
      <c r="AU28" s="207">
        <f>IF($Q28&gt;0,VLOOKUP($C28,$BI$195:$CM$609,6,FALSE),0)</f>
        <v>0</v>
      </c>
      <c r="AV28" s="212">
        <f t="shared" si="56"/>
        <v>0</v>
      </c>
      <c r="AW28" s="207">
        <f t="shared" si="63"/>
        <v>0</v>
      </c>
      <c r="AX28" s="210">
        <f t="shared" si="57"/>
        <v>0</v>
      </c>
      <c r="AY28" s="213">
        <v>0</v>
      </c>
      <c r="AZ28" s="209">
        <v>0</v>
      </c>
      <c r="BA28" s="207">
        <v>0</v>
      </c>
      <c r="BB28" s="212">
        <f t="shared" si="58"/>
        <v>0</v>
      </c>
      <c r="BC28" s="212">
        <f t="shared" si="59"/>
        <v>0</v>
      </c>
      <c r="BD28" s="207">
        <v>0</v>
      </c>
      <c r="BE28" s="210">
        <f t="shared" si="60"/>
        <v>0</v>
      </c>
      <c r="BF28" s="206">
        <f t="shared" si="61"/>
        <v>0</v>
      </c>
      <c r="BG28" s="214">
        <f t="shared" si="62"/>
        <v>0</v>
      </c>
      <c r="BH28" s="160">
        <f t="shared" si="37"/>
        <v>0</v>
      </c>
      <c r="BI28" s="200"/>
      <c r="BJ28" s="462"/>
      <c r="BK28" s="462"/>
      <c r="BL28" s="462"/>
      <c r="BM28" s="463"/>
      <c r="BN28" s="463"/>
      <c r="BO28" s="463"/>
      <c r="BP28" s="462"/>
      <c r="BQ28" s="462"/>
      <c r="BR28" s="462"/>
      <c r="BS28" s="462"/>
      <c r="BT28" s="462"/>
      <c r="BU28" s="462"/>
      <c r="BV28" s="462"/>
      <c r="BW28" s="462"/>
      <c r="BX28" s="462"/>
      <c r="BY28" s="462"/>
      <c r="BZ28" s="462"/>
      <c r="CA28" s="462"/>
      <c r="CB28" s="464"/>
      <c r="CC28" s="462"/>
      <c r="CD28" s="462"/>
      <c r="CE28" s="464"/>
      <c r="CF28" s="464"/>
      <c r="CG28" s="464"/>
      <c r="CH28" s="464"/>
      <c r="CI28" s="462"/>
      <c r="CJ28" s="462"/>
      <c r="CK28" s="464"/>
      <c r="CL28" s="464"/>
      <c r="CM28" s="464"/>
      <c r="CN28" s="357"/>
      <c r="CO28" s="346"/>
      <c r="CP28" s="346"/>
      <c r="CQ28" s="171"/>
      <c r="CR28" s="171"/>
      <c r="CS28" s="171"/>
      <c r="CT28" s="171"/>
      <c r="CU28" s="171"/>
      <c r="CV28" s="171"/>
      <c r="CW28" s="171"/>
      <c r="CX28" s="171"/>
      <c r="CY28" s="171"/>
      <c r="CZ28" s="171"/>
      <c r="DA28" s="171"/>
      <c r="DB28" s="171"/>
      <c r="DC28" s="171"/>
      <c r="DD28" s="171"/>
      <c r="DE28" s="171"/>
      <c r="DF28" s="171"/>
      <c r="DG28" s="171"/>
      <c r="DH28" s="171"/>
      <c r="DI28" s="171"/>
      <c r="DJ28" s="171"/>
      <c r="DK28" s="171"/>
      <c r="DL28" s="171"/>
      <c r="DM28" s="171"/>
      <c r="DN28" s="171"/>
      <c r="DO28" s="171"/>
      <c r="DP28" s="171"/>
      <c r="DQ28" s="171"/>
      <c r="DR28" s="171"/>
      <c r="DS28" s="171"/>
      <c r="DT28" s="171"/>
      <c r="DU28" s="171"/>
      <c r="DV28" s="171"/>
      <c r="DW28" s="170"/>
      <c r="DX28" s="170"/>
      <c r="DY28" s="170"/>
      <c r="DZ28" s="170"/>
      <c r="EA28" s="170"/>
      <c r="EB28" s="170"/>
      <c r="EC28" s="170"/>
      <c r="ED28" s="170"/>
    </row>
    <row r="29" spans="1:134" s="147" customFormat="1" hidden="1" x14ac:dyDescent="0.25">
      <c r="A29" s="146"/>
      <c r="B29" s="751" t="s">
        <v>505</v>
      </c>
      <c r="C29" s="111"/>
      <c r="D29" s="205">
        <f t="shared" si="38"/>
        <v>0</v>
      </c>
      <c r="E29" s="91"/>
      <c r="F29" s="91"/>
      <c r="G29" s="91"/>
      <c r="H29" s="91"/>
      <c r="I29" s="91"/>
      <c r="J29" s="91"/>
      <c r="K29" s="91"/>
      <c r="L29" s="91"/>
      <c r="M29" s="91"/>
      <c r="N29" s="91"/>
      <c r="O29" s="91"/>
      <c r="P29" s="91"/>
      <c r="Q29" s="206">
        <f t="shared" si="39"/>
        <v>0</v>
      </c>
      <c r="R29" s="205">
        <f t="shared" si="40"/>
        <v>0</v>
      </c>
      <c r="S29" s="206">
        <f t="shared" si="41"/>
        <v>0</v>
      </c>
      <c r="T29" s="206">
        <f t="shared" si="42"/>
        <v>0</v>
      </c>
      <c r="U29" s="206">
        <f t="shared" si="43"/>
        <v>0</v>
      </c>
      <c r="V29" s="92"/>
      <c r="W29" s="207">
        <f t="shared" si="44"/>
        <v>0</v>
      </c>
      <c r="X29" s="208">
        <f>VLOOKUP($C29,$BI$195:$CM$609,3,FALSE)</f>
        <v>0</v>
      </c>
      <c r="Y29" s="209">
        <f>VLOOKUP($C29,$BI$195:$CM$609,4,FALSE)</f>
        <v>0</v>
      </c>
      <c r="Z29" s="207">
        <f>IF($Q29&gt;0,VLOOKUP($C29,$BI$195:$CM$609,6,FALSE),0)</f>
        <v>0</v>
      </c>
      <c r="AA29" s="210">
        <f t="shared" si="45"/>
        <v>0</v>
      </c>
      <c r="AB29" s="210">
        <f t="shared" si="46"/>
        <v>0</v>
      </c>
      <c r="AC29" s="207">
        <f t="shared" si="47"/>
        <v>0</v>
      </c>
      <c r="AD29" s="210">
        <f t="shared" si="48"/>
        <v>0</v>
      </c>
      <c r="AE29" s="211">
        <v>0</v>
      </c>
      <c r="AF29" s="209">
        <v>0</v>
      </c>
      <c r="AG29" s="207">
        <v>0</v>
      </c>
      <c r="AH29" s="212">
        <f t="shared" si="49"/>
        <v>0</v>
      </c>
      <c r="AI29" s="212">
        <f t="shared" si="50"/>
        <v>0</v>
      </c>
      <c r="AJ29" s="207">
        <f t="shared" si="51"/>
        <v>0</v>
      </c>
      <c r="AK29" s="210">
        <f t="shared" si="52"/>
        <v>0</v>
      </c>
      <c r="AL29" s="211">
        <v>0</v>
      </c>
      <c r="AM29" s="209">
        <v>0</v>
      </c>
      <c r="AN29" s="207">
        <v>0</v>
      </c>
      <c r="AO29" s="212">
        <f>($Q29*AL29)/1000</f>
        <v>0</v>
      </c>
      <c r="AP29" s="212">
        <f t="shared" si="53"/>
        <v>0</v>
      </c>
      <c r="AQ29" s="207">
        <f t="shared" si="54"/>
        <v>0</v>
      </c>
      <c r="AR29" s="210">
        <f t="shared" si="55"/>
        <v>0</v>
      </c>
      <c r="AS29" s="213">
        <v>0</v>
      </c>
      <c r="AT29" s="209">
        <v>0</v>
      </c>
      <c r="AU29" s="207">
        <v>0</v>
      </c>
      <c r="AV29" s="212">
        <f t="shared" si="56"/>
        <v>0</v>
      </c>
      <c r="AW29" s="207">
        <f>IF(AV29&gt;0,SQRT(($W29*$W29)+(AU29*AU29)+($V29*$V29)),0)</f>
        <v>0</v>
      </c>
      <c r="AX29" s="210">
        <f t="shared" si="57"/>
        <v>0</v>
      </c>
      <c r="AY29" s="213">
        <v>0</v>
      </c>
      <c r="AZ29" s="209">
        <v>0</v>
      </c>
      <c r="BA29" s="207">
        <v>0</v>
      </c>
      <c r="BB29" s="212">
        <f t="shared" si="58"/>
        <v>0</v>
      </c>
      <c r="BC29" s="212">
        <f t="shared" si="59"/>
        <v>0</v>
      </c>
      <c r="BD29" s="207">
        <f>IF(BB29&gt;0,SQRT(($W29*$W29)+(BA29*BA29)+($V29*$V29)),0)</f>
        <v>0</v>
      </c>
      <c r="BE29" s="210">
        <f t="shared" si="60"/>
        <v>0</v>
      </c>
      <c r="BF29" s="206">
        <f t="shared" si="61"/>
        <v>0</v>
      </c>
      <c r="BG29" s="214">
        <f t="shared" si="62"/>
        <v>0</v>
      </c>
      <c r="BH29" s="160">
        <f t="shared" si="37"/>
        <v>0</v>
      </c>
      <c r="BI29" s="200"/>
      <c r="BJ29" s="462"/>
      <c r="BK29" s="462"/>
      <c r="BL29" s="462"/>
      <c r="BM29" s="463"/>
      <c r="BN29" s="463"/>
      <c r="BO29" s="463"/>
      <c r="BP29" s="462"/>
      <c r="BQ29" s="462"/>
      <c r="BR29" s="462"/>
      <c r="BS29" s="462"/>
      <c r="BT29" s="462"/>
      <c r="BU29" s="462"/>
      <c r="BV29" s="462"/>
      <c r="BW29" s="462"/>
      <c r="BX29" s="462"/>
      <c r="BY29" s="462"/>
      <c r="BZ29" s="462"/>
      <c r="CA29" s="462"/>
      <c r="CB29" s="464"/>
      <c r="CC29" s="462"/>
      <c r="CD29" s="462"/>
      <c r="CE29" s="464"/>
      <c r="CF29" s="464"/>
      <c r="CG29" s="464"/>
      <c r="CH29" s="464"/>
      <c r="CI29" s="462"/>
      <c r="CJ29" s="462"/>
      <c r="CK29" s="464"/>
      <c r="CL29" s="464"/>
      <c r="CM29" s="464"/>
      <c r="CN29" s="357"/>
      <c r="CO29" s="346"/>
      <c r="CP29" s="346"/>
      <c r="CQ29" s="171"/>
      <c r="CR29" s="171"/>
      <c r="CS29" s="171"/>
      <c r="CT29" s="171"/>
      <c r="CU29" s="171"/>
      <c r="CV29" s="171"/>
      <c r="CW29" s="171"/>
      <c r="CX29" s="171"/>
      <c r="CY29" s="171"/>
      <c r="CZ29" s="171"/>
      <c r="DA29" s="171"/>
      <c r="DB29" s="171"/>
      <c r="DC29" s="171"/>
      <c r="DD29" s="171"/>
      <c r="DE29" s="171"/>
      <c r="DF29" s="171"/>
      <c r="DG29" s="171"/>
      <c r="DH29" s="171"/>
      <c r="DI29" s="171"/>
      <c r="DJ29" s="171"/>
      <c r="DK29" s="171"/>
      <c r="DL29" s="171"/>
      <c r="DM29" s="171"/>
      <c r="DN29" s="171"/>
      <c r="DO29" s="171"/>
      <c r="DP29" s="171"/>
      <c r="DQ29" s="171"/>
      <c r="DR29" s="171"/>
      <c r="DS29" s="171"/>
      <c r="DT29" s="171"/>
      <c r="DU29" s="171"/>
      <c r="DV29" s="171"/>
      <c r="DW29" s="170"/>
      <c r="DX29" s="170"/>
      <c r="DY29" s="170"/>
      <c r="DZ29" s="170"/>
      <c r="EA29" s="170"/>
      <c r="EB29" s="170"/>
      <c r="EC29" s="170"/>
      <c r="ED29" s="170"/>
    </row>
    <row r="30" spans="1:134" s="147" customFormat="1" hidden="1" x14ac:dyDescent="0.25">
      <c r="A30" s="146"/>
      <c r="B30" s="752"/>
      <c r="C30" s="111"/>
      <c r="D30" s="205">
        <f t="shared" si="38"/>
        <v>0</v>
      </c>
      <c r="E30" s="91"/>
      <c r="F30" s="91"/>
      <c r="G30" s="91"/>
      <c r="H30" s="91"/>
      <c r="I30" s="91"/>
      <c r="J30" s="91"/>
      <c r="K30" s="91"/>
      <c r="L30" s="91"/>
      <c r="M30" s="91"/>
      <c r="N30" s="91"/>
      <c r="O30" s="91"/>
      <c r="P30" s="91"/>
      <c r="Q30" s="206">
        <f t="shared" si="39"/>
        <v>0</v>
      </c>
      <c r="R30" s="205">
        <f t="shared" si="40"/>
        <v>0</v>
      </c>
      <c r="S30" s="206">
        <f t="shared" si="41"/>
        <v>0</v>
      </c>
      <c r="T30" s="206">
        <f t="shared" si="42"/>
        <v>0</v>
      </c>
      <c r="U30" s="206">
        <f t="shared" si="43"/>
        <v>0</v>
      </c>
      <c r="V30" s="92"/>
      <c r="W30" s="207">
        <f t="shared" si="44"/>
        <v>0</v>
      </c>
      <c r="X30" s="208">
        <v>0</v>
      </c>
      <c r="Y30" s="209">
        <v>0</v>
      </c>
      <c r="Z30" s="207">
        <v>0</v>
      </c>
      <c r="AA30" s="210">
        <f t="shared" si="45"/>
        <v>0</v>
      </c>
      <c r="AB30" s="210">
        <f t="shared" si="46"/>
        <v>0</v>
      </c>
      <c r="AC30" s="207">
        <f t="shared" si="47"/>
        <v>0</v>
      </c>
      <c r="AD30" s="210">
        <f t="shared" si="48"/>
        <v>0</v>
      </c>
      <c r="AE30" s="211">
        <v>0</v>
      </c>
      <c r="AF30" s="209">
        <v>0</v>
      </c>
      <c r="AG30" s="207">
        <v>0</v>
      </c>
      <c r="AH30" s="212">
        <f t="shared" si="49"/>
        <v>0</v>
      </c>
      <c r="AI30" s="212">
        <f t="shared" si="50"/>
        <v>0</v>
      </c>
      <c r="AJ30" s="207">
        <f t="shared" si="51"/>
        <v>0</v>
      </c>
      <c r="AK30" s="210">
        <f t="shared" si="52"/>
        <v>0</v>
      </c>
      <c r="AL30" s="211">
        <v>0</v>
      </c>
      <c r="AM30" s="209">
        <v>0</v>
      </c>
      <c r="AN30" s="207">
        <v>0</v>
      </c>
      <c r="AO30" s="212">
        <f>(W30*AL30)/1000</f>
        <v>0</v>
      </c>
      <c r="AP30" s="212">
        <f t="shared" si="53"/>
        <v>0</v>
      </c>
      <c r="AQ30" s="207">
        <f t="shared" si="54"/>
        <v>0</v>
      </c>
      <c r="AR30" s="210">
        <f t="shared" si="55"/>
        <v>0</v>
      </c>
      <c r="AS30" s="213">
        <f>VLOOKUP($C30,$BI$195:$CM$609,3,FALSE)</f>
        <v>0</v>
      </c>
      <c r="AT30" s="209">
        <f>VLOOKUP($C30,$BI$195:$CM$609,4,FALSE)</f>
        <v>0</v>
      </c>
      <c r="AU30" s="207">
        <f>IF($Q30&gt;0,VLOOKUP($C30,$BI$195:$CM$609,6,FALSE),0)</f>
        <v>0</v>
      </c>
      <c r="AV30" s="212">
        <f t="shared" si="56"/>
        <v>0</v>
      </c>
      <c r="AW30" s="207">
        <f t="shared" si="63"/>
        <v>0</v>
      </c>
      <c r="AX30" s="210">
        <f t="shared" si="57"/>
        <v>0</v>
      </c>
      <c r="AY30" s="213">
        <v>0</v>
      </c>
      <c r="AZ30" s="209">
        <v>0</v>
      </c>
      <c r="BA30" s="207">
        <v>0</v>
      </c>
      <c r="BB30" s="212">
        <f t="shared" si="58"/>
        <v>0</v>
      </c>
      <c r="BC30" s="212">
        <f t="shared" si="59"/>
        <v>0</v>
      </c>
      <c r="BD30" s="207">
        <v>0</v>
      </c>
      <c r="BE30" s="210">
        <f t="shared" si="60"/>
        <v>0</v>
      </c>
      <c r="BF30" s="206">
        <f t="shared" si="61"/>
        <v>0</v>
      </c>
      <c r="BG30" s="214">
        <f t="shared" si="62"/>
        <v>0</v>
      </c>
      <c r="BH30" s="160">
        <f t="shared" si="37"/>
        <v>0</v>
      </c>
      <c r="BI30" s="200"/>
      <c r="BJ30" s="462"/>
      <c r="BK30" s="462"/>
      <c r="BL30" s="462"/>
      <c r="BM30" s="463"/>
      <c r="BN30" s="463"/>
      <c r="BO30" s="463"/>
      <c r="BP30" s="462"/>
      <c r="BQ30" s="462"/>
      <c r="BR30" s="462"/>
      <c r="BS30" s="462"/>
      <c r="BT30" s="462"/>
      <c r="BU30" s="462"/>
      <c r="BV30" s="462"/>
      <c r="BW30" s="462"/>
      <c r="BX30" s="462"/>
      <c r="BY30" s="462"/>
      <c r="BZ30" s="462"/>
      <c r="CA30" s="462"/>
      <c r="CB30" s="464"/>
      <c r="CC30" s="462"/>
      <c r="CD30" s="462"/>
      <c r="CE30" s="464"/>
      <c r="CF30" s="464"/>
      <c r="CG30" s="464"/>
      <c r="CH30" s="464"/>
      <c r="CI30" s="462"/>
      <c r="CJ30" s="462"/>
      <c r="CK30" s="464"/>
      <c r="CL30" s="464"/>
      <c r="CM30" s="464"/>
      <c r="CN30" s="357"/>
      <c r="CO30" s="346"/>
      <c r="CP30" s="346"/>
      <c r="CQ30" s="171"/>
      <c r="CR30" s="171"/>
      <c r="CS30" s="171"/>
      <c r="CT30" s="171"/>
      <c r="CU30" s="171"/>
      <c r="CV30" s="171"/>
      <c r="CW30" s="171"/>
      <c r="CX30" s="171"/>
      <c r="CY30" s="171"/>
      <c r="CZ30" s="171"/>
      <c r="DA30" s="171"/>
      <c r="DB30" s="171"/>
      <c r="DC30" s="171"/>
      <c r="DD30" s="171"/>
      <c r="DE30" s="171"/>
      <c r="DF30" s="171"/>
      <c r="DG30" s="171"/>
      <c r="DH30" s="171"/>
      <c r="DI30" s="171"/>
      <c r="DJ30" s="171"/>
      <c r="DK30" s="171"/>
      <c r="DL30" s="171"/>
      <c r="DM30" s="171"/>
      <c r="DN30" s="171"/>
      <c r="DO30" s="171"/>
      <c r="DP30" s="171"/>
      <c r="DQ30" s="171"/>
      <c r="DR30" s="171"/>
      <c r="DS30" s="171"/>
      <c r="DT30" s="171"/>
      <c r="DU30" s="171"/>
      <c r="DV30" s="171"/>
      <c r="DW30" s="170"/>
      <c r="DX30" s="170"/>
      <c r="DY30" s="170"/>
      <c r="DZ30" s="170"/>
      <c r="EA30" s="170"/>
      <c r="EB30" s="170"/>
      <c r="EC30" s="170"/>
      <c r="ED30" s="170"/>
    </row>
    <row r="31" spans="1:134" s="147" customFormat="1" hidden="1" x14ac:dyDescent="0.25">
      <c r="A31" s="146"/>
      <c r="B31" s="751" t="s">
        <v>506</v>
      </c>
      <c r="C31" s="111"/>
      <c r="D31" s="205">
        <f t="shared" si="38"/>
        <v>0</v>
      </c>
      <c r="E31" s="91"/>
      <c r="F31" s="91"/>
      <c r="G31" s="91"/>
      <c r="H31" s="91"/>
      <c r="I31" s="91"/>
      <c r="J31" s="91"/>
      <c r="K31" s="91"/>
      <c r="L31" s="91"/>
      <c r="M31" s="91"/>
      <c r="N31" s="91"/>
      <c r="O31" s="91"/>
      <c r="P31" s="91"/>
      <c r="Q31" s="206">
        <f t="shared" si="39"/>
        <v>0</v>
      </c>
      <c r="R31" s="205">
        <f t="shared" si="40"/>
        <v>0</v>
      </c>
      <c r="S31" s="206">
        <f t="shared" si="41"/>
        <v>0</v>
      </c>
      <c r="T31" s="206">
        <f t="shared" si="42"/>
        <v>0</v>
      </c>
      <c r="U31" s="206">
        <f t="shared" si="43"/>
        <v>0</v>
      </c>
      <c r="V31" s="92"/>
      <c r="W31" s="207">
        <f t="shared" si="44"/>
        <v>0</v>
      </c>
      <c r="X31" s="208">
        <f>VLOOKUP($C31,$BI$195:$CM$609,3,FALSE)</f>
        <v>0</v>
      </c>
      <c r="Y31" s="209">
        <f>VLOOKUP($C31,$BI$195:$CM$609,4,FALSE)</f>
        <v>0</v>
      </c>
      <c r="Z31" s="207">
        <f>IF($Q31&gt;0,VLOOKUP($C31,$BI$195:$CM$609,6,FALSE),0)</f>
        <v>0</v>
      </c>
      <c r="AA31" s="210">
        <f t="shared" si="45"/>
        <v>0</v>
      </c>
      <c r="AB31" s="210">
        <f t="shared" si="46"/>
        <v>0</v>
      </c>
      <c r="AC31" s="207">
        <f t="shared" si="47"/>
        <v>0</v>
      </c>
      <c r="AD31" s="210">
        <f t="shared" si="48"/>
        <v>0</v>
      </c>
      <c r="AE31" s="211">
        <v>0</v>
      </c>
      <c r="AF31" s="209">
        <v>0</v>
      </c>
      <c r="AG31" s="207">
        <v>0</v>
      </c>
      <c r="AH31" s="212">
        <f t="shared" si="49"/>
        <v>0</v>
      </c>
      <c r="AI31" s="212">
        <f t="shared" si="50"/>
        <v>0</v>
      </c>
      <c r="AJ31" s="207">
        <f t="shared" si="51"/>
        <v>0</v>
      </c>
      <c r="AK31" s="210">
        <f t="shared" si="52"/>
        <v>0</v>
      </c>
      <c r="AL31" s="211">
        <v>0</v>
      </c>
      <c r="AM31" s="209">
        <v>0</v>
      </c>
      <c r="AN31" s="207">
        <v>0</v>
      </c>
      <c r="AO31" s="212">
        <f>($Q31*AL31)/1000</f>
        <v>0</v>
      </c>
      <c r="AP31" s="212">
        <f t="shared" si="53"/>
        <v>0</v>
      </c>
      <c r="AQ31" s="207">
        <f t="shared" si="54"/>
        <v>0</v>
      </c>
      <c r="AR31" s="210">
        <f t="shared" si="55"/>
        <v>0</v>
      </c>
      <c r="AS31" s="213">
        <v>0</v>
      </c>
      <c r="AT31" s="209">
        <v>0</v>
      </c>
      <c r="AU31" s="207">
        <v>0</v>
      </c>
      <c r="AV31" s="212">
        <f t="shared" si="56"/>
        <v>0</v>
      </c>
      <c r="AW31" s="207">
        <f t="shared" si="63"/>
        <v>0</v>
      </c>
      <c r="AX31" s="210">
        <f t="shared" si="57"/>
        <v>0</v>
      </c>
      <c r="AY31" s="213">
        <v>0</v>
      </c>
      <c r="AZ31" s="209">
        <v>0</v>
      </c>
      <c r="BA31" s="207">
        <v>0</v>
      </c>
      <c r="BB31" s="212">
        <f t="shared" si="58"/>
        <v>0</v>
      </c>
      <c r="BC31" s="212">
        <f t="shared" si="59"/>
        <v>0</v>
      </c>
      <c r="BD31" s="207">
        <f>IF(BB31&gt;0,SQRT(($W31*$W31)+(BA31*BA31)+($V31*$V31)),0)</f>
        <v>0</v>
      </c>
      <c r="BE31" s="210">
        <f t="shared" si="60"/>
        <v>0</v>
      </c>
      <c r="BF31" s="206">
        <f t="shared" si="61"/>
        <v>0</v>
      </c>
      <c r="BG31" s="214">
        <f t="shared" si="62"/>
        <v>0</v>
      </c>
      <c r="BH31" s="160">
        <f t="shared" si="37"/>
        <v>0</v>
      </c>
      <c r="BI31" s="200"/>
      <c r="BJ31" s="462"/>
      <c r="BK31" s="462"/>
      <c r="BL31" s="462"/>
      <c r="BM31" s="463"/>
      <c r="BN31" s="463"/>
      <c r="BO31" s="463"/>
      <c r="BP31" s="462"/>
      <c r="BQ31" s="462"/>
      <c r="BR31" s="462"/>
      <c r="BS31" s="462"/>
      <c r="BT31" s="462"/>
      <c r="BU31" s="462"/>
      <c r="BV31" s="462"/>
      <c r="BW31" s="462"/>
      <c r="BX31" s="462"/>
      <c r="BY31" s="462"/>
      <c r="BZ31" s="462"/>
      <c r="CA31" s="462"/>
      <c r="CB31" s="464"/>
      <c r="CC31" s="462"/>
      <c r="CD31" s="462"/>
      <c r="CE31" s="464"/>
      <c r="CF31" s="464"/>
      <c r="CG31" s="464"/>
      <c r="CH31" s="464"/>
      <c r="CI31" s="462"/>
      <c r="CJ31" s="462"/>
      <c r="CK31" s="464"/>
      <c r="CL31" s="464"/>
      <c r="CM31" s="464"/>
      <c r="CN31" s="357"/>
      <c r="CO31" s="346"/>
      <c r="CP31" s="346"/>
      <c r="CQ31" s="171"/>
      <c r="CR31" s="171"/>
      <c r="CS31" s="171"/>
      <c r="CT31" s="171"/>
      <c r="CU31" s="171"/>
      <c r="CV31" s="171"/>
      <c r="CW31" s="171"/>
      <c r="CX31" s="171"/>
      <c r="CY31" s="171"/>
      <c r="CZ31" s="171"/>
      <c r="DA31" s="171"/>
      <c r="DB31" s="171"/>
      <c r="DC31" s="171"/>
      <c r="DD31" s="171"/>
      <c r="DE31" s="171"/>
      <c r="DF31" s="171"/>
      <c r="DG31" s="171"/>
      <c r="DH31" s="171"/>
      <c r="DI31" s="171"/>
      <c r="DJ31" s="171"/>
      <c r="DK31" s="171"/>
      <c r="DL31" s="171"/>
      <c r="DM31" s="171"/>
      <c r="DN31" s="171"/>
      <c r="DO31" s="171"/>
      <c r="DP31" s="171"/>
      <c r="DQ31" s="171"/>
      <c r="DR31" s="171"/>
      <c r="DS31" s="171"/>
      <c r="DT31" s="171"/>
      <c r="DU31" s="171"/>
      <c r="DV31" s="171"/>
      <c r="DW31" s="170"/>
      <c r="DX31" s="170"/>
      <c r="DY31" s="170"/>
      <c r="DZ31" s="170"/>
      <c r="EA31" s="170"/>
      <c r="EB31" s="170"/>
      <c r="EC31" s="170"/>
      <c r="ED31" s="170"/>
    </row>
    <row r="32" spans="1:134" s="147" customFormat="1" hidden="1" x14ac:dyDescent="0.25">
      <c r="A32" s="146"/>
      <c r="B32" s="752"/>
      <c r="C32" s="111"/>
      <c r="D32" s="205">
        <f t="shared" si="38"/>
        <v>0</v>
      </c>
      <c r="E32" s="91"/>
      <c r="F32" s="91"/>
      <c r="G32" s="91"/>
      <c r="H32" s="91"/>
      <c r="I32" s="91"/>
      <c r="J32" s="91"/>
      <c r="K32" s="91"/>
      <c r="L32" s="91"/>
      <c r="M32" s="91"/>
      <c r="N32" s="91"/>
      <c r="O32" s="91"/>
      <c r="P32" s="91"/>
      <c r="Q32" s="206">
        <f t="shared" si="39"/>
        <v>0</v>
      </c>
      <c r="R32" s="205">
        <f t="shared" si="40"/>
        <v>0</v>
      </c>
      <c r="S32" s="206">
        <f t="shared" si="41"/>
        <v>0</v>
      </c>
      <c r="T32" s="206">
        <f t="shared" si="42"/>
        <v>0</v>
      </c>
      <c r="U32" s="206">
        <f t="shared" si="43"/>
        <v>0</v>
      </c>
      <c r="V32" s="92"/>
      <c r="W32" s="207">
        <f t="shared" si="44"/>
        <v>0</v>
      </c>
      <c r="X32" s="208">
        <f>VLOOKUP($C32,$BI$195:$CM$609,3,FALSE)</f>
        <v>0</v>
      </c>
      <c r="Y32" s="209">
        <f>VLOOKUP($C32,$BI$195:$CM$609,4,FALSE)</f>
        <v>0</v>
      </c>
      <c r="Z32" s="207">
        <f>IF($Q32&gt;0,VLOOKUP($C32,$BI$195:$CM$609,6,FALSE),0)</f>
        <v>0</v>
      </c>
      <c r="AA32" s="210">
        <f t="shared" si="45"/>
        <v>0</v>
      </c>
      <c r="AB32" s="210">
        <f t="shared" si="46"/>
        <v>0</v>
      </c>
      <c r="AC32" s="207">
        <f t="shared" si="47"/>
        <v>0</v>
      </c>
      <c r="AD32" s="210">
        <f t="shared" si="48"/>
        <v>0</v>
      </c>
      <c r="AE32" s="211">
        <v>0</v>
      </c>
      <c r="AF32" s="209">
        <v>0</v>
      </c>
      <c r="AG32" s="207">
        <v>0</v>
      </c>
      <c r="AH32" s="212">
        <f t="shared" si="49"/>
        <v>0</v>
      </c>
      <c r="AI32" s="212">
        <f t="shared" si="50"/>
        <v>0</v>
      </c>
      <c r="AJ32" s="207">
        <f t="shared" si="51"/>
        <v>0</v>
      </c>
      <c r="AK32" s="210">
        <f t="shared" si="52"/>
        <v>0</v>
      </c>
      <c r="AL32" s="211">
        <v>0</v>
      </c>
      <c r="AM32" s="209">
        <v>0</v>
      </c>
      <c r="AN32" s="207">
        <v>0</v>
      </c>
      <c r="AO32" s="212">
        <f>($Q32*AL32)/1000</f>
        <v>0</v>
      </c>
      <c r="AP32" s="212">
        <f t="shared" si="53"/>
        <v>0</v>
      </c>
      <c r="AQ32" s="207">
        <f t="shared" si="54"/>
        <v>0</v>
      </c>
      <c r="AR32" s="210">
        <f t="shared" si="55"/>
        <v>0</v>
      </c>
      <c r="AS32" s="213">
        <v>0</v>
      </c>
      <c r="AT32" s="209">
        <v>0</v>
      </c>
      <c r="AU32" s="207">
        <v>0</v>
      </c>
      <c r="AV32" s="212">
        <f t="shared" si="56"/>
        <v>0</v>
      </c>
      <c r="AW32" s="207">
        <f t="shared" si="63"/>
        <v>0</v>
      </c>
      <c r="AX32" s="210">
        <f t="shared" si="57"/>
        <v>0</v>
      </c>
      <c r="AY32" s="213">
        <v>0</v>
      </c>
      <c r="AZ32" s="209">
        <v>0</v>
      </c>
      <c r="BA32" s="207">
        <v>0</v>
      </c>
      <c r="BB32" s="212">
        <f t="shared" si="58"/>
        <v>0</v>
      </c>
      <c r="BC32" s="212">
        <f t="shared" si="59"/>
        <v>0</v>
      </c>
      <c r="BD32" s="207">
        <f>IF(BB32&gt;0,SQRT(($W32*$W32)+(BA32*BA32)+($V32*$V32)),0)</f>
        <v>0</v>
      </c>
      <c r="BE32" s="210">
        <f t="shared" si="60"/>
        <v>0</v>
      </c>
      <c r="BF32" s="206">
        <f t="shared" si="61"/>
        <v>0</v>
      </c>
      <c r="BG32" s="214">
        <f t="shared" si="62"/>
        <v>0</v>
      </c>
      <c r="BH32" s="160">
        <f t="shared" si="37"/>
        <v>0</v>
      </c>
      <c r="BI32" s="200"/>
      <c r="BJ32" s="462"/>
      <c r="BK32" s="462"/>
      <c r="BL32" s="462"/>
      <c r="BM32" s="463"/>
      <c r="BN32" s="463"/>
      <c r="BO32" s="463"/>
      <c r="BP32" s="462"/>
      <c r="BQ32" s="462"/>
      <c r="BR32" s="462"/>
      <c r="BS32" s="462"/>
      <c r="BT32" s="462"/>
      <c r="BU32" s="462"/>
      <c r="BV32" s="462"/>
      <c r="BW32" s="462"/>
      <c r="BX32" s="462"/>
      <c r="BY32" s="462"/>
      <c r="BZ32" s="462"/>
      <c r="CA32" s="462"/>
      <c r="CB32" s="464"/>
      <c r="CC32" s="462"/>
      <c r="CD32" s="462"/>
      <c r="CE32" s="464"/>
      <c r="CF32" s="464"/>
      <c r="CG32" s="464"/>
      <c r="CH32" s="464"/>
      <c r="CI32" s="462"/>
      <c r="CJ32" s="462"/>
      <c r="CK32" s="464"/>
      <c r="CL32" s="464"/>
      <c r="CM32" s="464"/>
      <c r="CN32" s="357"/>
      <c r="CO32" s="346"/>
      <c r="CP32" s="346"/>
      <c r="CQ32" s="171"/>
      <c r="CR32" s="171"/>
      <c r="CS32" s="171"/>
      <c r="CT32" s="171"/>
      <c r="CU32" s="171"/>
      <c r="CV32" s="171"/>
      <c r="CW32" s="171"/>
      <c r="CX32" s="171"/>
      <c r="CY32" s="171"/>
      <c r="CZ32" s="171"/>
      <c r="DA32" s="171"/>
      <c r="DB32" s="171"/>
      <c r="DC32" s="171"/>
      <c r="DD32" s="171"/>
      <c r="DE32" s="171"/>
      <c r="DF32" s="171"/>
      <c r="DG32" s="171"/>
      <c r="DH32" s="171"/>
      <c r="DI32" s="171"/>
      <c r="DJ32" s="171"/>
      <c r="DK32" s="171"/>
      <c r="DL32" s="171"/>
      <c r="DM32" s="171"/>
      <c r="DN32" s="171"/>
      <c r="DO32" s="171"/>
      <c r="DP32" s="171"/>
      <c r="DQ32" s="171"/>
      <c r="DR32" s="171"/>
      <c r="DS32" s="171"/>
      <c r="DT32" s="171"/>
      <c r="DU32" s="171"/>
      <c r="DV32" s="171"/>
      <c r="DW32" s="170"/>
      <c r="DX32" s="170"/>
      <c r="DY32" s="170"/>
      <c r="DZ32" s="170"/>
      <c r="EA32" s="170"/>
      <c r="EB32" s="170"/>
      <c r="EC32" s="170"/>
      <c r="ED32" s="170"/>
    </row>
    <row r="33" spans="1:134" s="147" customFormat="1" hidden="1" x14ac:dyDescent="0.25">
      <c r="A33" s="146"/>
      <c r="B33" s="215" t="s">
        <v>445</v>
      </c>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c r="AA33" s="218"/>
      <c r="AB33" s="219">
        <f>SUM(AB25:AB32)</f>
        <v>0</v>
      </c>
      <c r="AC33" s="220">
        <f>IF(AB33&gt;0,SQRT(SUM(AD25:AD32))/AB33,0)</f>
        <v>0</v>
      </c>
      <c r="AD33" s="219">
        <f t="shared" si="48"/>
        <v>0</v>
      </c>
      <c r="AE33" s="221"/>
      <c r="AF33" s="216"/>
      <c r="AG33" s="216"/>
      <c r="AH33" s="222"/>
      <c r="AI33" s="219">
        <f>SUM(AI25:AI32)</f>
        <v>0</v>
      </c>
      <c r="AJ33" s="220">
        <f>IF(AI33&gt;0,SQRT(SUM(AK25:AK32))/AI33,0)</f>
        <v>0</v>
      </c>
      <c r="AK33" s="219">
        <f t="shared" si="52"/>
        <v>0</v>
      </c>
      <c r="AL33" s="216"/>
      <c r="AM33" s="216"/>
      <c r="AN33" s="216"/>
      <c r="AO33" s="216"/>
      <c r="AP33" s="219">
        <f>SUM(AP25:AP32)</f>
        <v>0</v>
      </c>
      <c r="AQ33" s="220">
        <f>IF(AP33&gt;0,SQRT(SUM(AR25:AR32))/AP33,0)</f>
        <v>0</v>
      </c>
      <c r="AR33" s="219">
        <f t="shared" si="55"/>
        <v>0</v>
      </c>
      <c r="AS33" s="216"/>
      <c r="AT33" s="216"/>
      <c r="AU33" s="216"/>
      <c r="AV33" s="219">
        <f>SUM(AV25:AV32)</f>
        <v>0</v>
      </c>
      <c r="AW33" s="220">
        <f>IF(AV33&gt;0,SQRT(SUM(AX25:AX32))/AV33,0)</f>
        <v>0</v>
      </c>
      <c r="AX33" s="219">
        <f t="shared" si="57"/>
        <v>0</v>
      </c>
      <c r="AY33" s="216"/>
      <c r="AZ33" s="216"/>
      <c r="BA33" s="223"/>
      <c r="BB33" s="224"/>
      <c r="BC33" s="219">
        <f>SUM(BC25:BC32)</f>
        <v>0</v>
      </c>
      <c r="BD33" s="220">
        <f>IF(BC33&gt;0,SQRT(SUM(BE25:BE32))/BC33,0)</f>
        <v>0</v>
      </c>
      <c r="BE33" s="219">
        <f t="shared" si="60"/>
        <v>0</v>
      </c>
      <c r="BF33" s="219">
        <f>SUM(BF25:BF32)</f>
        <v>0</v>
      </c>
      <c r="BG33" s="225">
        <f>IF(BF33&gt;0,SQRT(SUM(BH25:BH32))/BF33,0)</f>
        <v>0</v>
      </c>
      <c r="BH33" s="160">
        <f t="shared" si="37"/>
        <v>0</v>
      </c>
      <c r="BI33" s="200"/>
      <c r="BJ33" s="462"/>
      <c r="BK33" s="462"/>
      <c r="BL33" s="462"/>
      <c r="BM33" s="463"/>
      <c r="BN33" s="463"/>
      <c r="BO33" s="463"/>
      <c r="BP33" s="462"/>
      <c r="BQ33" s="462"/>
      <c r="BR33" s="462"/>
      <c r="BS33" s="462"/>
      <c r="BT33" s="462"/>
      <c r="BU33" s="462"/>
      <c r="BV33" s="462"/>
      <c r="BW33" s="462"/>
      <c r="BX33" s="462"/>
      <c r="BY33" s="462"/>
      <c r="BZ33" s="462"/>
      <c r="CA33" s="462"/>
      <c r="CB33" s="464"/>
      <c r="CC33" s="462"/>
      <c r="CD33" s="462"/>
      <c r="CE33" s="464"/>
      <c r="CF33" s="464"/>
      <c r="CG33" s="464"/>
      <c r="CH33" s="464"/>
      <c r="CI33" s="462"/>
      <c r="CJ33" s="462"/>
      <c r="CK33" s="464"/>
      <c r="CL33" s="464"/>
      <c r="CM33" s="464"/>
      <c r="CN33" s="357"/>
      <c r="CO33" s="346"/>
      <c r="CP33" s="346"/>
      <c r="CQ33" s="171"/>
      <c r="CR33" s="171"/>
      <c r="CS33" s="171"/>
      <c r="CT33" s="171"/>
      <c r="CU33" s="171"/>
      <c r="CV33" s="171"/>
      <c r="CW33" s="171"/>
      <c r="CX33" s="171"/>
      <c r="CY33" s="171"/>
      <c r="CZ33" s="171"/>
      <c r="DA33" s="171"/>
      <c r="DB33" s="171"/>
      <c r="DC33" s="171"/>
      <c r="DD33" s="171"/>
      <c r="DE33" s="171"/>
      <c r="DF33" s="171"/>
      <c r="DG33" s="171"/>
      <c r="DH33" s="171"/>
      <c r="DI33" s="171"/>
      <c r="DJ33" s="171"/>
      <c r="DK33" s="171"/>
      <c r="DL33" s="171"/>
      <c r="DM33" s="171"/>
      <c r="DN33" s="171"/>
      <c r="DO33" s="171"/>
      <c r="DP33" s="171"/>
      <c r="DQ33" s="171"/>
      <c r="DR33" s="171"/>
      <c r="DS33" s="171"/>
      <c r="DT33" s="171"/>
      <c r="DU33" s="171"/>
      <c r="DV33" s="171"/>
      <c r="DW33" s="170"/>
      <c r="DX33" s="170"/>
      <c r="DY33" s="170"/>
      <c r="DZ33" s="170"/>
      <c r="EA33" s="170"/>
      <c r="EB33" s="170"/>
      <c r="EC33" s="170"/>
      <c r="ED33" s="170"/>
    </row>
    <row r="34" spans="1:134" s="147" customFormat="1" ht="15.75" x14ac:dyDescent="0.25">
      <c r="A34" s="146"/>
      <c r="B34" s="226" t="s">
        <v>130</v>
      </c>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8"/>
      <c r="AB34" s="229">
        <f>+AB24+AB33</f>
        <v>3684.3679143225718</v>
      </c>
      <c r="AC34" s="230">
        <f>IF(AB34&gt;0,(SQRT(AD24+AD33))/AB34,0)</f>
        <v>4.0844865036845847E-2</v>
      </c>
      <c r="AD34" s="229">
        <f t="shared" si="48"/>
        <v>22646.490728178727</v>
      </c>
      <c r="AE34" s="231"/>
      <c r="AF34" s="227"/>
      <c r="AG34" s="227"/>
      <c r="AH34" s="232"/>
      <c r="AI34" s="229">
        <f>+AI24+AI33</f>
        <v>1.6773712014187354</v>
      </c>
      <c r="AJ34" s="230">
        <f>IF(AI34&gt;0,(SQRT(AK24+AK33))/AI34,0)</f>
        <v>0.91953630248702256</v>
      </c>
      <c r="AK34" s="229">
        <f t="shared" si="52"/>
        <v>2.3790092121820061</v>
      </c>
      <c r="AL34" s="227"/>
      <c r="AM34" s="227"/>
      <c r="AN34" s="227"/>
      <c r="AO34" s="227"/>
      <c r="AP34" s="229">
        <f>+AP24+AP33</f>
        <v>4.3479332548328129</v>
      </c>
      <c r="AQ34" s="230">
        <f>IF(AP34&gt;0,(SQRT(AR24+AR33))/AP34,0)</f>
        <v>0.2349964546308419</v>
      </c>
      <c r="AR34" s="229">
        <f t="shared" si="55"/>
        <v>1.0439708143594963</v>
      </c>
      <c r="AS34" s="227"/>
      <c r="AT34" s="227"/>
      <c r="AU34" s="227"/>
      <c r="AV34" s="229">
        <f>+AV24+AV33</f>
        <v>0</v>
      </c>
      <c r="AW34" s="230">
        <f>IF(AV34&gt;0,(SQRT(AX24+AX33))/AV34,0)</f>
        <v>0</v>
      </c>
      <c r="AX34" s="229">
        <f t="shared" si="57"/>
        <v>0</v>
      </c>
      <c r="AY34" s="227"/>
      <c r="AZ34" s="227"/>
      <c r="BA34" s="233"/>
      <c r="BB34" s="234"/>
      <c r="BC34" s="229">
        <f>+BC24+BC33</f>
        <v>0</v>
      </c>
      <c r="BD34" s="230">
        <f>IF(BC34&gt;0,(SQRT(BE24+BE33))/BC34,0)</f>
        <v>0</v>
      </c>
      <c r="BE34" s="229">
        <f t="shared" si="60"/>
        <v>0</v>
      </c>
      <c r="BF34" s="229">
        <f>+BF24+BF33</f>
        <v>3690.3932187788237</v>
      </c>
      <c r="BG34" s="235">
        <f>IF(BF34&gt;0,(SQRT(BH24+BH33))/BF34,0)</f>
        <v>4.0781259292787947E-2</v>
      </c>
      <c r="BH34" s="160">
        <f t="shared" si="37"/>
        <v>22649.913708205273</v>
      </c>
      <c r="BI34" s="200"/>
      <c r="BJ34" s="462"/>
      <c r="BK34" s="462"/>
      <c r="BL34" s="462"/>
      <c r="BM34" s="463"/>
      <c r="BN34" s="463"/>
      <c r="BO34" s="463"/>
      <c r="BP34" s="462"/>
      <c r="BQ34" s="462"/>
      <c r="BR34" s="462"/>
      <c r="BS34" s="462"/>
      <c r="BT34" s="462"/>
      <c r="BU34" s="462"/>
      <c r="BV34" s="462"/>
      <c r="BW34" s="462"/>
      <c r="BX34" s="462"/>
      <c r="BY34" s="462"/>
      <c r="BZ34" s="462"/>
      <c r="CA34" s="462"/>
      <c r="CB34" s="464"/>
      <c r="CC34" s="462"/>
      <c r="CD34" s="462"/>
      <c r="CE34" s="464"/>
      <c r="CF34" s="464"/>
      <c r="CG34" s="464"/>
      <c r="CH34" s="464"/>
      <c r="CI34" s="462"/>
      <c r="CJ34" s="462"/>
      <c r="CK34" s="464"/>
      <c r="CL34" s="464"/>
      <c r="CM34" s="464"/>
      <c r="CN34" s="357"/>
      <c r="CO34" s="346"/>
      <c r="CP34" s="346"/>
      <c r="CQ34" s="171"/>
      <c r="CR34" s="171"/>
      <c r="CS34" s="171"/>
      <c r="CT34" s="171"/>
      <c r="CU34" s="171"/>
      <c r="CV34" s="171"/>
      <c r="CW34" s="171"/>
      <c r="CX34" s="171"/>
      <c r="CY34" s="171"/>
      <c r="CZ34" s="171"/>
      <c r="DA34" s="171"/>
      <c r="DB34" s="171"/>
      <c r="DC34" s="171"/>
      <c r="DD34" s="171"/>
      <c r="DE34" s="171"/>
      <c r="DF34" s="171"/>
      <c r="DG34" s="171"/>
      <c r="DH34" s="171"/>
      <c r="DI34" s="171"/>
      <c r="DJ34" s="171"/>
      <c r="DK34" s="171"/>
      <c r="DL34" s="171"/>
      <c r="DM34" s="171"/>
      <c r="DN34" s="171"/>
      <c r="DO34" s="171"/>
      <c r="DP34" s="171"/>
      <c r="DQ34" s="171"/>
      <c r="DR34" s="171"/>
      <c r="DS34" s="171"/>
      <c r="DT34" s="171"/>
      <c r="DU34" s="171"/>
      <c r="DV34" s="171"/>
      <c r="DW34" s="170"/>
      <c r="DX34" s="170"/>
      <c r="DY34" s="170"/>
      <c r="DZ34" s="170"/>
      <c r="EA34" s="170"/>
      <c r="EB34" s="170"/>
      <c r="EC34" s="170"/>
      <c r="ED34" s="170"/>
    </row>
    <row r="35" spans="1:134" s="147" customFormat="1" ht="15.75" x14ac:dyDescent="0.25">
      <c r="A35" s="146"/>
      <c r="B35" s="236"/>
      <c r="C35" s="237"/>
      <c r="D35" s="237"/>
      <c r="E35" s="237"/>
      <c r="F35" s="237"/>
      <c r="G35" s="237"/>
      <c r="H35" s="237"/>
      <c r="I35" s="237"/>
      <c r="J35" s="237"/>
      <c r="K35" s="237"/>
      <c r="L35" s="237"/>
      <c r="M35" s="237"/>
      <c r="N35" s="237"/>
      <c r="O35" s="237"/>
      <c r="P35" s="237"/>
      <c r="Q35" s="237"/>
      <c r="R35" s="237"/>
      <c r="S35" s="237"/>
      <c r="T35" s="237"/>
      <c r="U35" s="237"/>
      <c r="V35" s="237"/>
      <c r="W35" s="237"/>
      <c r="X35" s="237"/>
      <c r="Y35" s="237"/>
      <c r="Z35" s="237"/>
      <c r="AA35" s="238"/>
      <c r="AB35" s="239"/>
      <c r="AC35" s="240"/>
      <c r="AD35" s="239"/>
      <c r="AE35" s="241"/>
      <c r="AF35" s="237"/>
      <c r="AG35" s="237"/>
      <c r="AH35" s="242"/>
      <c r="AI35" s="239"/>
      <c r="AJ35" s="240"/>
      <c r="AK35" s="239"/>
      <c r="AL35" s="237"/>
      <c r="AM35" s="237"/>
      <c r="AN35" s="237"/>
      <c r="AO35" s="237"/>
      <c r="AP35" s="239"/>
      <c r="AQ35" s="240"/>
      <c r="AR35" s="239"/>
      <c r="AS35" s="237"/>
      <c r="AT35" s="237"/>
      <c r="AU35" s="237"/>
      <c r="AV35" s="239"/>
      <c r="AW35" s="240"/>
      <c r="AX35" s="239"/>
      <c r="AY35" s="237"/>
      <c r="AZ35" s="237"/>
      <c r="BA35" s="243"/>
      <c r="BB35" s="244"/>
      <c r="BC35" s="239"/>
      <c r="BD35" s="240"/>
      <c r="BE35" s="239"/>
      <c r="BF35" s="239"/>
      <c r="BG35" s="245"/>
      <c r="BH35" s="160"/>
      <c r="BI35" s="200"/>
      <c r="BJ35" s="462"/>
      <c r="BK35" s="462"/>
      <c r="BL35" s="462"/>
      <c r="BM35" s="463"/>
      <c r="BN35" s="463"/>
      <c r="BO35" s="463"/>
      <c r="BP35" s="462"/>
      <c r="BQ35" s="462"/>
      <c r="BR35" s="462"/>
      <c r="BS35" s="462"/>
      <c r="BT35" s="462"/>
      <c r="BU35" s="462"/>
      <c r="BV35" s="462"/>
      <c r="BW35" s="462"/>
      <c r="BX35" s="462"/>
      <c r="BY35" s="462"/>
      <c r="BZ35" s="462"/>
      <c r="CA35" s="462"/>
      <c r="CB35" s="464"/>
      <c r="CC35" s="462"/>
      <c r="CD35" s="462"/>
      <c r="CE35" s="464"/>
      <c r="CF35" s="464"/>
      <c r="CG35" s="464"/>
      <c r="CH35" s="464"/>
      <c r="CI35" s="462"/>
      <c r="CJ35" s="462"/>
      <c r="CK35" s="464"/>
      <c r="CL35" s="464"/>
      <c r="CM35" s="464"/>
      <c r="CN35" s="357"/>
      <c r="CO35" s="346"/>
      <c r="CP35" s="346"/>
      <c r="CQ35" s="171"/>
      <c r="CR35" s="171"/>
      <c r="CS35" s="171"/>
      <c r="CT35" s="171"/>
      <c r="CU35" s="171"/>
      <c r="CV35" s="171"/>
      <c r="CW35" s="171"/>
      <c r="CX35" s="171"/>
      <c r="CY35" s="171"/>
      <c r="CZ35" s="171"/>
      <c r="DA35" s="171"/>
      <c r="DB35" s="171"/>
      <c r="DC35" s="171"/>
      <c r="DD35" s="171"/>
      <c r="DE35" s="171"/>
      <c r="DF35" s="171"/>
      <c r="DG35" s="171"/>
      <c r="DH35" s="171"/>
      <c r="DI35" s="171"/>
      <c r="DJ35" s="171"/>
      <c r="DK35" s="171"/>
      <c r="DL35" s="171"/>
      <c r="DM35" s="171"/>
      <c r="DN35" s="171"/>
      <c r="DO35" s="171"/>
      <c r="DP35" s="171"/>
      <c r="DQ35" s="171"/>
      <c r="DR35" s="171"/>
      <c r="DS35" s="171"/>
      <c r="DT35" s="171"/>
      <c r="DU35" s="171"/>
      <c r="DV35" s="171"/>
      <c r="DW35" s="170"/>
      <c r="DX35" s="170"/>
      <c r="DY35" s="170"/>
      <c r="DZ35" s="170"/>
      <c r="EA35" s="170"/>
      <c r="EB35" s="170"/>
      <c r="EC35" s="170"/>
      <c r="ED35" s="170"/>
    </row>
    <row r="36" spans="1:134" s="200" customFormat="1" ht="21.75" customHeight="1" x14ac:dyDescent="0.25">
      <c r="A36" s="146"/>
      <c r="B36" s="745" t="s">
        <v>131</v>
      </c>
      <c r="C36" s="746"/>
      <c r="D36" s="746"/>
      <c r="E36" s="746"/>
      <c r="F36" s="746"/>
      <c r="G36" s="746"/>
      <c r="H36" s="746"/>
      <c r="I36" s="746"/>
      <c r="J36" s="746"/>
      <c r="K36" s="746"/>
      <c r="L36" s="746"/>
      <c r="M36" s="746"/>
      <c r="N36" s="746"/>
      <c r="O36" s="746"/>
      <c r="P36" s="746"/>
      <c r="Q36" s="746"/>
      <c r="R36" s="746"/>
      <c r="S36" s="746"/>
      <c r="T36" s="746"/>
      <c r="U36" s="746"/>
      <c r="V36" s="746"/>
      <c r="W36" s="746"/>
      <c r="X36" s="746"/>
      <c r="Y36" s="746"/>
      <c r="Z36" s="746"/>
      <c r="AA36" s="746"/>
      <c r="AB36" s="746"/>
      <c r="AC36" s="746"/>
      <c r="AD36" s="746"/>
      <c r="AE36" s="746"/>
      <c r="AF36" s="746"/>
      <c r="AG36" s="746"/>
      <c r="AH36" s="746"/>
      <c r="AI36" s="746"/>
      <c r="AJ36" s="746"/>
      <c r="AK36" s="746"/>
      <c r="AL36" s="746"/>
      <c r="AM36" s="746"/>
      <c r="AN36" s="746"/>
      <c r="AO36" s="746"/>
      <c r="AP36" s="746"/>
      <c r="AQ36" s="746"/>
      <c r="AR36" s="746"/>
      <c r="AS36" s="746"/>
      <c r="AT36" s="746"/>
      <c r="AU36" s="746"/>
      <c r="AV36" s="746"/>
      <c r="AW36" s="746"/>
      <c r="AX36" s="746"/>
      <c r="AY36" s="746"/>
      <c r="AZ36" s="746"/>
      <c r="BA36" s="746"/>
      <c r="BB36" s="746"/>
      <c r="BC36" s="746"/>
      <c r="BD36" s="746"/>
      <c r="BE36" s="746"/>
      <c r="BF36" s="746"/>
      <c r="BG36" s="747"/>
      <c r="BH36" s="160"/>
      <c r="BJ36" s="462"/>
      <c r="BK36" s="462"/>
      <c r="BL36" s="462"/>
      <c r="BM36" s="463"/>
      <c r="BN36" s="463"/>
      <c r="BO36" s="463"/>
      <c r="BP36" s="462"/>
      <c r="BQ36" s="462"/>
      <c r="BR36" s="462"/>
      <c r="BS36" s="462"/>
      <c r="BT36" s="462"/>
      <c r="BU36" s="462"/>
      <c r="BV36" s="462"/>
      <c r="BW36" s="462"/>
      <c r="BX36" s="462"/>
      <c r="BY36" s="462"/>
      <c r="BZ36" s="462"/>
      <c r="CA36" s="462"/>
      <c r="CB36" s="464"/>
      <c r="CC36" s="462"/>
      <c r="CD36" s="462"/>
      <c r="CE36" s="464"/>
      <c r="CF36" s="464"/>
      <c r="CG36" s="464"/>
      <c r="CH36" s="464"/>
      <c r="CI36" s="462"/>
      <c r="CJ36" s="462"/>
      <c r="CK36" s="464"/>
      <c r="CL36" s="464"/>
      <c r="CM36" s="464"/>
      <c r="CN36" s="357"/>
      <c r="CO36" s="346"/>
      <c r="CP36" s="346"/>
      <c r="CQ36" s="171"/>
      <c r="CR36" s="171"/>
      <c r="CS36" s="171"/>
      <c r="CT36" s="171"/>
      <c r="CU36" s="171"/>
      <c r="CV36" s="171"/>
      <c r="CW36" s="171"/>
      <c r="CX36" s="171"/>
      <c r="CY36" s="171"/>
      <c r="CZ36" s="171"/>
      <c r="DA36" s="171"/>
      <c r="DB36" s="171"/>
      <c r="DC36" s="171"/>
      <c r="DD36" s="171"/>
      <c r="DE36" s="171"/>
      <c r="DF36" s="171"/>
      <c r="DG36" s="171"/>
      <c r="DH36" s="171"/>
      <c r="DI36" s="171"/>
      <c r="DJ36" s="171"/>
      <c r="DK36" s="171"/>
      <c r="DL36" s="171"/>
      <c r="DM36" s="171"/>
      <c r="DN36" s="171"/>
      <c r="DO36" s="171"/>
      <c r="DP36" s="171"/>
      <c r="DQ36" s="171"/>
      <c r="DR36" s="171"/>
      <c r="DS36" s="171"/>
      <c r="DT36" s="171"/>
      <c r="DU36" s="171"/>
      <c r="DV36" s="171"/>
      <c r="DW36" s="170"/>
      <c r="DX36" s="170"/>
      <c r="DY36" s="170"/>
      <c r="DZ36" s="170"/>
      <c r="EA36" s="170"/>
      <c r="EB36" s="170"/>
      <c r="EC36" s="170"/>
      <c r="ED36" s="170"/>
    </row>
    <row r="37" spans="1:134" s="200" customFormat="1" ht="15" customHeight="1" x14ac:dyDescent="0.25">
      <c r="A37" s="146"/>
      <c r="B37" s="749" t="s">
        <v>442</v>
      </c>
      <c r="C37" s="739" t="s">
        <v>446</v>
      </c>
      <c r="D37" s="739" t="s">
        <v>107</v>
      </c>
      <c r="E37" s="739"/>
      <c r="F37" s="739"/>
      <c r="G37" s="739"/>
      <c r="H37" s="739"/>
      <c r="I37" s="739"/>
      <c r="J37" s="739"/>
      <c r="K37" s="739"/>
      <c r="L37" s="739"/>
      <c r="M37" s="739"/>
      <c r="N37" s="739"/>
      <c r="O37" s="739"/>
      <c r="P37" s="739"/>
      <c r="Q37" s="739"/>
      <c r="R37" s="739"/>
      <c r="S37" s="739" t="s">
        <v>352</v>
      </c>
      <c r="T37" s="739"/>
      <c r="U37" s="739"/>
      <c r="V37" s="739"/>
      <c r="W37" s="739"/>
      <c r="X37" s="740" t="s">
        <v>360</v>
      </c>
      <c r="Y37" s="740"/>
      <c r="Z37" s="740"/>
      <c r="AA37" s="740"/>
      <c r="AB37" s="740"/>
      <c r="AC37" s="740"/>
      <c r="AD37" s="740"/>
      <c r="AE37" s="740" t="s">
        <v>359</v>
      </c>
      <c r="AF37" s="740"/>
      <c r="AG37" s="740"/>
      <c r="AH37" s="740"/>
      <c r="AI37" s="740"/>
      <c r="AJ37" s="740"/>
      <c r="AK37" s="740"/>
      <c r="AL37" s="740" t="s">
        <v>358</v>
      </c>
      <c r="AM37" s="740"/>
      <c r="AN37" s="740"/>
      <c r="AO37" s="740"/>
      <c r="AP37" s="740"/>
      <c r="AQ37" s="740"/>
      <c r="AR37" s="740"/>
      <c r="AS37" s="740" t="s">
        <v>543</v>
      </c>
      <c r="AT37" s="740"/>
      <c r="AU37" s="740"/>
      <c r="AV37" s="740"/>
      <c r="AW37" s="740"/>
      <c r="AX37" s="740"/>
      <c r="AY37" s="740" t="s">
        <v>357</v>
      </c>
      <c r="AZ37" s="740"/>
      <c r="BA37" s="740"/>
      <c r="BB37" s="740"/>
      <c r="BC37" s="740"/>
      <c r="BD37" s="740"/>
      <c r="BE37" s="740"/>
      <c r="BF37" s="744" t="s">
        <v>794</v>
      </c>
      <c r="BG37" s="748" t="s">
        <v>109</v>
      </c>
      <c r="BH37" s="160"/>
      <c r="BJ37" s="462"/>
      <c r="BK37" s="462"/>
      <c r="BL37" s="462"/>
      <c r="BM37" s="463"/>
      <c r="BN37" s="463"/>
      <c r="BO37" s="463"/>
      <c r="BP37" s="462"/>
      <c r="BQ37" s="462"/>
      <c r="BR37" s="462"/>
      <c r="BS37" s="462"/>
      <c r="BT37" s="462"/>
      <c r="BU37" s="462"/>
      <c r="BV37" s="462"/>
      <c r="BW37" s="462"/>
      <c r="BX37" s="462"/>
      <c r="BY37" s="462"/>
      <c r="BZ37" s="462"/>
      <c r="CA37" s="462"/>
      <c r="CB37" s="464"/>
      <c r="CC37" s="462"/>
      <c r="CD37" s="462"/>
      <c r="CE37" s="464"/>
      <c r="CF37" s="464"/>
      <c r="CG37" s="464"/>
      <c r="CH37" s="464"/>
      <c r="CI37" s="462"/>
      <c r="CJ37" s="462"/>
      <c r="CK37" s="464"/>
      <c r="CL37" s="464"/>
      <c r="CM37" s="464"/>
      <c r="CN37" s="357"/>
      <c r="CO37" s="346"/>
      <c r="CP37" s="346"/>
      <c r="CQ37" s="171"/>
      <c r="CR37" s="171"/>
      <c r="CS37" s="171"/>
      <c r="CT37" s="171"/>
      <c r="CU37" s="171"/>
      <c r="CV37" s="171"/>
      <c r="CW37" s="171"/>
      <c r="CX37" s="171"/>
      <c r="CY37" s="171"/>
      <c r="CZ37" s="171"/>
      <c r="DA37" s="171"/>
      <c r="DB37" s="171"/>
      <c r="DC37" s="171"/>
      <c r="DD37" s="171"/>
      <c r="DE37" s="171"/>
      <c r="DF37" s="171"/>
      <c r="DG37" s="171"/>
      <c r="DH37" s="171"/>
      <c r="DI37" s="171"/>
      <c r="DJ37" s="171"/>
      <c r="DK37" s="171"/>
      <c r="DL37" s="171"/>
      <c r="DM37" s="171"/>
      <c r="DN37" s="171"/>
      <c r="DO37" s="171"/>
      <c r="DP37" s="171"/>
      <c r="DQ37" s="171"/>
      <c r="DR37" s="171"/>
      <c r="DS37" s="171"/>
      <c r="DT37" s="171"/>
      <c r="DU37" s="171"/>
      <c r="DV37" s="171"/>
      <c r="DW37" s="170"/>
      <c r="DX37" s="170"/>
      <c r="DY37" s="170"/>
      <c r="DZ37" s="170"/>
      <c r="EA37" s="170"/>
      <c r="EB37" s="170"/>
      <c r="EC37" s="170"/>
      <c r="ED37" s="170"/>
    </row>
    <row r="38" spans="1:134" s="200" customFormat="1" ht="60" x14ac:dyDescent="0.25">
      <c r="A38" s="146"/>
      <c r="B38" s="750"/>
      <c r="C38" s="739"/>
      <c r="D38" s="201" t="s">
        <v>110</v>
      </c>
      <c r="E38" s="201" t="s">
        <v>111</v>
      </c>
      <c r="F38" s="201" t="s">
        <v>112</v>
      </c>
      <c r="G38" s="201" t="s">
        <v>113</v>
      </c>
      <c r="H38" s="201" t="s">
        <v>114</v>
      </c>
      <c r="I38" s="201" t="s">
        <v>115</v>
      </c>
      <c r="J38" s="201" t="s">
        <v>116</v>
      </c>
      <c r="K38" s="201" t="s">
        <v>117</v>
      </c>
      <c r="L38" s="201" t="s">
        <v>118</v>
      </c>
      <c r="M38" s="201" t="s">
        <v>119</v>
      </c>
      <c r="N38" s="201" t="s">
        <v>120</v>
      </c>
      <c r="O38" s="201" t="s">
        <v>121</v>
      </c>
      <c r="P38" s="201" t="s">
        <v>122</v>
      </c>
      <c r="Q38" s="201" t="s">
        <v>123</v>
      </c>
      <c r="R38" s="201" t="s">
        <v>124</v>
      </c>
      <c r="S38" s="201" t="s">
        <v>125</v>
      </c>
      <c r="T38" s="201" t="s">
        <v>126</v>
      </c>
      <c r="U38" s="201" t="s">
        <v>127</v>
      </c>
      <c r="V38" s="202" t="s">
        <v>369</v>
      </c>
      <c r="W38" s="571" t="s">
        <v>352</v>
      </c>
      <c r="X38" s="744" t="s">
        <v>353</v>
      </c>
      <c r="Y38" s="744"/>
      <c r="Z38" s="201" t="s">
        <v>361</v>
      </c>
      <c r="AA38" s="203" t="s">
        <v>793</v>
      </c>
      <c r="AB38" s="203" t="s">
        <v>806</v>
      </c>
      <c r="AC38" s="571" t="s">
        <v>362</v>
      </c>
      <c r="AD38" s="203" t="s">
        <v>453</v>
      </c>
      <c r="AE38" s="744" t="s">
        <v>354</v>
      </c>
      <c r="AF38" s="744"/>
      <c r="AG38" s="571" t="s">
        <v>363</v>
      </c>
      <c r="AH38" s="204" t="s">
        <v>807</v>
      </c>
      <c r="AI38" s="204" t="s">
        <v>808</v>
      </c>
      <c r="AJ38" s="571" t="s">
        <v>364</v>
      </c>
      <c r="AK38" s="203" t="s">
        <v>453</v>
      </c>
      <c r="AL38" s="744" t="s">
        <v>355</v>
      </c>
      <c r="AM38" s="744"/>
      <c r="AN38" s="201" t="s">
        <v>365</v>
      </c>
      <c r="AO38" s="201" t="s">
        <v>809</v>
      </c>
      <c r="AP38" s="201" t="s">
        <v>810</v>
      </c>
      <c r="AQ38" s="571" t="s">
        <v>366</v>
      </c>
      <c r="AR38" s="203" t="s">
        <v>453</v>
      </c>
      <c r="AS38" s="744" t="s">
        <v>811</v>
      </c>
      <c r="AT38" s="744"/>
      <c r="AU38" s="571" t="s">
        <v>546</v>
      </c>
      <c r="AV38" s="203" t="s">
        <v>812</v>
      </c>
      <c r="AW38" s="571" t="s">
        <v>545</v>
      </c>
      <c r="AX38" s="203" t="s">
        <v>453</v>
      </c>
      <c r="AY38" s="744" t="s">
        <v>356</v>
      </c>
      <c r="AZ38" s="744"/>
      <c r="BA38" s="571" t="s">
        <v>367</v>
      </c>
      <c r="BB38" s="203" t="s">
        <v>813</v>
      </c>
      <c r="BC38" s="203" t="s">
        <v>814</v>
      </c>
      <c r="BD38" s="571" t="s">
        <v>368</v>
      </c>
      <c r="BE38" s="203" t="s">
        <v>453</v>
      </c>
      <c r="BF38" s="744"/>
      <c r="BG38" s="748"/>
      <c r="BH38" s="160"/>
      <c r="BJ38" s="462"/>
      <c r="BK38" s="462"/>
      <c r="BL38" s="462"/>
      <c r="BM38" s="463"/>
      <c r="BN38" s="463"/>
      <c r="BO38" s="463"/>
      <c r="BP38" s="462"/>
      <c r="BQ38" s="462"/>
      <c r="BR38" s="462"/>
      <c r="BS38" s="462"/>
      <c r="BT38" s="462"/>
      <c r="BU38" s="462"/>
      <c r="BV38" s="462"/>
      <c r="BW38" s="462"/>
      <c r="BX38" s="462"/>
      <c r="BY38" s="462"/>
      <c r="BZ38" s="462"/>
      <c r="CA38" s="462"/>
      <c r="CB38" s="464"/>
      <c r="CC38" s="462"/>
      <c r="CD38" s="462"/>
      <c r="CE38" s="464"/>
      <c r="CF38" s="464"/>
      <c r="CG38" s="464"/>
      <c r="CH38" s="464"/>
      <c r="CI38" s="462"/>
      <c r="CJ38" s="462"/>
      <c r="CK38" s="464"/>
      <c r="CL38" s="464"/>
      <c r="CM38" s="464"/>
      <c r="CN38" s="357"/>
      <c r="CO38" s="346"/>
      <c r="CP38" s="346"/>
      <c r="CQ38" s="171"/>
      <c r="CR38" s="171"/>
      <c r="CS38" s="171"/>
      <c r="CT38" s="171"/>
      <c r="CU38" s="171"/>
      <c r="CV38" s="171"/>
      <c r="CW38" s="171"/>
      <c r="CX38" s="171"/>
      <c r="CY38" s="171"/>
      <c r="CZ38" s="171"/>
      <c r="DA38" s="171"/>
      <c r="DB38" s="171"/>
      <c r="DC38" s="171"/>
      <c r="DD38" s="171"/>
      <c r="DE38" s="171"/>
      <c r="DF38" s="171"/>
      <c r="DG38" s="171"/>
      <c r="DH38" s="171"/>
      <c r="DI38" s="171"/>
      <c r="DJ38" s="171"/>
      <c r="DK38" s="171"/>
      <c r="DL38" s="171"/>
      <c r="DM38" s="171"/>
      <c r="DN38" s="171"/>
      <c r="DO38" s="171"/>
      <c r="DP38" s="171"/>
      <c r="DQ38" s="171"/>
      <c r="DR38" s="171"/>
      <c r="DS38" s="171"/>
      <c r="DT38" s="171"/>
      <c r="DU38" s="171"/>
      <c r="DV38" s="171"/>
      <c r="DW38" s="170"/>
      <c r="DX38" s="170"/>
      <c r="DY38" s="170"/>
      <c r="DZ38" s="170"/>
      <c r="EA38" s="170"/>
      <c r="EB38" s="170"/>
      <c r="EC38" s="170"/>
      <c r="ED38" s="170"/>
    </row>
    <row r="39" spans="1:134" s="147" customFormat="1" ht="15" hidden="1" customHeight="1" x14ac:dyDescent="0.25">
      <c r="A39" s="146"/>
      <c r="B39" s="453" t="s">
        <v>595</v>
      </c>
      <c r="C39" s="111"/>
      <c r="D39" s="205">
        <f t="shared" ref="D39:D49" si="64">VLOOKUP($C39,$BI$195:$CM$609,2,FALSE)</f>
        <v>0</v>
      </c>
      <c r="E39" s="91"/>
      <c r="F39" s="91"/>
      <c r="G39" s="91"/>
      <c r="H39" s="91"/>
      <c r="I39" s="91"/>
      <c r="J39" s="91"/>
      <c r="K39" s="91"/>
      <c r="L39" s="91"/>
      <c r="M39" s="91"/>
      <c r="N39" s="91"/>
      <c r="O39" s="91"/>
      <c r="P39" s="91"/>
      <c r="Q39" s="206">
        <f t="shared" ref="Q39:Q49" si="65">SUM(E39:P39)</f>
        <v>0</v>
      </c>
      <c r="R39" s="205">
        <f t="shared" ref="R39:R49" si="66">COUNT(E39:P39)</f>
        <v>0</v>
      </c>
      <c r="S39" s="206">
        <f t="shared" ref="S39:S49" si="67">IF(R39&gt;1,AVERAGE(E39:P39),0)</f>
        <v>0</v>
      </c>
      <c r="T39" s="206">
        <f t="shared" ref="T39:T49" si="68">IF(R39&gt;1,STDEV(E39:P39),0)</f>
        <v>0</v>
      </c>
      <c r="U39" s="206">
        <f t="shared" ref="U39:U49" si="69">IF(R39&gt;1,VLOOKUP($R39,$BI$529:$BJ$541,2,FALSE),0)</f>
        <v>0</v>
      </c>
      <c r="V39" s="92"/>
      <c r="W39" s="207">
        <f t="shared" ref="W39:W49" si="70">IF(R39&gt;1,1-((S39-((T39*U39)/(SQRT(R39))))/S39),VLOOKUP($C39,$BI$195:$CP$609,34,FALSE))</f>
        <v>0</v>
      </c>
      <c r="X39" s="208">
        <f t="shared" ref="X39:X49" si="71">VLOOKUP($C39,$BI$195:$CM$609,3,FALSE)</f>
        <v>0</v>
      </c>
      <c r="Y39" s="209">
        <f t="shared" ref="Y39:Y49" si="72">VLOOKUP($C39,$BI$195:$CM$609,4,FALSE)</f>
        <v>0</v>
      </c>
      <c r="Z39" s="207">
        <f t="shared" ref="Z39:Z49" si="73">IF($Q39&gt;0,VLOOKUP($C39,$BI$195:$CM$609,6,FALSE),0)</f>
        <v>0</v>
      </c>
      <c r="AA39" s="210">
        <f t="shared" ref="AA39:AA49" si="74">($Q39*X39)/1000</f>
        <v>0</v>
      </c>
      <c r="AB39" s="210">
        <f t="shared" ref="AB39:AB49" si="75">AA39*$BJ$547</f>
        <v>0</v>
      </c>
      <c r="AC39" s="207">
        <f t="shared" ref="AC39:AC49" si="76">IF(AA39&gt;0,SQRT(($W39*$W39)+(Z39*Z39)+($V39*$V39)),0)</f>
        <v>0</v>
      </c>
      <c r="AD39" s="210">
        <f t="shared" ref="AD39:AD49" si="77">(AB39*AC39)^2</f>
        <v>0</v>
      </c>
      <c r="AE39" s="211">
        <f t="shared" ref="AE39:AE49" si="78">VLOOKUP($C39,$BI$195:$CM$609,9,FALSE)</f>
        <v>0</v>
      </c>
      <c r="AF39" s="209">
        <f t="shared" ref="AF39:AF49" si="79">VLOOKUP($C39,$BI$195:$CM$609,10,FALSE)</f>
        <v>0</v>
      </c>
      <c r="AG39" s="207">
        <f t="shared" ref="AG39:AG49" si="80">IF($Q39&gt;0,VLOOKUP($C39,$BI$195:$CM$609,24,FALSE),0)</f>
        <v>0</v>
      </c>
      <c r="AH39" s="212">
        <f t="shared" ref="AH39:AH49" si="81">($Q39*AE39)/1000</f>
        <v>0</v>
      </c>
      <c r="AI39" s="212">
        <f t="shared" ref="AI39:AI49" si="82">AH39*$BJ$548</f>
        <v>0</v>
      </c>
      <c r="AJ39" s="207">
        <f t="shared" ref="AJ39:AJ49" si="83">IF(AH39&gt;0,SQRT(($W39*$W39)+(AG39*AG39)+($V39*$V39)),0)</f>
        <v>0</v>
      </c>
      <c r="AK39" s="210">
        <f t="shared" ref="AK39:AK49" si="84">(AI39*AJ39)^2</f>
        <v>0</v>
      </c>
      <c r="AL39" s="211">
        <f t="shared" ref="AL39:AL49" si="85">VLOOKUP($C39,$BI$195:$CM$609,15,FALSE)</f>
        <v>0</v>
      </c>
      <c r="AM39" s="209">
        <f t="shared" ref="AM39:AM49" si="86">VLOOKUP($C39,$BI$195:$CM$609,16,FALSE)</f>
        <v>0</v>
      </c>
      <c r="AN39" s="207">
        <f t="shared" ref="AN39:AN49" si="87">IF($Q39&gt;0,VLOOKUP($C39,$BI$195:$CM$609,30,FALSE),0)</f>
        <v>0</v>
      </c>
      <c r="AO39" s="212">
        <f t="shared" ref="AO39:AO49" si="88">($Q39*AL39)/1000</f>
        <v>0</v>
      </c>
      <c r="AP39" s="212">
        <f t="shared" ref="AP39:AP49" si="89">AO39*$BJ$549</f>
        <v>0</v>
      </c>
      <c r="AQ39" s="207">
        <f t="shared" ref="AQ39:AQ49" si="90">IF(AO39&gt;0,SQRT(($W39*$W39)+(AN39*AN39)+($V39*$V39)),0)</f>
        <v>0</v>
      </c>
      <c r="AR39" s="210">
        <f t="shared" ref="AR39:AR49" si="91">(AP39*AQ39)^2</f>
        <v>0</v>
      </c>
      <c r="AS39" s="213">
        <v>0</v>
      </c>
      <c r="AT39" s="209">
        <v>0</v>
      </c>
      <c r="AU39" s="207">
        <v>0</v>
      </c>
      <c r="AV39" s="212">
        <f t="shared" ref="AV39:AV49" si="92">($Q39*AS39)/1000</f>
        <v>0</v>
      </c>
      <c r="AW39" s="207">
        <f t="shared" ref="AW39:AW49" si="93">IF(AV39&gt;0,SQRT(($W39*$W39)+(AU39*AU39)+($V39*$V39)),0)</f>
        <v>0</v>
      </c>
      <c r="AX39" s="210">
        <f t="shared" ref="AX39:AX49" si="94">(AV39*AW39)^2</f>
        <v>0</v>
      </c>
      <c r="AY39" s="213">
        <v>0</v>
      </c>
      <c r="AZ39" s="209">
        <v>0</v>
      </c>
      <c r="BA39" s="207">
        <v>0</v>
      </c>
      <c r="BB39" s="212">
        <f t="shared" ref="BB39:BB49" si="95">($Q39*AY39)/1000</f>
        <v>0</v>
      </c>
      <c r="BC39" s="212">
        <f t="shared" ref="BC39:BC49" si="96">BB39*$BJ$550</f>
        <v>0</v>
      </c>
      <c r="BD39" s="207">
        <f t="shared" ref="BD39:BD49" si="97">IF(BB39&gt;0,SQRT(($W39*$W39)+(BA39*BA39)+($V39*$V39)),0)</f>
        <v>0</v>
      </c>
      <c r="BE39" s="210">
        <f t="shared" ref="BE39:BE49" si="98">(BC39*BD39)^2</f>
        <v>0</v>
      </c>
      <c r="BF39" s="206">
        <f t="shared" ref="BF39:BF49" si="99">AB39+AI39+AP39+AV39+BC39</f>
        <v>0</v>
      </c>
      <c r="BG39" s="214">
        <f t="shared" ref="BG39:BG49" si="100">IF(BF39&gt;0,SQRT(AD39+AK39+AR39+AX39+BE39)/BF39,0)</f>
        <v>0</v>
      </c>
      <c r="BH39" s="160">
        <f t="shared" si="37"/>
        <v>0</v>
      </c>
      <c r="BI39" s="200"/>
      <c r="BJ39" s="462"/>
      <c r="BK39" s="462"/>
      <c r="BL39" s="462"/>
      <c r="BM39" s="463"/>
      <c r="BN39" s="463"/>
      <c r="BO39" s="463"/>
      <c r="BP39" s="462"/>
      <c r="BQ39" s="462"/>
      <c r="BR39" s="462"/>
      <c r="BS39" s="462"/>
      <c r="BT39" s="462"/>
      <c r="BU39" s="462"/>
      <c r="BV39" s="462"/>
      <c r="BW39" s="462"/>
      <c r="BX39" s="462"/>
      <c r="BY39" s="462"/>
      <c r="BZ39" s="462"/>
      <c r="CA39" s="462"/>
      <c r="CB39" s="464"/>
      <c r="CC39" s="462"/>
      <c r="CD39" s="462"/>
      <c r="CE39" s="464"/>
      <c r="CF39" s="464"/>
      <c r="CG39" s="464"/>
      <c r="CH39" s="464"/>
      <c r="CI39" s="462"/>
      <c r="CJ39" s="462"/>
      <c r="CK39" s="464"/>
      <c r="CL39" s="464"/>
      <c r="CM39" s="464"/>
      <c r="CN39" s="357"/>
      <c r="CO39" s="346"/>
      <c r="CP39" s="346"/>
      <c r="CQ39" s="171"/>
      <c r="CR39" s="171"/>
      <c r="CS39" s="171"/>
      <c r="CT39" s="171"/>
      <c r="CU39" s="171"/>
      <c r="CV39" s="171"/>
      <c r="CW39" s="171"/>
      <c r="CX39" s="171"/>
      <c r="CY39" s="171"/>
      <c r="CZ39" s="171"/>
      <c r="DA39" s="171"/>
      <c r="DB39" s="171"/>
      <c r="DC39" s="171"/>
      <c r="DD39" s="171"/>
      <c r="DE39" s="171"/>
      <c r="DF39" s="171"/>
      <c r="DG39" s="171"/>
      <c r="DH39" s="171"/>
      <c r="DI39" s="171"/>
      <c r="DJ39" s="171"/>
      <c r="DK39" s="171"/>
      <c r="DL39" s="171"/>
      <c r="DM39" s="171"/>
      <c r="DN39" s="171"/>
      <c r="DO39" s="171"/>
      <c r="DP39" s="171"/>
      <c r="DQ39" s="171"/>
      <c r="DR39" s="171"/>
      <c r="DS39" s="171"/>
      <c r="DT39" s="171"/>
      <c r="DU39" s="171"/>
      <c r="DV39" s="171"/>
      <c r="DW39" s="170"/>
      <c r="DX39" s="170"/>
      <c r="DY39" s="170"/>
      <c r="DZ39" s="170"/>
      <c r="EA39" s="170"/>
      <c r="EB39" s="170"/>
      <c r="EC39" s="170"/>
      <c r="ED39" s="170"/>
    </row>
    <row r="40" spans="1:134" s="147" customFormat="1" hidden="1" x14ac:dyDescent="0.25">
      <c r="A40" s="146"/>
      <c r="B40" s="454" t="s">
        <v>594</v>
      </c>
      <c r="C40" s="111"/>
      <c r="D40" s="205">
        <f t="shared" si="64"/>
        <v>0</v>
      </c>
      <c r="E40" s="91"/>
      <c r="F40" s="91"/>
      <c r="G40" s="91"/>
      <c r="H40" s="91"/>
      <c r="I40" s="91"/>
      <c r="J40" s="91"/>
      <c r="K40" s="91"/>
      <c r="L40" s="91"/>
      <c r="M40" s="91"/>
      <c r="N40" s="91"/>
      <c r="O40" s="91"/>
      <c r="P40" s="91"/>
      <c r="Q40" s="206">
        <f t="shared" si="65"/>
        <v>0</v>
      </c>
      <c r="R40" s="205">
        <f t="shared" si="66"/>
        <v>0</v>
      </c>
      <c r="S40" s="206">
        <f t="shared" si="67"/>
        <v>0</v>
      </c>
      <c r="T40" s="206">
        <f t="shared" si="68"/>
        <v>0</v>
      </c>
      <c r="U40" s="206">
        <f t="shared" si="69"/>
        <v>0</v>
      </c>
      <c r="V40" s="92"/>
      <c r="W40" s="207">
        <f t="shared" si="70"/>
        <v>0</v>
      </c>
      <c r="X40" s="208">
        <f t="shared" si="71"/>
        <v>0</v>
      </c>
      <c r="Y40" s="209">
        <f t="shared" si="72"/>
        <v>0</v>
      </c>
      <c r="Z40" s="207">
        <f t="shared" si="73"/>
        <v>0</v>
      </c>
      <c r="AA40" s="210">
        <f t="shared" si="74"/>
        <v>0</v>
      </c>
      <c r="AB40" s="210">
        <f t="shared" si="75"/>
        <v>0</v>
      </c>
      <c r="AC40" s="207">
        <f t="shared" si="76"/>
        <v>0</v>
      </c>
      <c r="AD40" s="210">
        <f t="shared" si="77"/>
        <v>0</v>
      </c>
      <c r="AE40" s="211">
        <f t="shared" si="78"/>
        <v>0</v>
      </c>
      <c r="AF40" s="209">
        <f t="shared" si="79"/>
        <v>0</v>
      </c>
      <c r="AG40" s="207">
        <f t="shared" si="80"/>
        <v>0</v>
      </c>
      <c r="AH40" s="212">
        <f t="shared" si="81"/>
        <v>0</v>
      </c>
      <c r="AI40" s="212">
        <f t="shared" si="82"/>
        <v>0</v>
      </c>
      <c r="AJ40" s="207">
        <f t="shared" si="83"/>
        <v>0</v>
      </c>
      <c r="AK40" s="210">
        <f t="shared" si="84"/>
        <v>0</v>
      </c>
      <c r="AL40" s="211">
        <f t="shared" si="85"/>
        <v>0</v>
      </c>
      <c r="AM40" s="209">
        <f t="shared" si="86"/>
        <v>0</v>
      </c>
      <c r="AN40" s="207">
        <f t="shared" si="87"/>
        <v>0</v>
      </c>
      <c r="AO40" s="212">
        <f t="shared" si="88"/>
        <v>0</v>
      </c>
      <c r="AP40" s="212">
        <f t="shared" si="89"/>
        <v>0</v>
      </c>
      <c r="AQ40" s="207">
        <f t="shared" si="90"/>
        <v>0</v>
      </c>
      <c r="AR40" s="210">
        <f t="shared" si="91"/>
        <v>0</v>
      </c>
      <c r="AS40" s="213">
        <v>0</v>
      </c>
      <c r="AT40" s="209">
        <v>0</v>
      </c>
      <c r="AU40" s="207">
        <v>0</v>
      </c>
      <c r="AV40" s="212">
        <f t="shared" si="92"/>
        <v>0</v>
      </c>
      <c r="AW40" s="207">
        <f t="shared" si="93"/>
        <v>0</v>
      </c>
      <c r="AX40" s="210">
        <f t="shared" si="94"/>
        <v>0</v>
      </c>
      <c r="AY40" s="213">
        <v>0</v>
      </c>
      <c r="AZ40" s="209">
        <v>0</v>
      </c>
      <c r="BA40" s="207">
        <v>0</v>
      </c>
      <c r="BB40" s="212">
        <f t="shared" si="95"/>
        <v>0</v>
      </c>
      <c r="BC40" s="212">
        <f t="shared" si="96"/>
        <v>0</v>
      </c>
      <c r="BD40" s="207">
        <f t="shared" si="97"/>
        <v>0</v>
      </c>
      <c r="BE40" s="210">
        <f t="shared" si="98"/>
        <v>0</v>
      </c>
      <c r="BF40" s="206">
        <f t="shared" si="99"/>
        <v>0</v>
      </c>
      <c r="BG40" s="214">
        <f t="shared" si="100"/>
        <v>0</v>
      </c>
      <c r="BH40" s="160">
        <f t="shared" si="37"/>
        <v>0</v>
      </c>
      <c r="BI40" s="200"/>
      <c r="BJ40" s="462"/>
      <c r="BK40" s="462"/>
      <c r="BL40" s="462"/>
      <c r="BM40" s="463"/>
      <c r="BN40" s="463"/>
      <c r="BO40" s="463"/>
      <c r="BP40" s="462"/>
      <c r="BQ40" s="462"/>
      <c r="BR40" s="462"/>
      <c r="BS40" s="462"/>
      <c r="BT40" s="462"/>
      <c r="BU40" s="462"/>
      <c r="BV40" s="462"/>
      <c r="BW40" s="462"/>
      <c r="BX40" s="462"/>
      <c r="BY40" s="462"/>
      <c r="BZ40" s="462"/>
      <c r="CA40" s="462"/>
      <c r="CB40" s="464"/>
      <c r="CC40" s="462"/>
      <c r="CD40" s="462"/>
      <c r="CE40" s="464"/>
      <c r="CF40" s="464"/>
      <c r="CG40" s="464"/>
      <c r="CH40" s="464"/>
      <c r="CI40" s="462"/>
      <c r="CJ40" s="462"/>
      <c r="CK40" s="464"/>
      <c r="CL40" s="464"/>
      <c r="CM40" s="464"/>
      <c r="CN40" s="357"/>
      <c r="CO40" s="346"/>
      <c r="CP40" s="346"/>
      <c r="CQ40" s="171"/>
      <c r="CR40" s="171"/>
      <c r="CS40" s="171"/>
      <c r="CT40" s="171"/>
      <c r="CU40" s="171"/>
      <c r="CV40" s="171"/>
      <c r="CW40" s="171"/>
      <c r="CX40" s="171"/>
      <c r="CY40" s="171"/>
      <c r="CZ40" s="171"/>
      <c r="DA40" s="171"/>
      <c r="DB40" s="171"/>
      <c r="DC40" s="171"/>
      <c r="DD40" s="171"/>
      <c r="DE40" s="171"/>
      <c r="DF40" s="171"/>
      <c r="DG40" s="171"/>
      <c r="DH40" s="171"/>
      <c r="DI40" s="171"/>
      <c r="DJ40" s="171"/>
      <c r="DK40" s="171"/>
      <c r="DL40" s="171"/>
      <c r="DM40" s="171"/>
      <c r="DN40" s="171"/>
      <c r="DO40" s="171"/>
      <c r="DP40" s="171"/>
      <c r="DQ40" s="171"/>
      <c r="DR40" s="171"/>
      <c r="DS40" s="171"/>
      <c r="DT40" s="171"/>
      <c r="DU40" s="171"/>
      <c r="DV40" s="171"/>
      <c r="DW40" s="170"/>
      <c r="DX40" s="170"/>
      <c r="DY40" s="170"/>
      <c r="DZ40" s="170"/>
      <c r="EA40" s="170"/>
      <c r="EB40" s="170"/>
      <c r="EC40" s="170"/>
      <c r="ED40" s="170"/>
    </row>
    <row r="41" spans="1:134" s="147" customFormat="1" hidden="1" x14ac:dyDescent="0.25">
      <c r="A41" s="146"/>
      <c r="B41" s="454"/>
      <c r="C41" s="111"/>
      <c r="D41" s="205">
        <f t="shared" si="64"/>
        <v>0</v>
      </c>
      <c r="E41" s="91"/>
      <c r="F41" s="91"/>
      <c r="G41" s="91"/>
      <c r="H41" s="91"/>
      <c r="I41" s="91"/>
      <c r="J41" s="91"/>
      <c r="K41" s="91"/>
      <c r="L41" s="91"/>
      <c r="M41" s="91"/>
      <c r="N41" s="91"/>
      <c r="O41" s="91"/>
      <c r="P41" s="91"/>
      <c r="Q41" s="206">
        <f t="shared" si="65"/>
        <v>0</v>
      </c>
      <c r="R41" s="205">
        <f t="shared" si="66"/>
        <v>0</v>
      </c>
      <c r="S41" s="206">
        <f t="shared" si="67"/>
        <v>0</v>
      </c>
      <c r="T41" s="206">
        <f t="shared" si="68"/>
        <v>0</v>
      </c>
      <c r="U41" s="206">
        <f t="shared" si="69"/>
        <v>0</v>
      </c>
      <c r="V41" s="92"/>
      <c r="W41" s="207">
        <f t="shared" si="70"/>
        <v>0</v>
      </c>
      <c r="X41" s="208">
        <f t="shared" si="71"/>
        <v>0</v>
      </c>
      <c r="Y41" s="209">
        <f t="shared" si="72"/>
        <v>0</v>
      </c>
      <c r="Z41" s="207">
        <f t="shared" si="73"/>
        <v>0</v>
      </c>
      <c r="AA41" s="210">
        <f t="shared" si="74"/>
        <v>0</v>
      </c>
      <c r="AB41" s="210">
        <f t="shared" si="75"/>
        <v>0</v>
      </c>
      <c r="AC41" s="207">
        <f t="shared" si="76"/>
        <v>0</v>
      </c>
      <c r="AD41" s="210">
        <f t="shared" si="77"/>
        <v>0</v>
      </c>
      <c r="AE41" s="211">
        <f t="shared" si="78"/>
        <v>0</v>
      </c>
      <c r="AF41" s="209">
        <f t="shared" si="79"/>
        <v>0</v>
      </c>
      <c r="AG41" s="207">
        <f t="shared" si="80"/>
        <v>0</v>
      </c>
      <c r="AH41" s="212">
        <f t="shared" si="81"/>
        <v>0</v>
      </c>
      <c r="AI41" s="212">
        <f t="shared" si="82"/>
        <v>0</v>
      </c>
      <c r="AJ41" s="207">
        <f t="shared" si="83"/>
        <v>0</v>
      </c>
      <c r="AK41" s="210">
        <f t="shared" si="84"/>
        <v>0</v>
      </c>
      <c r="AL41" s="211">
        <f t="shared" si="85"/>
        <v>0</v>
      </c>
      <c r="AM41" s="209">
        <f t="shared" si="86"/>
        <v>0</v>
      </c>
      <c r="AN41" s="207">
        <f t="shared" si="87"/>
        <v>0</v>
      </c>
      <c r="AO41" s="212">
        <f t="shared" si="88"/>
        <v>0</v>
      </c>
      <c r="AP41" s="212">
        <f t="shared" si="89"/>
        <v>0</v>
      </c>
      <c r="AQ41" s="207">
        <f t="shared" si="90"/>
        <v>0</v>
      </c>
      <c r="AR41" s="210">
        <f t="shared" si="91"/>
        <v>0</v>
      </c>
      <c r="AS41" s="213">
        <v>0</v>
      </c>
      <c r="AT41" s="209">
        <v>0</v>
      </c>
      <c r="AU41" s="207">
        <v>0</v>
      </c>
      <c r="AV41" s="212">
        <f t="shared" si="92"/>
        <v>0</v>
      </c>
      <c r="AW41" s="207">
        <f t="shared" si="93"/>
        <v>0</v>
      </c>
      <c r="AX41" s="210">
        <f t="shared" si="94"/>
        <v>0</v>
      </c>
      <c r="AY41" s="213">
        <v>0</v>
      </c>
      <c r="AZ41" s="209">
        <v>0</v>
      </c>
      <c r="BA41" s="207">
        <v>0</v>
      </c>
      <c r="BB41" s="212">
        <f t="shared" si="95"/>
        <v>0</v>
      </c>
      <c r="BC41" s="212">
        <f t="shared" si="96"/>
        <v>0</v>
      </c>
      <c r="BD41" s="207">
        <f t="shared" si="97"/>
        <v>0</v>
      </c>
      <c r="BE41" s="210">
        <f t="shared" si="98"/>
        <v>0</v>
      </c>
      <c r="BF41" s="206">
        <f t="shared" si="99"/>
        <v>0</v>
      </c>
      <c r="BG41" s="214">
        <f t="shared" si="100"/>
        <v>0</v>
      </c>
      <c r="BH41" s="160">
        <f t="shared" si="37"/>
        <v>0</v>
      </c>
      <c r="BI41" s="200"/>
      <c r="BJ41" s="462"/>
      <c r="BK41" s="462"/>
      <c r="BL41" s="462"/>
      <c r="BM41" s="463"/>
      <c r="BN41" s="463"/>
      <c r="BO41" s="463"/>
      <c r="BP41" s="462"/>
      <c r="BQ41" s="462"/>
      <c r="BR41" s="462"/>
      <c r="BS41" s="462"/>
      <c r="BT41" s="462"/>
      <c r="BU41" s="462"/>
      <c r="BV41" s="462"/>
      <c r="BW41" s="462"/>
      <c r="BX41" s="462"/>
      <c r="BY41" s="462"/>
      <c r="BZ41" s="462"/>
      <c r="CA41" s="462"/>
      <c r="CB41" s="464"/>
      <c r="CC41" s="462"/>
      <c r="CD41" s="462"/>
      <c r="CE41" s="464"/>
      <c r="CF41" s="464"/>
      <c r="CG41" s="464"/>
      <c r="CH41" s="464"/>
      <c r="CI41" s="462"/>
      <c r="CJ41" s="462"/>
      <c r="CK41" s="464"/>
      <c r="CL41" s="464"/>
      <c r="CM41" s="464"/>
      <c r="CN41" s="357"/>
      <c r="CO41" s="346"/>
      <c r="CP41" s="346"/>
      <c r="CQ41" s="171"/>
      <c r="CR41" s="171"/>
      <c r="CS41" s="171"/>
      <c r="CT41" s="171"/>
      <c r="CU41" s="171"/>
      <c r="CV41" s="171"/>
      <c r="CW41" s="171"/>
      <c r="CX41" s="171"/>
      <c r="CY41" s="171"/>
      <c r="CZ41" s="171"/>
      <c r="DA41" s="171"/>
      <c r="DB41" s="171"/>
      <c r="DC41" s="171"/>
      <c r="DD41" s="171"/>
      <c r="DE41" s="171"/>
      <c r="DF41" s="171"/>
      <c r="DG41" s="171"/>
      <c r="DH41" s="171"/>
      <c r="DI41" s="171"/>
      <c r="DJ41" s="171"/>
      <c r="DK41" s="171"/>
      <c r="DL41" s="171"/>
      <c r="DM41" s="171"/>
      <c r="DN41" s="171"/>
      <c r="DO41" s="171"/>
      <c r="DP41" s="171"/>
      <c r="DQ41" s="171"/>
      <c r="DR41" s="171"/>
      <c r="DS41" s="171"/>
      <c r="DT41" s="171"/>
      <c r="DU41" s="171"/>
      <c r="DV41" s="171"/>
      <c r="DW41" s="170"/>
      <c r="DX41" s="170"/>
      <c r="DY41" s="170"/>
      <c r="DZ41" s="170"/>
      <c r="EA41" s="170"/>
      <c r="EB41" s="170"/>
      <c r="EC41" s="170"/>
      <c r="ED41" s="170"/>
    </row>
    <row r="42" spans="1:134" s="147" customFormat="1" hidden="1" x14ac:dyDescent="0.25">
      <c r="A42" s="146"/>
      <c r="B42" s="455"/>
      <c r="C42" s="395"/>
      <c r="D42" s="205">
        <f t="shared" si="64"/>
        <v>0</v>
      </c>
      <c r="E42" s="91"/>
      <c r="F42" s="91"/>
      <c r="G42" s="91"/>
      <c r="H42" s="91"/>
      <c r="I42" s="91"/>
      <c r="J42" s="91"/>
      <c r="K42" s="91"/>
      <c r="L42" s="91"/>
      <c r="M42" s="91"/>
      <c r="N42" s="91"/>
      <c r="O42" s="91"/>
      <c r="P42" s="91"/>
      <c r="Q42" s="206">
        <f t="shared" si="65"/>
        <v>0</v>
      </c>
      <c r="R42" s="205">
        <f t="shared" si="66"/>
        <v>0</v>
      </c>
      <c r="S42" s="206">
        <f t="shared" si="67"/>
        <v>0</v>
      </c>
      <c r="T42" s="206">
        <f t="shared" si="68"/>
        <v>0</v>
      </c>
      <c r="U42" s="206">
        <f t="shared" si="69"/>
        <v>0</v>
      </c>
      <c r="V42" s="92"/>
      <c r="W42" s="207">
        <f t="shared" si="70"/>
        <v>0</v>
      </c>
      <c r="X42" s="208">
        <f t="shared" si="71"/>
        <v>0</v>
      </c>
      <c r="Y42" s="209">
        <f t="shared" si="72"/>
        <v>0</v>
      </c>
      <c r="Z42" s="207">
        <f t="shared" si="73"/>
        <v>0</v>
      </c>
      <c r="AA42" s="210">
        <f t="shared" si="74"/>
        <v>0</v>
      </c>
      <c r="AB42" s="210">
        <f t="shared" si="75"/>
        <v>0</v>
      </c>
      <c r="AC42" s="207">
        <f t="shared" si="76"/>
        <v>0</v>
      </c>
      <c r="AD42" s="210">
        <f t="shared" si="77"/>
        <v>0</v>
      </c>
      <c r="AE42" s="211">
        <f t="shared" si="78"/>
        <v>0</v>
      </c>
      <c r="AF42" s="209">
        <f t="shared" si="79"/>
        <v>0</v>
      </c>
      <c r="AG42" s="207">
        <f t="shared" si="80"/>
        <v>0</v>
      </c>
      <c r="AH42" s="212">
        <f t="shared" si="81"/>
        <v>0</v>
      </c>
      <c r="AI42" s="212">
        <f t="shared" si="82"/>
        <v>0</v>
      </c>
      <c r="AJ42" s="207">
        <f t="shared" si="83"/>
        <v>0</v>
      </c>
      <c r="AK42" s="210">
        <f t="shared" si="84"/>
        <v>0</v>
      </c>
      <c r="AL42" s="211">
        <f t="shared" si="85"/>
        <v>0</v>
      </c>
      <c r="AM42" s="209">
        <f t="shared" si="86"/>
        <v>0</v>
      </c>
      <c r="AN42" s="207">
        <f t="shared" si="87"/>
        <v>0</v>
      </c>
      <c r="AO42" s="212">
        <f t="shared" si="88"/>
        <v>0</v>
      </c>
      <c r="AP42" s="212">
        <f t="shared" si="89"/>
        <v>0</v>
      </c>
      <c r="AQ42" s="207">
        <f t="shared" si="90"/>
        <v>0</v>
      </c>
      <c r="AR42" s="210">
        <f t="shared" si="91"/>
        <v>0</v>
      </c>
      <c r="AS42" s="213">
        <v>0</v>
      </c>
      <c r="AT42" s="209">
        <v>0</v>
      </c>
      <c r="AU42" s="207">
        <v>0</v>
      </c>
      <c r="AV42" s="212">
        <f t="shared" si="92"/>
        <v>0</v>
      </c>
      <c r="AW42" s="207">
        <f t="shared" si="93"/>
        <v>0</v>
      </c>
      <c r="AX42" s="210">
        <f t="shared" si="94"/>
        <v>0</v>
      </c>
      <c r="AY42" s="213">
        <v>0</v>
      </c>
      <c r="AZ42" s="209">
        <v>0</v>
      </c>
      <c r="BA42" s="207">
        <v>0</v>
      </c>
      <c r="BB42" s="212">
        <f t="shared" si="95"/>
        <v>0</v>
      </c>
      <c r="BC42" s="212">
        <f t="shared" si="96"/>
        <v>0</v>
      </c>
      <c r="BD42" s="207">
        <f t="shared" si="97"/>
        <v>0</v>
      </c>
      <c r="BE42" s="210">
        <f t="shared" si="98"/>
        <v>0</v>
      </c>
      <c r="BF42" s="206">
        <f t="shared" si="99"/>
        <v>0</v>
      </c>
      <c r="BG42" s="214">
        <f t="shared" si="100"/>
        <v>0</v>
      </c>
      <c r="BH42" s="160">
        <f t="shared" si="37"/>
        <v>0</v>
      </c>
      <c r="BI42" s="200"/>
      <c r="BJ42" s="462"/>
      <c r="BK42" s="462"/>
      <c r="BL42" s="462"/>
      <c r="BM42" s="463"/>
      <c r="BN42" s="463"/>
      <c r="BO42" s="463"/>
      <c r="BP42" s="462"/>
      <c r="BQ42" s="462"/>
      <c r="BR42" s="462"/>
      <c r="BS42" s="462"/>
      <c r="BT42" s="462"/>
      <c r="BU42" s="462"/>
      <c r="BV42" s="462"/>
      <c r="BW42" s="462"/>
      <c r="BX42" s="462"/>
      <c r="BY42" s="462"/>
      <c r="BZ42" s="462"/>
      <c r="CA42" s="462"/>
      <c r="CB42" s="464"/>
      <c r="CC42" s="462"/>
      <c r="CD42" s="462"/>
      <c r="CE42" s="464"/>
      <c r="CF42" s="464"/>
      <c r="CG42" s="464"/>
      <c r="CH42" s="464"/>
      <c r="CI42" s="462"/>
      <c r="CJ42" s="462"/>
      <c r="CK42" s="464"/>
      <c r="CL42" s="464"/>
      <c r="CM42" s="464"/>
      <c r="CN42" s="357"/>
      <c r="CO42" s="346"/>
      <c r="CP42" s="346"/>
      <c r="CQ42" s="171"/>
      <c r="CR42" s="171"/>
      <c r="CS42" s="171"/>
      <c r="CT42" s="171"/>
      <c r="CU42" s="171"/>
      <c r="CV42" s="171"/>
      <c r="CW42" s="171"/>
      <c r="CX42" s="171"/>
      <c r="CY42" s="171"/>
      <c r="CZ42" s="171"/>
      <c r="DA42" s="171"/>
      <c r="DB42" s="171"/>
      <c r="DC42" s="171"/>
      <c r="DD42" s="171"/>
      <c r="DE42" s="171"/>
      <c r="DF42" s="171"/>
      <c r="DG42" s="171"/>
      <c r="DH42" s="171"/>
      <c r="DI42" s="171"/>
      <c r="DJ42" s="171"/>
      <c r="DK42" s="171"/>
      <c r="DL42" s="171"/>
      <c r="DM42" s="171"/>
      <c r="DN42" s="171"/>
      <c r="DO42" s="171"/>
      <c r="DP42" s="171"/>
      <c r="DQ42" s="171"/>
      <c r="DR42" s="171"/>
      <c r="DS42" s="171"/>
      <c r="DT42" s="171"/>
      <c r="DU42" s="171"/>
      <c r="DV42" s="171"/>
      <c r="DW42" s="170"/>
      <c r="DX42" s="170"/>
      <c r="DY42" s="170"/>
      <c r="DZ42" s="170"/>
      <c r="EA42" s="170"/>
      <c r="EB42" s="170"/>
      <c r="EC42" s="170"/>
      <c r="ED42" s="170"/>
    </row>
    <row r="43" spans="1:134" s="147" customFormat="1" ht="15" hidden="1" customHeight="1" x14ac:dyDescent="0.25">
      <c r="A43" s="146"/>
      <c r="B43" s="453" t="s">
        <v>600</v>
      </c>
      <c r="C43" s="111"/>
      <c r="D43" s="205">
        <f t="shared" si="64"/>
        <v>0</v>
      </c>
      <c r="E43" s="388"/>
      <c r="F43" s="388"/>
      <c r="G43" s="91"/>
      <c r="H43" s="91"/>
      <c r="I43" s="91"/>
      <c r="J43" s="91"/>
      <c r="K43" s="91"/>
      <c r="L43" s="91"/>
      <c r="M43" s="91"/>
      <c r="N43" s="91"/>
      <c r="O43" s="91"/>
      <c r="P43" s="91"/>
      <c r="Q43" s="206">
        <f t="shared" si="65"/>
        <v>0</v>
      </c>
      <c r="R43" s="205">
        <f t="shared" si="66"/>
        <v>0</v>
      </c>
      <c r="S43" s="206">
        <f t="shared" si="67"/>
        <v>0</v>
      </c>
      <c r="T43" s="206">
        <f t="shared" si="68"/>
        <v>0</v>
      </c>
      <c r="U43" s="206">
        <f t="shared" si="69"/>
        <v>0</v>
      </c>
      <c r="V43" s="92"/>
      <c r="W43" s="207">
        <f t="shared" si="70"/>
        <v>0</v>
      </c>
      <c r="X43" s="208">
        <f t="shared" si="71"/>
        <v>0</v>
      </c>
      <c r="Y43" s="209">
        <f t="shared" si="72"/>
        <v>0</v>
      </c>
      <c r="Z43" s="207">
        <f t="shared" si="73"/>
        <v>0</v>
      </c>
      <c r="AA43" s="552">
        <f t="shared" si="74"/>
        <v>0</v>
      </c>
      <c r="AB43" s="210">
        <f t="shared" si="75"/>
        <v>0</v>
      </c>
      <c r="AC43" s="207">
        <f t="shared" si="76"/>
        <v>0</v>
      </c>
      <c r="AD43" s="210">
        <f t="shared" si="77"/>
        <v>0</v>
      </c>
      <c r="AE43" s="553">
        <f t="shared" si="78"/>
        <v>0</v>
      </c>
      <c r="AF43" s="209">
        <f t="shared" si="79"/>
        <v>0</v>
      </c>
      <c r="AG43" s="207">
        <f t="shared" si="80"/>
        <v>0</v>
      </c>
      <c r="AH43" s="212">
        <f t="shared" si="81"/>
        <v>0</v>
      </c>
      <c r="AI43" s="212">
        <f t="shared" si="82"/>
        <v>0</v>
      </c>
      <c r="AJ43" s="207">
        <f t="shared" si="83"/>
        <v>0</v>
      </c>
      <c r="AK43" s="210">
        <f t="shared" si="84"/>
        <v>0</v>
      </c>
      <c r="AL43" s="211">
        <f t="shared" si="85"/>
        <v>0</v>
      </c>
      <c r="AM43" s="209">
        <f t="shared" si="86"/>
        <v>0</v>
      </c>
      <c r="AN43" s="207">
        <f t="shared" si="87"/>
        <v>0</v>
      </c>
      <c r="AO43" s="555">
        <f t="shared" si="88"/>
        <v>0</v>
      </c>
      <c r="AP43" s="212">
        <f t="shared" si="89"/>
        <v>0</v>
      </c>
      <c r="AQ43" s="207">
        <f t="shared" si="90"/>
        <v>0</v>
      </c>
      <c r="AR43" s="210">
        <f t="shared" si="91"/>
        <v>0</v>
      </c>
      <c r="AS43" s="213">
        <v>0</v>
      </c>
      <c r="AT43" s="209">
        <v>0</v>
      </c>
      <c r="AU43" s="207">
        <v>0</v>
      </c>
      <c r="AV43" s="212">
        <f t="shared" si="92"/>
        <v>0</v>
      </c>
      <c r="AW43" s="207">
        <f t="shared" si="93"/>
        <v>0</v>
      </c>
      <c r="AX43" s="210">
        <f t="shared" si="94"/>
        <v>0</v>
      </c>
      <c r="AY43" s="213">
        <v>0</v>
      </c>
      <c r="AZ43" s="209">
        <v>0</v>
      </c>
      <c r="BA43" s="207">
        <v>0</v>
      </c>
      <c r="BB43" s="212">
        <f t="shared" si="95"/>
        <v>0</v>
      </c>
      <c r="BC43" s="212">
        <f t="shared" si="96"/>
        <v>0</v>
      </c>
      <c r="BD43" s="207">
        <f t="shared" si="97"/>
        <v>0</v>
      </c>
      <c r="BE43" s="210">
        <f t="shared" si="98"/>
        <v>0</v>
      </c>
      <c r="BF43" s="206">
        <f t="shared" si="99"/>
        <v>0</v>
      </c>
      <c r="BG43" s="214">
        <f t="shared" si="100"/>
        <v>0</v>
      </c>
      <c r="BH43" s="160">
        <f t="shared" si="37"/>
        <v>0</v>
      </c>
      <c r="BI43" s="200"/>
      <c r="BJ43" s="462"/>
      <c r="BK43" s="462"/>
      <c r="BL43" s="462"/>
      <c r="BM43" s="463"/>
      <c r="BN43" s="463"/>
      <c r="BO43" s="463"/>
      <c r="BP43" s="462"/>
      <c r="BQ43" s="462"/>
      <c r="BR43" s="462"/>
      <c r="BS43" s="462"/>
      <c r="BT43" s="462"/>
      <c r="BU43" s="462"/>
      <c r="BV43" s="462"/>
      <c r="BW43" s="462"/>
      <c r="BX43" s="462"/>
      <c r="BY43" s="462"/>
      <c r="BZ43" s="462"/>
      <c r="CA43" s="462"/>
      <c r="CB43" s="464"/>
      <c r="CC43" s="462"/>
      <c r="CD43" s="462"/>
      <c r="CE43" s="464"/>
      <c r="CF43" s="464"/>
      <c r="CG43" s="464"/>
      <c r="CH43" s="464"/>
      <c r="CI43" s="462"/>
      <c r="CJ43" s="462"/>
      <c r="CK43" s="464"/>
      <c r="CL43" s="464"/>
      <c r="CM43" s="464"/>
      <c r="CN43" s="357"/>
      <c r="CO43" s="346"/>
      <c r="CP43" s="346"/>
      <c r="CQ43" s="171"/>
      <c r="CR43" s="171"/>
      <c r="CS43" s="171"/>
      <c r="CT43" s="171"/>
      <c r="CU43" s="171"/>
      <c r="CV43" s="171"/>
      <c r="CW43" s="171"/>
      <c r="CX43" s="171"/>
      <c r="CY43" s="171"/>
      <c r="CZ43" s="171"/>
      <c r="DA43" s="171"/>
      <c r="DB43" s="171"/>
      <c r="DC43" s="171"/>
      <c r="DD43" s="171"/>
      <c r="DE43" s="171"/>
      <c r="DF43" s="171"/>
      <c r="DG43" s="171"/>
      <c r="DH43" s="171"/>
      <c r="DI43" s="171"/>
      <c r="DJ43" s="171"/>
      <c r="DK43" s="171"/>
      <c r="DL43" s="171"/>
      <c r="DM43" s="171"/>
      <c r="DN43" s="171"/>
      <c r="DO43" s="171"/>
      <c r="DP43" s="171"/>
      <c r="DQ43" s="171"/>
      <c r="DR43" s="171"/>
      <c r="DS43" s="171"/>
      <c r="DT43" s="171"/>
      <c r="DU43" s="171"/>
      <c r="DV43" s="171"/>
      <c r="DW43" s="170"/>
      <c r="DX43" s="170"/>
      <c r="DY43" s="170"/>
      <c r="DZ43" s="170"/>
      <c r="EA43" s="170"/>
      <c r="EB43" s="170"/>
      <c r="EC43" s="170"/>
      <c r="ED43" s="170"/>
    </row>
    <row r="44" spans="1:134" s="147" customFormat="1" hidden="1" x14ac:dyDescent="0.25">
      <c r="A44" s="146"/>
      <c r="B44" s="454" t="s">
        <v>594</v>
      </c>
      <c r="C44" s="111"/>
      <c r="D44" s="451">
        <f t="shared" si="64"/>
        <v>0</v>
      </c>
      <c r="E44" s="91"/>
      <c r="F44" s="91"/>
      <c r="G44" s="91"/>
      <c r="H44" s="91"/>
      <c r="I44" s="91"/>
      <c r="J44" s="91"/>
      <c r="K44" s="91"/>
      <c r="L44" s="91"/>
      <c r="M44" s="91"/>
      <c r="N44" s="91"/>
      <c r="O44" s="91"/>
      <c r="P44" s="91"/>
      <c r="Q44" s="206">
        <f>SUM(E44:P44)</f>
        <v>0</v>
      </c>
      <c r="R44" s="451">
        <f>COUNT(E44:P44)</f>
        <v>0</v>
      </c>
      <c r="S44" s="206">
        <f>IF(R44&gt;1,AVERAGE(E44:P44),0)</f>
        <v>0</v>
      </c>
      <c r="T44" s="206">
        <f>IF(R44&gt;1,STDEV(E44:P44),0)</f>
        <v>0</v>
      </c>
      <c r="U44" s="206">
        <f t="shared" si="69"/>
        <v>0</v>
      </c>
      <c r="V44" s="92"/>
      <c r="W44" s="207">
        <f t="shared" si="70"/>
        <v>0</v>
      </c>
      <c r="X44" s="208">
        <f t="shared" si="71"/>
        <v>0</v>
      </c>
      <c r="Y44" s="209">
        <f t="shared" si="72"/>
        <v>0</v>
      </c>
      <c r="Z44" s="207">
        <f t="shared" si="73"/>
        <v>0</v>
      </c>
      <c r="AA44" s="552">
        <f>($Q44*X44)/1000</f>
        <v>0</v>
      </c>
      <c r="AB44" s="212">
        <f t="shared" si="75"/>
        <v>0</v>
      </c>
      <c r="AC44" s="207">
        <f>IF(AA44&gt;0,SQRT(($W44*$W44)+(Z44*Z44)+($V44*$V44)),0)</f>
        <v>0</v>
      </c>
      <c r="AD44" s="210">
        <f>(AB44*AC44)^2</f>
        <v>0</v>
      </c>
      <c r="AE44" s="533">
        <f t="shared" si="78"/>
        <v>0</v>
      </c>
      <c r="AF44" s="209">
        <f t="shared" si="79"/>
        <v>0</v>
      </c>
      <c r="AG44" s="207">
        <f t="shared" si="80"/>
        <v>0</v>
      </c>
      <c r="AH44" s="212">
        <f>($Q44*AE44)/1000</f>
        <v>0</v>
      </c>
      <c r="AI44" s="212">
        <f t="shared" si="82"/>
        <v>0</v>
      </c>
      <c r="AJ44" s="207">
        <f>IF(AH44&gt;0,SQRT(($W44*$W44)+(AG44*AG44)+($V44*$V44)),0)</f>
        <v>0</v>
      </c>
      <c r="AK44" s="210">
        <f>(AI44*AJ44)^2</f>
        <v>0</v>
      </c>
      <c r="AL44" s="553">
        <f t="shared" si="85"/>
        <v>0</v>
      </c>
      <c r="AM44" s="209">
        <f t="shared" si="86"/>
        <v>0</v>
      </c>
      <c r="AN44" s="207">
        <f t="shared" si="87"/>
        <v>0</v>
      </c>
      <c r="AO44" s="212">
        <f>($Q44*AL44)/1000</f>
        <v>0</v>
      </c>
      <c r="AP44" s="212">
        <f t="shared" si="89"/>
        <v>0</v>
      </c>
      <c r="AQ44" s="207">
        <f>IF(AO44&gt;0,SQRT(($W44*$W44)+(AN44*AN44)+($V44*$V44)),0)</f>
        <v>0</v>
      </c>
      <c r="AR44" s="210">
        <f>(AP44*AQ44)^2</f>
        <v>0</v>
      </c>
      <c r="AS44" s="213">
        <v>0</v>
      </c>
      <c r="AT44" s="209">
        <v>0</v>
      </c>
      <c r="AU44" s="207">
        <v>0</v>
      </c>
      <c r="AV44" s="212">
        <f t="shared" si="92"/>
        <v>0</v>
      </c>
      <c r="AW44" s="207">
        <f>IF(AV44&gt;0,SQRT(($W44*$W44)+(AU44*AU44)+($V44*$V44)),0)</f>
        <v>0</v>
      </c>
      <c r="AX44" s="210">
        <f>(AV44*AW44)^2</f>
        <v>0</v>
      </c>
      <c r="AY44" s="213">
        <v>0</v>
      </c>
      <c r="AZ44" s="209">
        <v>0</v>
      </c>
      <c r="BA44" s="207">
        <v>0</v>
      </c>
      <c r="BB44" s="212">
        <f>($Q44*AY44)/1000</f>
        <v>0</v>
      </c>
      <c r="BC44" s="212">
        <f t="shared" si="96"/>
        <v>0</v>
      </c>
      <c r="BD44" s="207">
        <f>IF(BB44&gt;0,SQRT(($W44*$W44)+(BA44*BA44)+($V44*$V44)),0)</f>
        <v>0</v>
      </c>
      <c r="BE44" s="210">
        <f>(BC44*BD44)^2</f>
        <v>0</v>
      </c>
      <c r="BF44" s="206">
        <f t="shared" si="99"/>
        <v>0</v>
      </c>
      <c r="BG44" s="214">
        <f t="shared" si="100"/>
        <v>0</v>
      </c>
      <c r="BH44" s="160">
        <f>(BF44*BG44)^2</f>
        <v>0</v>
      </c>
      <c r="BI44" s="200"/>
      <c r="BJ44" s="462"/>
      <c r="BK44" s="462"/>
      <c r="BL44" s="462"/>
      <c r="BM44" s="463"/>
      <c r="BN44" s="463"/>
      <c r="BO44" s="463"/>
      <c r="BP44" s="462"/>
      <c r="BQ44" s="462"/>
      <c r="BR44" s="462"/>
      <c r="BS44" s="462"/>
      <c r="BT44" s="462"/>
      <c r="BU44" s="462"/>
      <c r="BV44" s="462"/>
      <c r="BW44" s="462"/>
      <c r="BX44" s="462"/>
      <c r="BY44" s="462"/>
      <c r="BZ44" s="462"/>
      <c r="CA44" s="462"/>
      <c r="CB44" s="464"/>
      <c r="CC44" s="462"/>
      <c r="CD44" s="462"/>
      <c r="CE44" s="464"/>
      <c r="CF44" s="464"/>
      <c r="CG44" s="464"/>
      <c r="CH44" s="464"/>
      <c r="CI44" s="462"/>
      <c r="CJ44" s="462"/>
      <c r="CK44" s="464"/>
      <c r="CL44" s="464"/>
      <c r="CM44" s="464"/>
      <c r="CN44" s="357"/>
      <c r="CO44" s="346"/>
      <c r="CP44" s="346"/>
      <c r="CQ44" s="171"/>
      <c r="CR44" s="171"/>
      <c r="CS44" s="171"/>
      <c r="CT44" s="171"/>
      <c r="CU44" s="171"/>
      <c r="CV44" s="171"/>
      <c r="CW44" s="171"/>
      <c r="CX44" s="171"/>
      <c r="CY44" s="171"/>
      <c r="CZ44" s="171"/>
      <c r="DA44" s="171"/>
      <c r="DB44" s="171"/>
      <c r="DC44" s="171"/>
      <c r="DD44" s="171"/>
      <c r="DE44" s="171"/>
      <c r="DF44" s="171"/>
      <c r="DG44" s="171"/>
      <c r="DH44" s="171"/>
      <c r="DI44" s="171"/>
      <c r="DJ44" s="171"/>
      <c r="DK44" s="171"/>
      <c r="DL44" s="171"/>
      <c r="DM44" s="171"/>
      <c r="DN44" s="171"/>
      <c r="DO44" s="171"/>
      <c r="DP44" s="171"/>
      <c r="DQ44" s="171"/>
      <c r="DR44" s="171"/>
      <c r="DS44" s="171"/>
      <c r="DT44" s="171"/>
      <c r="DU44" s="171"/>
      <c r="DV44" s="171"/>
      <c r="DW44" s="170"/>
      <c r="DX44" s="170"/>
      <c r="DY44" s="170"/>
      <c r="DZ44" s="170"/>
      <c r="EA44" s="170"/>
      <c r="EB44" s="170"/>
      <c r="EC44" s="170"/>
      <c r="ED44" s="170"/>
    </row>
    <row r="45" spans="1:134" s="147" customFormat="1" hidden="1" x14ac:dyDescent="0.25">
      <c r="A45" s="146"/>
      <c r="B45" s="454"/>
      <c r="C45" s="395"/>
      <c r="D45" s="205">
        <f t="shared" si="64"/>
        <v>0</v>
      </c>
      <c r="E45" s="91"/>
      <c r="F45" s="91"/>
      <c r="G45" s="91"/>
      <c r="H45" s="91"/>
      <c r="I45" s="91"/>
      <c r="J45" s="91"/>
      <c r="K45" s="91"/>
      <c r="L45" s="91"/>
      <c r="M45" s="91"/>
      <c r="N45" s="91"/>
      <c r="O45" s="91"/>
      <c r="P45" s="91"/>
      <c r="Q45" s="206">
        <f t="shared" si="65"/>
        <v>0</v>
      </c>
      <c r="R45" s="205">
        <f t="shared" si="66"/>
        <v>0</v>
      </c>
      <c r="S45" s="206">
        <f t="shared" si="67"/>
        <v>0</v>
      </c>
      <c r="T45" s="206">
        <f t="shared" si="68"/>
        <v>0</v>
      </c>
      <c r="U45" s="206">
        <f t="shared" si="69"/>
        <v>0</v>
      </c>
      <c r="V45" s="92"/>
      <c r="W45" s="207">
        <f t="shared" si="70"/>
        <v>0</v>
      </c>
      <c r="X45" s="208">
        <f t="shared" si="71"/>
        <v>0</v>
      </c>
      <c r="Y45" s="209">
        <f t="shared" si="72"/>
        <v>0</v>
      </c>
      <c r="Z45" s="207">
        <f t="shared" si="73"/>
        <v>0</v>
      </c>
      <c r="AA45" s="210">
        <f t="shared" si="74"/>
        <v>0</v>
      </c>
      <c r="AB45" s="210">
        <f t="shared" si="75"/>
        <v>0</v>
      </c>
      <c r="AC45" s="207">
        <f t="shared" si="76"/>
        <v>0</v>
      </c>
      <c r="AD45" s="210">
        <f t="shared" si="77"/>
        <v>0</v>
      </c>
      <c r="AE45" s="211">
        <f t="shared" si="78"/>
        <v>0</v>
      </c>
      <c r="AF45" s="209">
        <f t="shared" si="79"/>
        <v>0</v>
      </c>
      <c r="AG45" s="207">
        <f t="shared" si="80"/>
        <v>0</v>
      </c>
      <c r="AH45" s="212">
        <f t="shared" si="81"/>
        <v>0</v>
      </c>
      <c r="AI45" s="212">
        <f t="shared" si="82"/>
        <v>0</v>
      </c>
      <c r="AJ45" s="207">
        <f t="shared" si="83"/>
        <v>0</v>
      </c>
      <c r="AK45" s="210">
        <f t="shared" si="84"/>
        <v>0</v>
      </c>
      <c r="AL45" s="211">
        <f t="shared" si="85"/>
        <v>0</v>
      </c>
      <c r="AM45" s="209">
        <f t="shared" si="86"/>
        <v>0</v>
      </c>
      <c r="AN45" s="207">
        <f t="shared" si="87"/>
        <v>0</v>
      </c>
      <c r="AO45" s="212">
        <f t="shared" si="88"/>
        <v>0</v>
      </c>
      <c r="AP45" s="212">
        <f t="shared" si="89"/>
        <v>0</v>
      </c>
      <c r="AQ45" s="207">
        <f t="shared" si="90"/>
        <v>0</v>
      </c>
      <c r="AR45" s="210">
        <f t="shared" si="91"/>
        <v>0</v>
      </c>
      <c r="AS45" s="213">
        <v>0</v>
      </c>
      <c r="AT45" s="209">
        <v>0</v>
      </c>
      <c r="AU45" s="207">
        <v>0</v>
      </c>
      <c r="AV45" s="212">
        <f t="shared" si="92"/>
        <v>0</v>
      </c>
      <c r="AW45" s="207">
        <f t="shared" si="93"/>
        <v>0</v>
      </c>
      <c r="AX45" s="210">
        <f t="shared" si="94"/>
        <v>0</v>
      </c>
      <c r="AY45" s="213">
        <v>0</v>
      </c>
      <c r="AZ45" s="209">
        <v>0</v>
      </c>
      <c r="BA45" s="207">
        <v>0</v>
      </c>
      <c r="BB45" s="212">
        <f t="shared" si="95"/>
        <v>0</v>
      </c>
      <c r="BC45" s="212">
        <f t="shared" si="96"/>
        <v>0</v>
      </c>
      <c r="BD45" s="207">
        <f t="shared" si="97"/>
        <v>0</v>
      </c>
      <c r="BE45" s="210">
        <f t="shared" si="98"/>
        <v>0</v>
      </c>
      <c r="BF45" s="206">
        <f t="shared" si="99"/>
        <v>0</v>
      </c>
      <c r="BG45" s="214">
        <f t="shared" si="100"/>
        <v>0</v>
      </c>
      <c r="BH45" s="160">
        <f t="shared" si="37"/>
        <v>0</v>
      </c>
      <c r="BI45" s="200"/>
      <c r="BJ45" s="462"/>
      <c r="BK45" s="462"/>
      <c r="BL45" s="462"/>
      <c r="BM45" s="463"/>
      <c r="BN45" s="463"/>
      <c r="BO45" s="463"/>
      <c r="BP45" s="462"/>
      <c r="BQ45" s="462"/>
      <c r="BR45" s="462"/>
      <c r="BS45" s="462"/>
      <c r="BT45" s="462"/>
      <c r="BU45" s="462"/>
      <c r="BV45" s="462"/>
      <c r="BW45" s="462"/>
      <c r="BX45" s="462"/>
      <c r="BY45" s="462"/>
      <c r="BZ45" s="462"/>
      <c r="CA45" s="462"/>
      <c r="CB45" s="464"/>
      <c r="CC45" s="462"/>
      <c r="CD45" s="462"/>
      <c r="CE45" s="464"/>
      <c r="CF45" s="464"/>
      <c r="CG45" s="464"/>
      <c r="CH45" s="464"/>
      <c r="CI45" s="462"/>
      <c r="CJ45" s="462"/>
      <c r="CK45" s="464"/>
      <c r="CL45" s="464"/>
      <c r="CM45" s="464"/>
      <c r="CN45" s="357"/>
      <c r="CO45" s="346"/>
      <c r="CP45" s="346"/>
      <c r="CQ45" s="171"/>
      <c r="CR45" s="171"/>
      <c r="CS45" s="171"/>
      <c r="CT45" s="171"/>
      <c r="CU45" s="171"/>
      <c r="CV45" s="171"/>
      <c r="CW45" s="171"/>
      <c r="CX45" s="171"/>
      <c r="CY45" s="171"/>
      <c r="CZ45" s="171"/>
      <c r="DA45" s="171"/>
      <c r="DB45" s="171"/>
      <c r="DC45" s="171"/>
      <c r="DD45" s="171"/>
      <c r="DE45" s="171"/>
      <c r="DF45" s="171"/>
      <c r="DG45" s="171"/>
      <c r="DH45" s="171"/>
      <c r="DI45" s="171"/>
      <c r="DJ45" s="171"/>
      <c r="DK45" s="171"/>
      <c r="DL45" s="171"/>
      <c r="DM45" s="171"/>
      <c r="DN45" s="171"/>
      <c r="DO45" s="171"/>
      <c r="DP45" s="171"/>
      <c r="DQ45" s="171"/>
      <c r="DR45" s="171"/>
      <c r="DS45" s="171"/>
      <c r="DT45" s="171"/>
      <c r="DU45" s="171"/>
      <c r="DV45" s="171"/>
      <c r="DW45" s="170"/>
      <c r="DX45" s="170"/>
      <c r="DY45" s="170"/>
      <c r="DZ45" s="170"/>
      <c r="EA45" s="170"/>
      <c r="EB45" s="170"/>
      <c r="EC45" s="170"/>
      <c r="ED45" s="170"/>
    </row>
    <row r="46" spans="1:134" s="147" customFormat="1" hidden="1" x14ac:dyDescent="0.25">
      <c r="A46" s="146"/>
      <c r="B46" s="455"/>
      <c r="C46" s="395"/>
      <c r="D46" s="205">
        <f t="shared" si="64"/>
        <v>0</v>
      </c>
      <c r="E46" s="91"/>
      <c r="F46" s="91"/>
      <c r="G46" s="91"/>
      <c r="H46" s="91"/>
      <c r="I46" s="91"/>
      <c r="J46" s="91"/>
      <c r="K46" s="91"/>
      <c r="L46" s="91"/>
      <c r="M46" s="91"/>
      <c r="N46" s="91"/>
      <c r="O46" s="91"/>
      <c r="P46" s="91"/>
      <c r="Q46" s="206">
        <f t="shared" si="65"/>
        <v>0</v>
      </c>
      <c r="R46" s="205">
        <f t="shared" si="66"/>
        <v>0</v>
      </c>
      <c r="S46" s="206">
        <f t="shared" si="67"/>
        <v>0</v>
      </c>
      <c r="T46" s="206">
        <f t="shared" si="68"/>
        <v>0</v>
      </c>
      <c r="U46" s="206">
        <f t="shared" si="69"/>
        <v>0</v>
      </c>
      <c r="V46" s="92"/>
      <c r="W46" s="207">
        <f t="shared" si="70"/>
        <v>0</v>
      </c>
      <c r="X46" s="208">
        <f t="shared" si="71"/>
        <v>0</v>
      </c>
      <c r="Y46" s="209">
        <f t="shared" si="72"/>
        <v>0</v>
      </c>
      <c r="Z46" s="207">
        <f t="shared" si="73"/>
        <v>0</v>
      </c>
      <c r="AA46" s="210">
        <f t="shared" si="74"/>
        <v>0</v>
      </c>
      <c r="AB46" s="210">
        <f t="shared" si="75"/>
        <v>0</v>
      </c>
      <c r="AC46" s="207">
        <f t="shared" si="76"/>
        <v>0</v>
      </c>
      <c r="AD46" s="210">
        <f t="shared" si="77"/>
        <v>0</v>
      </c>
      <c r="AE46" s="211">
        <f t="shared" si="78"/>
        <v>0</v>
      </c>
      <c r="AF46" s="209">
        <f t="shared" si="79"/>
        <v>0</v>
      </c>
      <c r="AG46" s="207">
        <f t="shared" si="80"/>
        <v>0</v>
      </c>
      <c r="AH46" s="212">
        <f t="shared" si="81"/>
        <v>0</v>
      </c>
      <c r="AI46" s="212">
        <f t="shared" si="82"/>
        <v>0</v>
      </c>
      <c r="AJ46" s="207">
        <f t="shared" si="83"/>
        <v>0</v>
      </c>
      <c r="AK46" s="210">
        <f t="shared" si="84"/>
        <v>0</v>
      </c>
      <c r="AL46" s="211">
        <f t="shared" si="85"/>
        <v>0</v>
      </c>
      <c r="AM46" s="209">
        <f t="shared" si="86"/>
        <v>0</v>
      </c>
      <c r="AN46" s="207">
        <f t="shared" si="87"/>
        <v>0</v>
      </c>
      <c r="AO46" s="212">
        <f t="shared" si="88"/>
        <v>0</v>
      </c>
      <c r="AP46" s="212">
        <f t="shared" si="89"/>
        <v>0</v>
      </c>
      <c r="AQ46" s="207">
        <f t="shared" si="90"/>
        <v>0</v>
      </c>
      <c r="AR46" s="210">
        <f t="shared" si="91"/>
        <v>0</v>
      </c>
      <c r="AS46" s="213">
        <v>0</v>
      </c>
      <c r="AT46" s="209">
        <v>0</v>
      </c>
      <c r="AU46" s="207">
        <v>0</v>
      </c>
      <c r="AV46" s="212">
        <f t="shared" si="92"/>
        <v>0</v>
      </c>
      <c r="AW46" s="207">
        <f t="shared" si="93"/>
        <v>0</v>
      </c>
      <c r="AX46" s="210">
        <f t="shared" si="94"/>
        <v>0</v>
      </c>
      <c r="AY46" s="213">
        <v>0</v>
      </c>
      <c r="AZ46" s="209">
        <v>0</v>
      </c>
      <c r="BA46" s="207">
        <v>0</v>
      </c>
      <c r="BB46" s="212">
        <f t="shared" si="95"/>
        <v>0</v>
      </c>
      <c r="BC46" s="212">
        <f t="shared" si="96"/>
        <v>0</v>
      </c>
      <c r="BD46" s="207">
        <f t="shared" si="97"/>
        <v>0</v>
      </c>
      <c r="BE46" s="210">
        <f t="shared" si="98"/>
        <v>0</v>
      </c>
      <c r="BF46" s="206">
        <f t="shared" si="99"/>
        <v>0</v>
      </c>
      <c r="BG46" s="214">
        <f t="shared" si="100"/>
        <v>0</v>
      </c>
      <c r="BH46" s="160">
        <f t="shared" si="37"/>
        <v>0</v>
      </c>
      <c r="BI46" s="200"/>
      <c r="BJ46" s="462"/>
      <c r="BK46" s="462"/>
      <c r="BL46" s="462"/>
      <c r="BM46" s="463"/>
      <c r="BN46" s="463"/>
      <c r="BO46" s="463"/>
      <c r="BP46" s="462"/>
      <c r="BQ46" s="462"/>
      <c r="BR46" s="462"/>
      <c r="BS46" s="462"/>
      <c r="BT46" s="462"/>
      <c r="BU46" s="462"/>
      <c r="BV46" s="462"/>
      <c r="BW46" s="462"/>
      <c r="BX46" s="462"/>
      <c r="BY46" s="462"/>
      <c r="BZ46" s="462"/>
      <c r="CA46" s="462"/>
      <c r="CB46" s="464"/>
      <c r="CC46" s="462"/>
      <c r="CD46" s="462"/>
      <c r="CE46" s="464"/>
      <c r="CF46" s="464"/>
      <c r="CG46" s="464"/>
      <c r="CH46" s="464"/>
      <c r="CI46" s="462"/>
      <c r="CJ46" s="462"/>
      <c r="CK46" s="464"/>
      <c r="CL46" s="464"/>
      <c r="CM46" s="464"/>
      <c r="CN46" s="357"/>
      <c r="CO46" s="346"/>
      <c r="CP46" s="346"/>
      <c r="CQ46" s="171"/>
      <c r="CR46" s="171"/>
      <c r="CS46" s="171"/>
      <c r="CT46" s="171"/>
      <c r="CU46" s="171"/>
      <c r="CV46" s="171"/>
      <c r="CW46" s="171"/>
      <c r="CX46" s="171"/>
      <c r="CY46" s="171"/>
      <c r="CZ46" s="171"/>
      <c r="DA46" s="171"/>
      <c r="DB46" s="171"/>
      <c r="DC46" s="171"/>
      <c r="DD46" s="171"/>
      <c r="DE46" s="171"/>
      <c r="DF46" s="171"/>
      <c r="DG46" s="171"/>
      <c r="DH46" s="171"/>
      <c r="DI46" s="171"/>
      <c r="DJ46" s="171"/>
      <c r="DK46" s="171"/>
      <c r="DL46" s="171"/>
      <c r="DM46" s="171"/>
      <c r="DN46" s="171"/>
      <c r="DO46" s="171"/>
      <c r="DP46" s="171"/>
      <c r="DQ46" s="171"/>
      <c r="DR46" s="171"/>
      <c r="DS46" s="171"/>
      <c r="DT46" s="171"/>
      <c r="DU46" s="171"/>
      <c r="DV46" s="171"/>
      <c r="DW46" s="170"/>
      <c r="DX46" s="170"/>
      <c r="DY46" s="170"/>
      <c r="DZ46" s="170"/>
      <c r="EA46" s="170"/>
      <c r="EB46" s="170"/>
      <c r="EC46" s="170"/>
      <c r="ED46" s="170"/>
    </row>
    <row r="47" spans="1:134" s="147" customFormat="1" x14ac:dyDescent="0.25">
      <c r="A47" s="146"/>
      <c r="B47" s="453" t="s">
        <v>596</v>
      </c>
      <c r="C47" s="395" t="s">
        <v>433</v>
      </c>
      <c r="D47" s="205" t="str">
        <f t="shared" si="64"/>
        <v>m3</v>
      </c>
      <c r="E47" s="643">
        <v>569426.12304316997</v>
      </c>
      <c r="F47" s="643">
        <v>633252.93408209016</v>
      </c>
      <c r="G47" s="643">
        <v>640398.11779795017</v>
      </c>
      <c r="H47" s="643">
        <v>480614.67773443006</v>
      </c>
      <c r="I47" s="643">
        <v>572813.60766608</v>
      </c>
      <c r="J47" s="643">
        <v>590837.37255862006</v>
      </c>
      <c r="K47" s="643">
        <v>646811.31250007974</v>
      </c>
      <c r="L47" s="643">
        <v>635024</v>
      </c>
      <c r="M47" s="643">
        <v>605576</v>
      </c>
      <c r="N47" s="643">
        <v>631198.00756843004</v>
      </c>
      <c r="O47" s="643">
        <v>470527.31982426031</v>
      </c>
      <c r="P47" s="643">
        <v>604767</v>
      </c>
      <c r="Q47" s="206">
        <f t="shared" si="65"/>
        <v>7081246.47277511</v>
      </c>
      <c r="R47" s="205">
        <f t="shared" si="66"/>
        <v>12</v>
      </c>
      <c r="S47" s="206">
        <f t="shared" si="67"/>
        <v>590103.87273125921</v>
      </c>
      <c r="T47" s="206">
        <f t="shared" si="68"/>
        <v>59376.703825623212</v>
      </c>
      <c r="U47" s="206">
        <f t="shared" si="69"/>
        <v>2.2000000000000002</v>
      </c>
      <c r="V47" s="92"/>
      <c r="W47" s="207">
        <f t="shared" si="70"/>
        <v>6.3902769111669921E-2</v>
      </c>
      <c r="X47" s="208">
        <f t="shared" si="71"/>
        <v>0</v>
      </c>
      <c r="Y47" s="209" t="str">
        <f t="shared" si="72"/>
        <v>kg CO2/m3</v>
      </c>
      <c r="Z47" s="207">
        <f t="shared" si="73"/>
        <v>8.8870000000000005E-2</v>
      </c>
      <c r="AA47" s="210">
        <f t="shared" si="74"/>
        <v>0</v>
      </c>
      <c r="AB47" s="552">
        <f t="shared" si="75"/>
        <v>0</v>
      </c>
      <c r="AC47" s="207">
        <f t="shared" si="76"/>
        <v>0</v>
      </c>
      <c r="AD47" s="210">
        <f t="shared" si="77"/>
        <v>0</v>
      </c>
      <c r="AE47" s="553">
        <f t="shared" si="78"/>
        <v>2.1999999999999999E-5</v>
      </c>
      <c r="AF47" s="209" t="str">
        <f t="shared" si="79"/>
        <v>kg CH4/m3</v>
      </c>
      <c r="AG47" s="207">
        <f t="shared" si="80"/>
        <v>0</v>
      </c>
      <c r="AH47" s="554">
        <f t="shared" si="81"/>
        <v>0.15578742240105242</v>
      </c>
      <c r="AI47" s="212">
        <f t="shared" si="82"/>
        <v>4.3620478272294676</v>
      </c>
      <c r="AJ47" s="207">
        <f t="shared" si="83"/>
        <v>6.3902769111669921E-2</v>
      </c>
      <c r="AK47" s="210">
        <f t="shared" si="84"/>
        <v>7.7699853859702905E-2</v>
      </c>
      <c r="AL47" s="211">
        <f t="shared" si="85"/>
        <v>2.2000000000000001E-6</v>
      </c>
      <c r="AM47" s="209" t="str">
        <f t="shared" si="86"/>
        <v>kg N2O/m3</v>
      </c>
      <c r="AN47" s="207">
        <f t="shared" si="87"/>
        <v>0</v>
      </c>
      <c r="AO47" s="212">
        <f t="shared" si="88"/>
        <v>1.5578742240105243E-2</v>
      </c>
      <c r="AP47" s="212">
        <f t="shared" si="89"/>
        <v>4.1283666936278891</v>
      </c>
      <c r="AQ47" s="207">
        <f t="shared" si="90"/>
        <v>6.3902769111669921E-2</v>
      </c>
      <c r="AR47" s="210">
        <f t="shared" si="91"/>
        <v>6.959786016961271E-2</v>
      </c>
      <c r="AS47" s="213">
        <v>0</v>
      </c>
      <c r="AT47" s="209">
        <v>0</v>
      </c>
      <c r="AU47" s="207">
        <v>0</v>
      </c>
      <c r="AV47" s="212">
        <f t="shared" si="92"/>
        <v>0</v>
      </c>
      <c r="AW47" s="207">
        <f t="shared" si="93"/>
        <v>0</v>
      </c>
      <c r="AX47" s="210">
        <f t="shared" si="94"/>
        <v>0</v>
      </c>
      <c r="AY47" s="213">
        <v>0</v>
      </c>
      <c r="AZ47" s="209">
        <v>0</v>
      </c>
      <c r="BA47" s="207">
        <v>0</v>
      </c>
      <c r="BB47" s="212">
        <f t="shared" si="95"/>
        <v>0</v>
      </c>
      <c r="BC47" s="212">
        <f t="shared" si="96"/>
        <v>0</v>
      </c>
      <c r="BD47" s="207">
        <f t="shared" si="97"/>
        <v>0</v>
      </c>
      <c r="BE47" s="210">
        <f t="shared" si="98"/>
        <v>0</v>
      </c>
      <c r="BF47" s="206">
        <f t="shared" si="99"/>
        <v>8.4904145208573567</v>
      </c>
      <c r="BG47" s="214">
        <f t="shared" si="100"/>
        <v>4.5203192634877966E-2</v>
      </c>
      <c r="BH47" s="160">
        <f t="shared" si="37"/>
        <v>0.14729771402931563</v>
      </c>
      <c r="BI47" s="200"/>
      <c r="BJ47" s="462"/>
      <c r="BK47" s="462"/>
      <c r="BL47" s="462"/>
      <c r="BM47" s="463"/>
      <c r="BN47" s="463"/>
      <c r="BO47" s="463"/>
      <c r="BP47" s="462"/>
      <c r="BQ47" s="462"/>
      <c r="BR47" s="462"/>
      <c r="BS47" s="462"/>
      <c r="BT47" s="462"/>
      <c r="BU47" s="462"/>
      <c r="BV47" s="462"/>
      <c r="BW47" s="462"/>
      <c r="BX47" s="462"/>
      <c r="BY47" s="462"/>
      <c r="BZ47" s="462"/>
      <c r="CA47" s="462"/>
      <c r="CB47" s="464"/>
      <c r="CC47" s="462"/>
      <c r="CD47" s="462"/>
      <c r="CE47" s="464"/>
      <c r="CF47" s="464"/>
      <c r="CG47" s="464"/>
      <c r="CH47" s="464"/>
      <c r="CI47" s="462"/>
      <c r="CJ47" s="462"/>
      <c r="CK47" s="464"/>
      <c r="CL47" s="464"/>
      <c r="CM47" s="464"/>
      <c r="CN47" s="357"/>
      <c r="CO47" s="346"/>
      <c r="CP47" s="346"/>
      <c r="CQ47" s="171"/>
      <c r="CR47" s="171"/>
      <c r="CS47" s="171"/>
      <c r="CT47" s="171"/>
      <c r="CU47" s="171"/>
      <c r="CV47" s="171"/>
      <c r="CW47" s="171"/>
      <c r="CX47" s="171"/>
      <c r="CY47" s="171"/>
      <c r="CZ47" s="171"/>
      <c r="DA47" s="171"/>
      <c r="DB47" s="171"/>
      <c r="DC47" s="171"/>
      <c r="DD47" s="171"/>
      <c r="DE47" s="171"/>
      <c r="DF47" s="171"/>
      <c r="DG47" s="171"/>
      <c r="DH47" s="171"/>
      <c r="DI47" s="171"/>
      <c r="DJ47" s="171"/>
      <c r="DK47" s="171"/>
      <c r="DL47" s="171"/>
      <c r="DM47" s="171"/>
      <c r="DN47" s="171"/>
      <c r="DO47" s="171"/>
      <c r="DP47" s="171"/>
      <c r="DQ47" s="171"/>
      <c r="DR47" s="171"/>
      <c r="DS47" s="171"/>
      <c r="DT47" s="171"/>
      <c r="DU47" s="171"/>
      <c r="DV47" s="171"/>
      <c r="DW47" s="170"/>
      <c r="DX47" s="170"/>
      <c r="DY47" s="170"/>
      <c r="DZ47" s="170"/>
      <c r="EA47" s="170"/>
      <c r="EB47" s="170"/>
      <c r="EC47" s="170"/>
      <c r="ED47" s="170"/>
    </row>
    <row r="48" spans="1:134" s="147" customFormat="1" x14ac:dyDescent="0.25">
      <c r="A48" s="146"/>
      <c r="B48" s="454" t="s">
        <v>594</v>
      </c>
      <c r="C48" s="111" t="s">
        <v>625</v>
      </c>
      <c r="D48" s="205" t="str">
        <f t="shared" si="64"/>
        <v>m3</v>
      </c>
      <c r="E48" s="644">
        <v>1034</v>
      </c>
      <c r="F48" s="644">
        <v>931</v>
      </c>
      <c r="G48" s="644">
        <v>920</v>
      </c>
      <c r="H48" s="644">
        <v>1001</v>
      </c>
      <c r="I48" s="644">
        <v>1123</v>
      </c>
      <c r="J48" s="644">
        <v>1716</v>
      </c>
      <c r="K48" s="644">
        <v>1354</v>
      </c>
      <c r="L48" s="644">
        <v>1339</v>
      </c>
      <c r="M48" s="644">
        <v>1554</v>
      </c>
      <c r="N48" s="644">
        <v>1457</v>
      </c>
      <c r="O48" s="644">
        <v>1560</v>
      </c>
      <c r="P48" s="644">
        <v>1362</v>
      </c>
      <c r="Q48" s="206">
        <f t="shared" si="65"/>
        <v>15351</v>
      </c>
      <c r="R48" s="205">
        <f t="shared" si="66"/>
        <v>12</v>
      </c>
      <c r="S48" s="206">
        <f t="shared" si="67"/>
        <v>1279.25</v>
      </c>
      <c r="T48" s="206">
        <f t="shared" si="68"/>
        <v>270.5183996430826</v>
      </c>
      <c r="U48" s="206">
        <f t="shared" si="69"/>
        <v>2.2000000000000002</v>
      </c>
      <c r="V48" s="92"/>
      <c r="W48" s="207">
        <f t="shared" si="70"/>
        <v>0.13429920495614511</v>
      </c>
      <c r="X48" s="208">
        <f t="shared" si="71"/>
        <v>1.9805999999999999</v>
      </c>
      <c r="Y48" s="209" t="str">
        <f t="shared" si="72"/>
        <v>kg CO2/m3</v>
      </c>
      <c r="Z48" s="207">
        <f t="shared" si="73"/>
        <v>6.5890000000000004E-2</v>
      </c>
      <c r="AA48" s="210">
        <f t="shared" si="74"/>
        <v>30.4041906</v>
      </c>
      <c r="AB48" s="552">
        <f t="shared" si="75"/>
        <v>30.4041906</v>
      </c>
      <c r="AC48" s="207">
        <f t="shared" si="76"/>
        <v>0.14959200697849023</v>
      </c>
      <c r="AD48" s="210">
        <f t="shared" si="77"/>
        <v>20.68634057549415</v>
      </c>
      <c r="AE48" s="211">
        <f t="shared" si="78"/>
        <v>3.57E-5</v>
      </c>
      <c r="AF48" s="209" t="str">
        <f t="shared" si="79"/>
        <v>kg CH4/m3</v>
      </c>
      <c r="AG48" s="207">
        <f t="shared" si="80"/>
        <v>15.4</v>
      </c>
      <c r="AH48" s="212">
        <f t="shared" si="81"/>
        <v>5.4803069999999994E-4</v>
      </c>
      <c r="AI48" s="212">
        <f t="shared" si="82"/>
        <v>1.5344859599999998E-2</v>
      </c>
      <c r="AJ48" s="207">
        <f t="shared" si="83"/>
        <v>15.400585582257964</v>
      </c>
      <c r="AK48" s="210">
        <f t="shared" si="84"/>
        <v>5.5847058987357798E-2</v>
      </c>
      <c r="AL48" s="533">
        <f t="shared" si="85"/>
        <v>3.5999999999999998E-6</v>
      </c>
      <c r="AM48" s="209" t="str">
        <f t="shared" si="86"/>
        <v>kg N2O/m3</v>
      </c>
      <c r="AN48" s="207">
        <f t="shared" si="87"/>
        <v>0.77</v>
      </c>
      <c r="AO48" s="212">
        <f t="shared" si="88"/>
        <v>5.5263599999999997E-5</v>
      </c>
      <c r="AP48" s="212">
        <f t="shared" si="89"/>
        <v>1.4644853999999999E-2</v>
      </c>
      <c r="AQ48" s="207">
        <f t="shared" si="90"/>
        <v>0.78162412734757147</v>
      </c>
      <c r="AR48" s="210">
        <f t="shared" si="91"/>
        <v>1.3102857154348072E-4</v>
      </c>
      <c r="AS48" s="213">
        <v>0</v>
      </c>
      <c r="AT48" s="209">
        <v>0</v>
      </c>
      <c r="AU48" s="207">
        <v>0</v>
      </c>
      <c r="AV48" s="212">
        <f t="shared" si="92"/>
        <v>0</v>
      </c>
      <c r="AW48" s="207">
        <f t="shared" si="93"/>
        <v>0</v>
      </c>
      <c r="AX48" s="210">
        <f t="shared" si="94"/>
        <v>0</v>
      </c>
      <c r="AY48" s="213">
        <v>0</v>
      </c>
      <c r="AZ48" s="209">
        <v>0</v>
      </c>
      <c r="BA48" s="207">
        <v>0</v>
      </c>
      <c r="BB48" s="212">
        <f t="shared" si="95"/>
        <v>0</v>
      </c>
      <c r="BC48" s="212">
        <f t="shared" si="96"/>
        <v>0</v>
      </c>
      <c r="BD48" s="207">
        <f t="shared" si="97"/>
        <v>0</v>
      </c>
      <c r="BE48" s="210">
        <f t="shared" si="98"/>
        <v>0</v>
      </c>
      <c r="BF48" s="206">
        <f t="shared" si="99"/>
        <v>30.434180313599999</v>
      </c>
      <c r="BG48" s="214">
        <f t="shared" si="100"/>
        <v>0.1496466646492107</v>
      </c>
      <c r="BH48" s="160">
        <f t="shared" si="37"/>
        <v>20.742318663053055</v>
      </c>
      <c r="BI48" s="200"/>
      <c r="BJ48" s="462"/>
      <c r="BK48" s="462"/>
      <c r="BL48" s="462"/>
      <c r="BM48" s="463"/>
      <c r="BN48" s="463"/>
      <c r="BO48" s="463"/>
      <c r="BP48" s="462"/>
      <c r="BQ48" s="462"/>
      <c r="BR48" s="462"/>
      <c r="BS48" s="462"/>
      <c r="BT48" s="462"/>
      <c r="BU48" s="462"/>
      <c r="BV48" s="462"/>
      <c r="BW48" s="462"/>
      <c r="BX48" s="462"/>
      <c r="BY48" s="462"/>
      <c r="BZ48" s="462"/>
      <c r="CA48" s="462"/>
      <c r="CB48" s="464"/>
      <c r="CC48" s="462"/>
      <c r="CD48" s="462"/>
      <c r="CE48" s="464"/>
      <c r="CF48" s="464"/>
      <c r="CG48" s="464"/>
      <c r="CH48" s="464"/>
      <c r="CI48" s="462"/>
      <c r="CJ48" s="462"/>
      <c r="CK48" s="464"/>
      <c r="CL48" s="464"/>
      <c r="CM48" s="464"/>
      <c r="CN48" s="357"/>
      <c r="CO48" s="346"/>
      <c r="CP48" s="346"/>
      <c r="CQ48" s="171"/>
      <c r="CR48" s="171"/>
      <c r="CS48" s="171"/>
      <c r="CT48" s="171"/>
      <c r="CU48" s="171"/>
      <c r="CV48" s="171"/>
      <c r="CW48" s="171"/>
      <c r="CX48" s="171"/>
      <c r="CY48" s="171"/>
      <c r="CZ48" s="171"/>
      <c r="DA48" s="171"/>
      <c r="DB48" s="171"/>
      <c r="DC48" s="171"/>
      <c r="DD48" s="171"/>
      <c r="DE48" s="171"/>
      <c r="DF48" s="171"/>
      <c r="DG48" s="171"/>
      <c r="DH48" s="171"/>
      <c r="DI48" s="171"/>
      <c r="DJ48" s="171"/>
      <c r="DK48" s="171"/>
      <c r="DL48" s="171"/>
      <c r="DM48" s="171"/>
      <c r="DN48" s="171"/>
      <c r="DO48" s="171"/>
      <c r="DP48" s="171"/>
      <c r="DQ48" s="171"/>
      <c r="DR48" s="171"/>
      <c r="DS48" s="171"/>
      <c r="DT48" s="171"/>
      <c r="DU48" s="171"/>
      <c r="DV48" s="171"/>
      <c r="DW48" s="170"/>
      <c r="DX48" s="170"/>
      <c r="DY48" s="170"/>
      <c r="DZ48" s="170"/>
      <c r="EA48" s="170"/>
      <c r="EB48" s="170"/>
      <c r="EC48" s="170"/>
      <c r="ED48" s="170"/>
    </row>
    <row r="49" spans="1:134" s="147" customFormat="1" x14ac:dyDescent="0.25">
      <c r="A49" s="146"/>
      <c r="B49" s="455"/>
      <c r="C49" s="111" t="s">
        <v>528</v>
      </c>
      <c r="D49" s="205" t="str">
        <f t="shared" si="64"/>
        <v>kg</v>
      </c>
      <c r="E49" s="641">
        <v>33</v>
      </c>
      <c r="F49" s="641">
        <v>31.3</v>
      </c>
      <c r="G49" s="641">
        <v>3.9</v>
      </c>
      <c r="H49" s="641">
        <v>13.5</v>
      </c>
      <c r="I49" s="641">
        <v>20.5</v>
      </c>
      <c r="J49" s="641">
        <v>13</v>
      </c>
      <c r="K49" s="641">
        <v>52</v>
      </c>
      <c r="L49" s="641">
        <v>42</v>
      </c>
      <c r="M49" s="641">
        <v>14</v>
      </c>
      <c r="N49" s="641">
        <v>27</v>
      </c>
      <c r="O49" s="442"/>
      <c r="P49" s="442"/>
      <c r="Q49" s="206">
        <f t="shared" si="65"/>
        <v>250.2</v>
      </c>
      <c r="R49" s="205">
        <f t="shared" si="66"/>
        <v>10</v>
      </c>
      <c r="S49" s="206">
        <f t="shared" si="67"/>
        <v>25.02</v>
      </c>
      <c r="T49" s="206">
        <f t="shared" si="68"/>
        <v>14.863811385001121</v>
      </c>
      <c r="U49" s="206">
        <f t="shared" si="69"/>
        <v>2.2599999999999998</v>
      </c>
      <c r="V49" s="92"/>
      <c r="W49" s="207">
        <f t="shared" si="70"/>
        <v>0.42457197056077034</v>
      </c>
      <c r="X49" s="208">
        <f t="shared" si="71"/>
        <v>3.38</v>
      </c>
      <c r="Y49" s="209" t="str">
        <f t="shared" si="72"/>
        <v>kg CO2/kg</v>
      </c>
      <c r="Z49" s="207">
        <f t="shared" si="73"/>
        <v>0.2</v>
      </c>
      <c r="AA49" s="210">
        <f t="shared" si="74"/>
        <v>0.84567599999999998</v>
      </c>
      <c r="AB49" s="210">
        <f t="shared" si="75"/>
        <v>0.84567599999999998</v>
      </c>
      <c r="AC49" s="207">
        <f t="shared" si="76"/>
        <v>0.46932010204747854</v>
      </c>
      <c r="AD49" s="210">
        <f t="shared" si="77"/>
        <v>0.15752385231885585</v>
      </c>
      <c r="AE49" s="211">
        <f t="shared" si="78"/>
        <v>0</v>
      </c>
      <c r="AF49" s="209" t="str">
        <f t="shared" si="79"/>
        <v>kg CH4/m3</v>
      </c>
      <c r="AG49" s="207">
        <f t="shared" si="80"/>
        <v>0</v>
      </c>
      <c r="AH49" s="212">
        <f t="shared" si="81"/>
        <v>0</v>
      </c>
      <c r="AI49" s="212">
        <f t="shared" si="82"/>
        <v>0</v>
      </c>
      <c r="AJ49" s="207">
        <f t="shared" si="83"/>
        <v>0</v>
      </c>
      <c r="AK49" s="210">
        <f t="shared" si="84"/>
        <v>0</v>
      </c>
      <c r="AL49" s="211">
        <f t="shared" si="85"/>
        <v>0</v>
      </c>
      <c r="AM49" s="209" t="str">
        <f t="shared" si="86"/>
        <v>kg N2O/m3</v>
      </c>
      <c r="AN49" s="207">
        <f t="shared" si="87"/>
        <v>0</v>
      </c>
      <c r="AO49" s="212">
        <f t="shared" si="88"/>
        <v>0</v>
      </c>
      <c r="AP49" s="212">
        <f t="shared" si="89"/>
        <v>0</v>
      </c>
      <c r="AQ49" s="207">
        <f t="shared" si="90"/>
        <v>0</v>
      </c>
      <c r="AR49" s="210">
        <f t="shared" si="91"/>
        <v>0</v>
      </c>
      <c r="AS49" s="213">
        <v>0</v>
      </c>
      <c r="AT49" s="209">
        <v>0</v>
      </c>
      <c r="AU49" s="207">
        <v>0</v>
      </c>
      <c r="AV49" s="212">
        <f t="shared" si="92"/>
        <v>0</v>
      </c>
      <c r="AW49" s="207">
        <f t="shared" si="93"/>
        <v>0</v>
      </c>
      <c r="AX49" s="210">
        <f t="shared" si="94"/>
        <v>0</v>
      </c>
      <c r="AY49" s="213">
        <v>0</v>
      </c>
      <c r="AZ49" s="209">
        <v>0</v>
      </c>
      <c r="BA49" s="207">
        <v>0</v>
      </c>
      <c r="BB49" s="212">
        <f t="shared" si="95"/>
        <v>0</v>
      </c>
      <c r="BC49" s="212">
        <f t="shared" si="96"/>
        <v>0</v>
      </c>
      <c r="BD49" s="207">
        <f t="shared" si="97"/>
        <v>0</v>
      </c>
      <c r="BE49" s="210">
        <f t="shared" si="98"/>
        <v>0</v>
      </c>
      <c r="BF49" s="206">
        <f t="shared" si="99"/>
        <v>0.84567599999999998</v>
      </c>
      <c r="BG49" s="214">
        <f t="shared" si="100"/>
        <v>0.46932010204747854</v>
      </c>
      <c r="BH49" s="160">
        <f t="shared" si="37"/>
        <v>0.15752385231885585</v>
      </c>
      <c r="BI49" s="200"/>
      <c r="BJ49" s="462"/>
      <c r="BK49" s="462"/>
      <c r="BL49" s="462"/>
      <c r="BM49" s="463"/>
      <c r="BN49" s="463"/>
      <c r="BO49" s="463"/>
      <c r="BP49" s="462"/>
      <c r="BQ49" s="462"/>
      <c r="BR49" s="462"/>
      <c r="BS49" s="462"/>
      <c r="BT49" s="462"/>
      <c r="BU49" s="462"/>
      <c r="BV49" s="462"/>
      <c r="BW49" s="462"/>
      <c r="BX49" s="462"/>
      <c r="BY49" s="462"/>
      <c r="BZ49" s="462"/>
      <c r="CA49" s="462"/>
      <c r="CB49" s="464"/>
      <c r="CC49" s="462"/>
      <c r="CD49" s="462"/>
      <c r="CE49" s="464"/>
      <c r="CF49" s="464"/>
      <c r="CG49" s="464"/>
      <c r="CH49" s="464"/>
      <c r="CI49" s="462"/>
      <c r="CJ49" s="462"/>
      <c r="CK49" s="464"/>
      <c r="CL49" s="464"/>
      <c r="CM49" s="464"/>
      <c r="CN49" s="357"/>
      <c r="CO49" s="346"/>
      <c r="CP49" s="346"/>
      <c r="CQ49" s="171"/>
      <c r="CR49" s="171"/>
      <c r="CS49" s="171"/>
      <c r="CT49" s="171"/>
      <c r="CU49" s="171"/>
      <c r="CV49" s="171"/>
      <c r="CW49" s="171"/>
      <c r="CX49" s="171"/>
      <c r="CY49" s="171"/>
      <c r="CZ49" s="171"/>
      <c r="DA49" s="171"/>
      <c r="DB49" s="171"/>
      <c r="DC49" s="171"/>
      <c r="DD49" s="171"/>
      <c r="DE49" s="171"/>
      <c r="DF49" s="171"/>
      <c r="DG49" s="171"/>
      <c r="DH49" s="171"/>
      <c r="DI49" s="171"/>
      <c r="DJ49" s="171"/>
      <c r="DK49" s="171"/>
      <c r="DL49" s="171"/>
      <c r="DM49" s="171"/>
      <c r="DN49" s="171"/>
      <c r="DO49" s="171"/>
      <c r="DP49" s="171"/>
      <c r="DQ49" s="171"/>
      <c r="DR49" s="171"/>
      <c r="DS49" s="171"/>
      <c r="DT49" s="171"/>
      <c r="DU49" s="171"/>
      <c r="DV49" s="171"/>
      <c r="DW49" s="170"/>
      <c r="DX49" s="170"/>
      <c r="DY49" s="170"/>
      <c r="DZ49" s="170"/>
      <c r="EA49" s="170"/>
      <c r="EB49" s="170"/>
      <c r="EC49" s="170"/>
      <c r="ED49" s="170"/>
    </row>
    <row r="50" spans="1:134" s="147" customFormat="1" x14ac:dyDescent="0.25">
      <c r="A50" s="146"/>
      <c r="B50" s="215" t="s">
        <v>129</v>
      </c>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8"/>
      <c r="AB50" s="219">
        <f>SUM(AB39:AB49)</f>
        <v>31.249866600000001</v>
      </c>
      <c r="AC50" s="220">
        <f>IF(AB50&gt;0,SQRT(SUM(AD39:AD49))/AB50,0)</f>
        <v>0.14609688361762596</v>
      </c>
      <c r="AD50" s="224"/>
      <c r="AE50" s="221"/>
      <c r="AF50" s="216"/>
      <c r="AG50" s="216"/>
      <c r="AH50" s="222"/>
      <c r="AI50" s="219">
        <f>SUM(AI39:AI49)</f>
        <v>4.3773926868294675</v>
      </c>
      <c r="AJ50" s="220">
        <f>IF(AI50&gt;0,SQRT(SUM(AK39:AK49))/AI50,0)</f>
        <v>8.3483648049158365E-2</v>
      </c>
      <c r="AK50" s="224"/>
      <c r="AL50" s="216"/>
      <c r="AM50" s="216"/>
      <c r="AN50" s="216"/>
      <c r="AO50" s="216"/>
      <c r="AP50" s="219">
        <f>SUM(AP39:AP49)</f>
        <v>4.1430115476278893</v>
      </c>
      <c r="AQ50" s="220">
        <f>IF(AP50&gt;0,SQRT(SUM(AR39:AR49))/AP50,0)</f>
        <v>6.3736796023901449E-2</v>
      </c>
      <c r="AR50" s="224"/>
      <c r="AS50" s="216"/>
      <c r="AT50" s="216"/>
      <c r="AU50" s="216"/>
      <c r="AV50" s="219">
        <f>SUM(AV39:AV49)</f>
        <v>0</v>
      </c>
      <c r="AW50" s="220">
        <f>IF(AV50&gt;0,SQRT(SUM(AX39:AX49))/AV50,0)</f>
        <v>0</v>
      </c>
      <c r="AX50" s="224"/>
      <c r="AY50" s="216"/>
      <c r="AZ50" s="216"/>
      <c r="BA50" s="223"/>
      <c r="BB50" s="224"/>
      <c r="BC50" s="219">
        <f>SUM(BC39:BC49)</f>
        <v>0</v>
      </c>
      <c r="BD50" s="220">
        <f>IF(BC50&gt;0,SQRT(SUM(BE39:BE49))/BC50,0)</f>
        <v>0</v>
      </c>
      <c r="BE50" s="224"/>
      <c r="BF50" s="219">
        <f>SUM(BF39:BF49)</f>
        <v>39.770270834457349</v>
      </c>
      <c r="BG50" s="225">
        <f>IF(BF50&gt;0,SQRT(SUM(BH39:BH49))/BF50,0)</f>
        <v>0.11535541841133261</v>
      </c>
      <c r="BH50" s="160">
        <f t="shared" si="37"/>
        <v>21.047140229401226</v>
      </c>
      <c r="BI50" s="200"/>
      <c r="BJ50" s="462"/>
      <c r="BK50" s="462"/>
      <c r="BL50" s="462"/>
      <c r="BM50" s="463"/>
      <c r="BN50" s="463"/>
      <c r="BO50" s="463"/>
      <c r="BP50" s="462"/>
      <c r="BQ50" s="462"/>
      <c r="BR50" s="462"/>
      <c r="BS50" s="462"/>
      <c r="BT50" s="462"/>
      <c r="BU50" s="462"/>
      <c r="BV50" s="462"/>
      <c r="BW50" s="462"/>
      <c r="BX50" s="462"/>
      <c r="BY50" s="462"/>
      <c r="BZ50" s="462"/>
      <c r="CA50" s="462"/>
      <c r="CB50" s="464"/>
      <c r="CC50" s="462"/>
      <c r="CD50" s="462"/>
      <c r="CE50" s="464"/>
      <c r="CF50" s="464"/>
      <c r="CG50" s="464"/>
      <c r="CH50" s="464"/>
      <c r="CI50" s="462"/>
      <c r="CJ50" s="462"/>
      <c r="CK50" s="464"/>
      <c r="CL50" s="464"/>
      <c r="CM50" s="464"/>
      <c r="CN50" s="357"/>
      <c r="CO50" s="346"/>
      <c r="CP50" s="346"/>
      <c r="CQ50" s="171"/>
      <c r="CR50" s="171"/>
      <c r="CS50" s="171"/>
      <c r="CT50" s="171"/>
      <c r="CU50" s="171"/>
      <c r="CV50" s="171"/>
      <c r="CW50" s="171"/>
      <c r="CX50" s="171"/>
      <c r="CY50" s="171"/>
      <c r="CZ50" s="171"/>
      <c r="DA50" s="171"/>
      <c r="DB50" s="171"/>
      <c r="DC50" s="171"/>
      <c r="DD50" s="171"/>
      <c r="DE50" s="171"/>
      <c r="DF50" s="171"/>
      <c r="DG50" s="171"/>
      <c r="DH50" s="171"/>
      <c r="DI50" s="171"/>
      <c r="DJ50" s="171"/>
      <c r="DK50" s="171"/>
      <c r="DL50" s="171"/>
      <c r="DM50" s="171"/>
      <c r="DN50" s="171"/>
      <c r="DO50" s="171"/>
      <c r="DP50" s="171"/>
      <c r="DQ50" s="171"/>
      <c r="DR50" s="171"/>
      <c r="DS50" s="171"/>
      <c r="DT50" s="171"/>
      <c r="DU50" s="171"/>
      <c r="DV50" s="171"/>
      <c r="DW50" s="170"/>
      <c r="DX50" s="170"/>
      <c r="DY50" s="170"/>
      <c r="DZ50" s="170"/>
      <c r="EA50" s="170"/>
      <c r="EB50" s="170"/>
      <c r="EC50" s="170"/>
      <c r="ED50" s="170"/>
    </row>
    <row r="51" spans="1:134" s="147" customFormat="1" ht="15" customHeight="1" x14ac:dyDescent="0.25">
      <c r="A51" s="146"/>
      <c r="B51" s="453" t="s">
        <v>597</v>
      </c>
      <c r="C51" s="111" t="s">
        <v>331</v>
      </c>
      <c r="D51" s="205" t="str">
        <f t="shared" ref="D51:D62" si="101">VLOOKUP($C51,$BI$195:$CM$609,2,FALSE)</f>
        <v>kg</v>
      </c>
      <c r="E51" s="389"/>
      <c r="F51" s="389"/>
      <c r="G51" s="389"/>
      <c r="H51" s="389"/>
      <c r="I51" s="389"/>
      <c r="J51" s="389"/>
      <c r="K51" s="91"/>
      <c r="L51" s="91"/>
      <c r="M51" s="91"/>
      <c r="N51" s="91"/>
      <c r="O51" s="91"/>
      <c r="P51" s="91"/>
      <c r="Q51" s="206">
        <f t="shared" ref="Q51:Q60" si="102">SUM(E51:P51)</f>
        <v>0</v>
      </c>
      <c r="R51" s="205">
        <f t="shared" ref="R51:R60" si="103">COUNT(E51:P51)</f>
        <v>0</v>
      </c>
      <c r="S51" s="206">
        <f t="shared" ref="S51:S60" si="104">IF(R51&gt;1,AVERAGE(E51:P51),0)</f>
        <v>0</v>
      </c>
      <c r="T51" s="206">
        <f t="shared" ref="T51:T60" si="105">IF(R51&gt;1,STDEV(E51:P51),0)</f>
        <v>0</v>
      </c>
      <c r="U51" s="206">
        <f t="shared" ref="U51:U62" si="106">IF(R51&gt;1,VLOOKUP($R51,$BI$529:$BJ$541,2,FALSE),0)</f>
        <v>0</v>
      </c>
      <c r="V51" s="92"/>
      <c r="W51" s="207">
        <f t="shared" ref="W51:W62" si="107">IF(R51&gt;1,1-((S51-((T51*U51)/(SQRT(R51))))/S51),VLOOKUP($C51,$BI$195:$CP$609,34,FALSE))</f>
        <v>0.5</v>
      </c>
      <c r="X51" s="208">
        <v>0</v>
      </c>
      <c r="Y51" s="209">
        <v>0</v>
      </c>
      <c r="Z51" s="207">
        <v>0</v>
      </c>
      <c r="AA51" s="210">
        <f t="shared" ref="AA51:AA60" si="108">($Q51*X51)/1000</f>
        <v>0</v>
      </c>
      <c r="AB51" s="210">
        <f t="shared" ref="AB51:AB62" si="109">AA51*$BJ$547</f>
        <v>0</v>
      </c>
      <c r="AC51" s="207">
        <f t="shared" ref="AC51:AC60" si="110">IF(AA51&gt;0,SQRT(($W51*$W51)+(Z51*Z51)+($V51*$V51)),0)</f>
        <v>0</v>
      </c>
      <c r="AD51" s="210">
        <f t="shared" ref="AD51:AD60" si="111">(AB51*AC51)^2</f>
        <v>0</v>
      </c>
      <c r="AE51" s="211">
        <v>0</v>
      </c>
      <c r="AF51" s="209">
        <v>0</v>
      </c>
      <c r="AG51" s="207">
        <v>0</v>
      </c>
      <c r="AH51" s="212">
        <f t="shared" ref="AH51:AH60" si="112">($Q51*AE51)/1000</f>
        <v>0</v>
      </c>
      <c r="AI51" s="212">
        <f t="shared" ref="AI51:AI62" si="113">AH51*$BJ$548</f>
        <v>0</v>
      </c>
      <c r="AJ51" s="207">
        <f t="shared" ref="AJ51:AJ60" si="114">IF(AH51&gt;0,SQRT(($W51*$W51)+(AG51*AG51)+($V51*$V51)),0)</f>
        <v>0</v>
      </c>
      <c r="AK51" s="210">
        <f t="shared" ref="AK51:AK60" si="115">(AI51*AJ51)^2</f>
        <v>0</v>
      </c>
      <c r="AL51" s="211">
        <v>0</v>
      </c>
      <c r="AM51" s="209">
        <f>VLOOKUP($C51,$BI$195:$CM$609,28,FALSE)</f>
        <v>0</v>
      </c>
      <c r="AN51" s="207">
        <v>0</v>
      </c>
      <c r="AO51" s="212">
        <f t="shared" ref="AO51:AO56" si="116">(W51*AL51)/1000</f>
        <v>0</v>
      </c>
      <c r="AP51" s="212">
        <f t="shared" ref="AP51:AP62" si="117">AO51*$BJ$549</f>
        <v>0</v>
      </c>
      <c r="AQ51" s="207">
        <f t="shared" ref="AQ51:AQ60" si="118">IF(AO51&gt;0,SQRT(($W51*$W51)+(AN51*AN51)+($V51*$V51)),0)</f>
        <v>0</v>
      </c>
      <c r="AR51" s="210">
        <f t="shared" ref="AR51:AR60" si="119">(AP51*AQ51)^2</f>
        <v>0</v>
      </c>
      <c r="AS51" s="213">
        <f t="shared" ref="AS51:AS56" si="120">VLOOKUP($C51,$BI$195:$CM$609,3,FALSE)</f>
        <v>10200</v>
      </c>
      <c r="AT51" s="209" t="str">
        <f t="shared" ref="AT51:AT56" si="121">VLOOKUP($C51,$BI$195:$CM$609,4,FALSE)</f>
        <v>kgCO2e/kg</v>
      </c>
      <c r="AU51" s="207">
        <f t="shared" ref="AU51:AU56" si="122">IF($Q51&gt;0,VLOOKUP($C51,$BI$195:$CM$609,6,FALSE),0)</f>
        <v>0</v>
      </c>
      <c r="AV51" s="212">
        <f t="shared" ref="AV51:AV62" si="123">($Q51*AS51)/1000</f>
        <v>0</v>
      </c>
      <c r="AW51" s="207">
        <f t="shared" ref="AW51:AW62" si="124">IF(AV51&gt;0,SQRT(($W51*$W51)+(AU51*AU51)+($V51*$V51)),0)</f>
        <v>0</v>
      </c>
      <c r="AX51" s="210">
        <f>(AV51*AW51)^2</f>
        <v>0</v>
      </c>
      <c r="AY51" s="213">
        <v>0</v>
      </c>
      <c r="AZ51" s="209">
        <v>0</v>
      </c>
      <c r="BA51" s="207">
        <v>0</v>
      </c>
      <c r="BB51" s="212">
        <f>($Q51*AY51)/1000</f>
        <v>0</v>
      </c>
      <c r="BC51" s="212">
        <f t="shared" ref="BC51:BC62" si="125">BB51*$BJ$550</f>
        <v>0</v>
      </c>
      <c r="BD51" s="207">
        <v>0</v>
      </c>
      <c r="BE51" s="210">
        <f t="shared" ref="BE51:BE60" si="126">(BC51*BD51)^2</f>
        <v>0</v>
      </c>
      <c r="BF51" s="206">
        <f t="shared" ref="BF51:BF62" si="127">AB51+AI51+AP51+AV51+BC51</f>
        <v>0</v>
      </c>
      <c r="BG51" s="214">
        <f t="shared" ref="BG51:BG62" si="128">IF(BF51&gt;0,SQRT(AD51+AK51+AR51+AX51+BE51)/BF51,0)</f>
        <v>0</v>
      </c>
      <c r="BH51" s="160">
        <f t="shared" si="37"/>
        <v>0</v>
      </c>
      <c r="BI51" s="200"/>
      <c r="BJ51" s="462"/>
      <c r="BK51" s="462"/>
      <c r="BL51" s="462"/>
      <c r="BM51" s="463"/>
      <c r="BN51" s="463"/>
      <c r="BO51" s="463"/>
      <c r="BP51" s="462"/>
      <c r="BQ51" s="462"/>
      <c r="BR51" s="462"/>
      <c r="BS51" s="462"/>
      <c r="BT51" s="462"/>
      <c r="BU51" s="462"/>
      <c r="BV51" s="462"/>
      <c r="BW51" s="462"/>
      <c r="BX51" s="462"/>
      <c r="BY51" s="462"/>
      <c r="BZ51" s="462"/>
      <c r="CA51" s="462"/>
      <c r="CB51" s="464"/>
      <c r="CC51" s="462"/>
      <c r="CD51" s="462"/>
      <c r="CE51" s="464"/>
      <c r="CF51" s="464"/>
      <c r="CG51" s="464"/>
      <c r="CH51" s="464"/>
      <c r="CI51" s="462"/>
      <c r="CJ51" s="462"/>
      <c r="CK51" s="464"/>
      <c r="CL51" s="464"/>
      <c r="CM51" s="464"/>
      <c r="CN51" s="357"/>
      <c r="CO51" s="346"/>
      <c r="CP51" s="346"/>
      <c r="CQ51" s="171"/>
      <c r="CR51" s="171"/>
      <c r="CS51" s="171"/>
      <c r="CT51" s="171"/>
      <c r="CU51" s="171"/>
      <c r="CV51" s="171"/>
      <c r="CW51" s="171"/>
      <c r="CX51" s="171"/>
      <c r="CY51" s="171"/>
      <c r="CZ51" s="171"/>
      <c r="DA51" s="171"/>
      <c r="DB51" s="171"/>
      <c r="DC51" s="171"/>
      <c r="DD51" s="171"/>
      <c r="DE51" s="171"/>
      <c r="DF51" s="171"/>
      <c r="DG51" s="171"/>
      <c r="DH51" s="171"/>
      <c r="DI51" s="171"/>
      <c r="DJ51" s="171"/>
      <c r="DK51" s="171"/>
      <c r="DL51" s="171"/>
      <c r="DM51" s="171"/>
      <c r="DN51" s="171"/>
      <c r="DO51" s="171"/>
      <c r="DP51" s="171"/>
      <c r="DQ51" s="171"/>
      <c r="DR51" s="171"/>
      <c r="DS51" s="171"/>
      <c r="DT51" s="171"/>
      <c r="DU51" s="171"/>
      <c r="DV51" s="171"/>
      <c r="DW51" s="170"/>
      <c r="DX51" s="170"/>
      <c r="DY51" s="170"/>
      <c r="DZ51" s="170"/>
      <c r="EA51" s="170"/>
      <c r="EB51" s="170"/>
      <c r="EC51" s="170"/>
      <c r="ED51" s="170"/>
    </row>
    <row r="52" spans="1:134" s="147" customFormat="1" x14ac:dyDescent="0.25">
      <c r="A52" s="146"/>
      <c r="B52" s="454" t="s">
        <v>598</v>
      </c>
      <c r="C52" s="111" t="s">
        <v>332</v>
      </c>
      <c r="D52" s="391" t="str">
        <f t="shared" si="101"/>
        <v>kg</v>
      </c>
      <c r="E52" s="642">
        <v>8.25</v>
      </c>
      <c r="F52" s="642"/>
      <c r="G52" s="91"/>
      <c r="H52" s="91"/>
      <c r="I52" s="91"/>
      <c r="J52" s="91"/>
      <c r="K52" s="91"/>
      <c r="L52" s="91"/>
      <c r="M52" s="91"/>
      <c r="N52" s="91"/>
      <c r="O52" s="91"/>
      <c r="P52" s="91"/>
      <c r="Q52" s="206">
        <f>SUM(E52:P52)</f>
        <v>8.25</v>
      </c>
      <c r="R52" s="391">
        <f>COUNT(E52:P52)</f>
        <v>1</v>
      </c>
      <c r="S52" s="206">
        <f>IF(R52&gt;1,AVERAGE(E52:P52),0)</f>
        <v>0</v>
      </c>
      <c r="T52" s="206">
        <f>IF(R52&gt;1,STDEV(E52:P52),0)</f>
        <v>0</v>
      </c>
      <c r="U52" s="206">
        <f t="shared" si="106"/>
        <v>0</v>
      </c>
      <c r="V52" s="92"/>
      <c r="W52" s="207">
        <f t="shared" si="107"/>
        <v>0.5</v>
      </c>
      <c r="X52" s="208">
        <v>0</v>
      </c>
      <c r="Y52" s="209">
        <v>0</v>
      </c>
      <c r="Z52" s="207">
        <v>0</v>
      </c>
      <c r="AA52" s="210">
        <f>($Q52*X52)/1000</f>
        <v>0</v>
      </c>
      <c r="AB52" s="210">
        <f t="shared" si="109"/>
        <v>0</v>
      </c>
      <c r="AC52" s="207">
        <f>IF(AA52&gt;0,SQRT(($W52*$W52)+(Z52*Z52)+($V52*$V52)),0)</f>
        <v>0</v>
      </c>
      <c r="AD52" s="210">
        <f>(AB52*AC52)^2</f>
        <v>0</v>
      </c>
      <c r="AE52" s="211">
        <v>0</v>
      </c>
      <c r="AF52" s="209">
        <v>0</v>
      </c>
      <c r="AG52" s="207">
        <v>0</v>
      </c>
      <c r="AH52" s="212">
        <f>($Q52*AE52)/1000</f>
        <v>0</v>
      </c>
      <c r="AI52" s="212">
        <f t="shared" si="113"/>
        <v>0</v>
      </c>
      <c r="AJ52" s="207">
        <f>IF(AH52&gt;0,SQRT(($W52*$W52)+(AG52*AG52)+($V52*$V52)),0)</f>
        <v>0</v>
      </c>
      <c r="AK52" s="210">
        <f>(AI52*AJ52)^2</f>
        <v>0</v>
      </c>
      <c r="AL52" s="211">
        <v>0</v>
      </c>
      <c r="AM52" s="209">
        <v>0</v>
      </c>
      <c r="AN52" s="207">
        <v>0</v>
      </c>
      <c r="AO52" s="212">
        <f>(W52*AL52)/1000</f>
        <v>0</v>
      </c>
      <c r="AP52" s="212">
        <f t="shared" si="117"/>
        <v>0</v>
      </c>
      <c r="AQ52" s="207">
        <f>IF(AO52&gt;0,SQRT(($W52*$W52)+(AN52*AN52)+($V52*$V52)),0)</f>
        <v>0</v>
      </c>
      <c r="AR52" s="210">
        <f>(AP52*AQ52)^2</f>
        <v>0</v>
      </c>
      <c r="AS52" s="213">
        <f t="shared" si="120"/>
        <v>1760</v>
      </c>
      <c r="AT52" s="209" t="str">
        <f t="shared" si="121"/>
        <v>kgCO2e/kg</v>
      </c>
      <c r="AU52" s="207">
        <f t="shared" si="122"/>
        <v>0.5</v>
      </c>
      <c r="AV52" s="212">
        <f t="shared" si="123"/>
        <v>14.52</v>
      </c>
      <c r="AW52" s="207">
        <f t="shared" si="124"/>
        <v>0.70710678118654757</v>
      </c>
      <c r="AX52" s="210">
        <f>(AV52*AW52)^2</f>
        <v>105.41520000000001</v>
      </c>
      <c r="AY52" s="213">
        <v>0</v>
      </c>
      <c r="AZ52" s="209">
        <v>0</v>
      </c>
      <c r="BA52" s="207">
        <v>0</v>
      </c>
      <c r="BB52" s="212">
        <f>($Q52*AY52)/1000</f>
        <v>0</v>
      </c>
      <c r="BC52" s="212">
        <f t="shared" si="125"/>
        <v>0</v>
      </c>
      <c r="BD52" s="207">
        <v>0</v>
      </c>
      <c r="BE52" s="210">
        <f>(BC52*BD52)^2</f>
        <v>0</v>
      </c>
      <c r="BF52" s="206">
        <f t="shared" si="127"/>
        <v>14.52</v>
      </c>
      <c r="BG52" s="214">
        <f t="shared" si="128"/>
        <v>0.70710678118654757</v>
      </c>
      <c r="BH52" s="160">
        <f>(BF52*BG52)^2</f>
        <v>105.41520000000001</v>
      </c>
      <c r="BI52" s="200"/>
      <c r="BJ52" s="462"/>
      <c r="BK52" s="462"/>
      <c r="BL52" s="462"/>
      <c r="BM52" s="463"/>
      <c r="BN52" s="463"/>
      <c r="BO52" s="463"/>
      <c r="BP52" s="462"/>
      <c r="BQ52" s="462"/>
      <c r="BR52" s="462"/>
      <c r="BS52" s="462"/>
      <c r="BT52" s="462"/>
      <c r="BU52" s="462"/>
      <c r="BV52" s="462"/>
      <c r="BW52" s="462"/>
      <c r="BX52" s="462"/>
      <c r="BY52" s="462"/>
      <c r="BZ52" s="462"/>
      <c r="CA52" s="462"/>
      <c r="CB52" s="464"/>
      <c r="CC52" s="462"/>
      <c r="CD52" s="462"/>
      <c r="CE52" s="464"/>
      <c r="CF52" s="464"/>
      <c r="CG52" s="464"/>
      <c r="CH52" s="464"/>
      <c r="CI52" s="462"/>
      <c r="CJ52" s="462"/>
      <c r="CK52" s="464"/>
      <c r="CL52" s="464"/>
      <c r="CM52" s="464"/>
      <c r="CN52" s="357"/>
      <c r="CO52" s="346"/>
      <c r="CP52" s="346"/>
      <c r="CQ52" s="171"/>
      <c r="CR52" s="171"/>
      <c r="CS52" s="171"/>
      <c r="CT52" s="171"/>
      <c r="CU52" s="171"/>
      <c r="CV52" s="171"/>
      <c r="CW52" s="171"/>
      <c r="CX52" s="171"/>
      <c r="CY52" s="171"/>
      <c r="CZ52" s="171"/>
      <c r="DA52" s="171"/>
      <c r="DB52" s="171"/>
      <c r="DC52" s="171"/>
      <c r="DD52" s="171"/>
      <c r="DE52" s="171"/>
      <c r="DF52" s="171"/>
      <c r="DG52" s="171"/>
      <c r="DH52" s="171"/>
      <c r="DI52" s="171"/>
      <c r="DJ52" s="171"/>
      <c r="DK52" s="171"/>
      <c r="DL52" s="171"/>
      <c r="DM52" s="171"/>
      <c r="DN52" s="171"/>
      <c r="DO52" s="171"/>
      <c r="DP52" s="171"/>
      <c r="DQ52" s="171"/>
      <c r="DR52" s="171"/>
      <c r="DS52" s="171"/>
      <c r="DT52" s="171"/>
      <c r="DU52" s="171"/>
      <c r="DV52" s="171"/>
      <c r="DW52" s="170"/>
      <c r="DX52" s="170"/>
      <c r="DY52" s="170"/>
      <c r="DZ52" s="170"/>
      <c r="EA52" s="170"/>
      <c r="EB52" s="170"/>
      <c r="EC52" s="170"/>
      <c r="ED52" s="170"/>
    </row>
    <row r="53" spans="1:134" s="147" customFormat="1" x14ac:dyDescent="0.25">
      <c r="A53" s="146"/>
      <c r="B53" s="454"/>
      <c r="C53" s="111" t="s">
        <v>337</v>
      </c>
      <c r="D53" s="391" t="str">
        <f t="shared" si="101"/>
        <v>kg</v>
      </c>
      <c r="E53" s="641">
        <v>0.25</v>
      </c>
      <c r="F53" s="91"/>
      <c r="G53" s="91"/>
      <c r="H53" s="91"/>
      <c r="I53" s="91"/>
      <c r="J53" s="91"/>
      <c r="K53" s="91"/>
      <c r="L53" s="91"/>
      <c r="M53" s="91"/>
      <c r="N53" s="91"/>
      <c r="O53" s="91"/>
      <c r="P53" s="91"/>
      <c r="Q53" s="206">
        <f>SUM(E53:P53)</f>
        <v>0.25</v>
      </c>
      <c r="R53" s="391">
        <f>COUNT(E53:P53)</f>
        <v>1</v>
      </c>
      <c r="S53" s="206">
        <f>IF(R53&gt;1,AVERAGE(E53:P53),0)</f>
        <v>0</v>
      </c>
      <c r="T53" s="206">
        <f>IF(R53&gt;1,STDEV(E53:P53),0)</f>
        <v>0</v>
      </c>
      <c r="U53" s="206">
        <f t="shared" si="106"/>
        <v>0</v>
      </c>
      <c r="V53" s="92"/>
      <c r="W53" s="207">
        <f t="shared" si="107"/>
        <v>0.5</v>
      </c>
      <c r="X53" s="208">
        <v>0</v>
      </c>
      <c r="Y53" s="209">
        <v>0</v>
      </c>
      <c r="Z53" s="207">
        <v>0</v>
      </c>
      <c r="AA53" s="210">
        <f>($Q53*X53)/1000</f>
        <v>0</v>
      </c>
      <c r="AB53" s="210">
        <f t="shared" si="109"/>
        <v>0</v>
      </c>
      <c r="AC53" s="207">
        <f>IF(AA53&gt;0,SQRT(($W53*$W53)+(Z53*Z53)+($V53*$V53)),0)</f>
        <v>0</v>
      </c>
      <c r="AD53" s="210">
        <f>(AB53*AC53)^2</f>
        <v>0</v>
      </c>
      <c r="AE53" s="211">
        <v>0</v>
      </c>
      <c r="AF53" s="209">
        <v>0</v>
      </c>
      <c r="AG53" s="207">
        <v>0</v>
      </c>
      <c r="AH53" s="212">
        <f>($Q53*AE53)/1000</f>
        <v>0</v>
      </c>
      <c r="AI53" s="212">
        <f t="shared" si="113"/>
        <v>0</v>
      </c>
      <c r="AJ53" s="207">
        <f>IF(AH53&gt;0,SQRT(($W53*$W53)+(AG53*AG53)+($V53*$V53)),0)</f>
        <v>0</v>
      </c>
      <c r="AK53" s="210">
        <f>(AI53*AJ53)^2</f>
        <v>0</v>
      </c>
      <c r="AL53" s="211">
        <v>0</v>
      </c>
      <c r="AM53" s="209">
        <v>0</v>
      </c>
      <c r="AN53" s="207">
        <v>0</v>
      </c>
      <c r="AO53" s="212">
        <f>(W53*AL53)/1000</f>
        <v>0</v>
      </c>
      <c r="AP53" s="212">
        <f t="shared" si="117"/>
        <v>0</v>
      </c>
      <c r="AQ53" s="207">
        <f>IF(AO53&gt;0,SQRT(($W53*$W53)+(AN53*AN53)+($V53*$V53)),0)</f>
        <v>0</v>
      </c>
      <c r="AR53" s="210">
        <f>(AP53*AQ53)^2</f>
        <v>0</v>
      </c>
      <c r="AS53" s="213">
        <f t="shared" si="120"/>
        <v>1300</v>
      </c>
      <c r="AT53" s="209" t="str">
        <f t="shared" si="121"/>
        <v>kgCO2e/kg</v>
      </c>
      <c r="AU53" s="207">
        <f t="shared" si="122"/>
        <v>0.5</v>
      </c>
      <c r="AV53" s="212">
        <f t="shared" si="123"/>
        <v>0.32500000000000001</v>
      </c>
      <c r="AW53" s="207">
        <f t="shared" si="124"/>
        <v>0.70710678118654757</v>
      </c>
      <c r="AX53" s="210">
        <f>(AV53*AW53)^2</f>
        <v>5.2812500000000005E-2</v>
      </c>
      <c r="AY53" s="213">
        <v>0</v>
      </c>
      <c r="AZ53" s="209">
        <v>0</v>
      </c>
      <c r="BA53" s="207">
        <v>0</v>
      </c>
      <c r="BB53" s="212">
        <f>($Q53*AY53)/1000</f>
        <v>0</v>
      </c>
      <c r="BC53" s="212">
        <f t="shared" si="125"/>
        <v>0</v>
      </c>
      <c r="BD53" s="207">
        <v>0</v>
      </c>
      <c r="BE53" s="210">
        <f>(BC53*BD53)^2</f>
        <v>0</v>
      </c>
      <c r="BF53" s="206">
        <f t="shared" si="127"/>
        <v>0.32500000000000001</v>
      </c>
      <c r="BG53" s="214">
        <f t="shared" si="128"/>
        <v>0.70710678118654757</v>
      </c>
      <c r="BH53" s="160">
        <f>(BF53*BG53)^2</f>
        <v>5.2812500000000005E-2</v>
      </c>
      <c r="BI53" s="200"/>
      <c r="BJ53" s="462"/>
      <c r="BK53" s="462"/>
      <c r="BL53" s="462"/>
      <c r="BM53" s="463"/>
      <c r="BN53" s="463"/>
      <c r="BO53" s="463"/>
      <c r="BP53" s="462"/>
      <c r="BQ53" s="462"/>
      <c r="BR53" s="462"/>
      <c r="BS53" s="462"/>
      <c r="BT53" s="462"/>
      <c r="BU53" s="462"/>
      <c r="BV53" s="462"/>
      <c r="BW53" s="462"/>
      <c r="BX53" s="462"/>
      <c r="BY53" s="462"/>
      <c r="BZ53" s="462"/>
      <c r="CA53" s="462"/>
      <c r="CB53" s="464"/>
      <c r="CC53" s="462"/>
      <c r="CD53" s="462"/>
      <c r="CE53" s="464"/>
      <c r="CF53" s="464"/>
      <c r="CG53" s="464"/>
      <c r="CH53" s="464"/>
      <c r="CI53" s="462"/>
      <c r="CJ53" s="462"/>
      <c r="CK53" s="464"/>
      <c r="CL53" s="464"/>
      <c r="CM53" s="464"/>
      <c r="CN53" s="357"/>
      <c r="CO53" s="346"/>
      <c r="CP53" s="346"/>
      <c r="CQ53" s="171"/>
      <c r="CR53" s="171"/>
      <c r="CS53" s="171"/>
      <c r="CT53" s="171"/>
      <c r="CU53" s="171"/>
      <c r="CV53" s="171"/>
      <c r="CW53" s="171"/>
      <c r="CX53" s="171"/>
      <c r="CY53" s="171"/>
      <c r="CZ53" s="171"/>
      <c r="DA53" s="171"/>
      <c r="DB53" s="171"/>
      <c r="DC53" s="171"/>
      <c r="DD53" s="171"/>
      <c r="DE53" s="171"/>
      <c r="DF53" s="171"/>
      <c r="DG53" s="171"/>
      <c r="DH53" s="171"/>
      <c r="DI53" s="171"/>
      <c r="DJ53" s="171"/>
      <c r="DK53" s="171"/>
      <c r="DL53" s="171"/>
      <c r="DM53" s="171"/>
      <c r="DN53" s="171"/>
      <c r="DO53" s="171"/>
      <c r="DP53" s="171"/>
      <c r="DQ53" s="171"/>
      <c r="DR53" s="171"/>
      <c r="DS53" s="171"/>
      <c r="DT53" s="171"/>
      <c r="DU53" s="171"/>
      <c r="DV53" s="171"/>
      <c r="DW53" s="170"/>
      <c r="DX53" s="170"/>
      <c r="DY53" s="170"/>
      <c r="DZ53" s="170"/>
      <c r="EA53" s="170"/>
      <c r="EB53" s="170"/>
      <c r="EC53" s="170"/>
      <c r="ED53" s="170"/>
    </row>
    <row r="54" spans="1:134" s="147" customFormat="1" x14ac:dyDescent="0.25">
      <c r="A54" s="146"/>
      <c r="B54" s="454"/>
      <c r="C54" s="111" t="s">
        <v>538</v>
      </c>
      <c r="D54" s="205" t="str">
        <f t="shared" si="101"/>
        <v>kg</v>
      </c>
      <c r="E54" s="441"/>
      <c r="F54" s="91"/>
      <c r="G54" s="91"/>
      <c r="H54" s="91"/>
      <c r="I54" s="91"/>
      <c r="J54" s="91"/>
      <c r="K54" s="91"/>
      <c r="L54" s="91"/>
      <c r="M54" s="91"/>
      <c r="N54" s="91"/>
      <c r="O54" s="91"/>
      <c r="P54" s="91"/>
      <c r="Q54" s="206">
        <f t="shared" si="102"/>
        <v>0</v>
      </c>
      <c r="R54" s="205">
        <f t="shared" si="103"/>
        <v>0</v>
      </c>
      <c r="S54" s="206">
        <f t="shared" si="104"/>
        <v>0</v>
      </c>
      <c r="T54" s="206">
        <f t="shared" si="105"/>
        <v>0</v>
      </c>
      <c r="U54" s="206">
        <f t="shared" si="106"/>
        <v>0</v>
      </c>
      <c r="V54" s="92"/>
      <c r="W54" s="207">
        <f t="shared" si="107"/>
        <v>0.5</v>
      </c>
      <c r="X54" s="208">
        <v>0</v>
      </c>
      <c r="Y54" s="209">
        <v>0</v>
      </c>
      <c r="Z54" s="207">
        <v>0</v>
      </c>
      <c r="AA54" s="210">
        <f t="shared" si="108"/>
        <v>0</v>
      </c>
      <c r="AB54" s="210">
        <f t="shared" si="109"/>
        <v>0</v>
      </c>
      <c r="AC54" s="207">
        <f t="shared" si="110"/>
        <v>0</v>
      </c>
      <c r="AD54" s="210">
        <f t="shared" si="111"/>
        <v>0</v>
      </c>
      <c r="AE54" s="211">
        <v>0</v>
      </c>
      <c r="AF54" s="209">
        <v>0</v>
      </c>
      <c r="AG54" s="207">
        <v>0</v>
      </c>
      <c r="AH54" s="212">
        <f t="shared" si="112"/>
        <v>0</v>
      </c>
      <c r="AI54" s="212">
        <f t="shared" si="113"/>
        <v>0</v>
      </c>
      <c r="AJ54" s="207">
        <f t="shared" si="114"/>
        <v>0</v>
      </c>
      <c r="AK54" s="210">
        <f t="shared" si="115"/>
        <v>0</v>
      </c>
      <c r="AL54" s="211">
        <v>0</v>
      </c>
      <c r="AM54" s="209">
        <v>0</v>
      </c>
      <c r="AN54" s="207">
        <v>0</v>
      </c>
      <c r="AO54" s="212">
        <f t="shared" si="116"/>
        <v>0</v>
      </c>
      <c r="AP54" s="212">
        <f t="shared" si="117"/>
        <v>0</v>
      </c>
      <c r="AQ54" s="207">
        <f t="shared" si="118"/>
        <v>0</v>
      </c>
      <c r="AR54" s="210">
        <f t="shared" si="119"/>
        <v>0</v>
      </c>
      <c r="AS54" s="213">
        <f t="shared" si="120"/>
        <v>3942.8</v>
      </c>
      <c r="AT54" s="209" t="str">
        <f t="shared" si="121"/>
        <v>kgCO2e/kg</v>
      </c>
      <c r="AU54" s="207">
        <f t="shared" si="122"/>
        <v>0</v>
      </c>
      <c r="AV54" s="212">
        <f t="shared" si="123"/>
        <v>0</v>
      </c>
      <c r="AW54" s="207">
        <f t="shared" si="124"/>
        <v>0</v>
      </c>
      <c r="AX54" s="210">
        <f t="shared" ref="AX54:AX60" si="129">(AV54*AW54)^2</f>
        <v>0</v>
      </c>
      <c r="AY54" s="213">
        <v>0</v>
      </c>
      <c r="AZ54" s="209">
        <v>0</v>
      </c>
      <c r="BA54" s="207">
        <v>0</v>
      </c>
      <c r="BB54" s="212">
        <f t="shared" ref="BB54:BB60" si="130">($Q54*AY54)/1000</f>
        <v>0</v>
      </c>
      <c r="BC54" s="212">
        <f t="shared" si="125"/>
        <v>0</v>
      </c>
      <c r="BD54" s="207">
        <v>0</v>
      </c>
      <c r="BE54" s="210">
        <f t="shared" si="126"/>
        <v>0</v>
      </c>
      <c r="BF54" s="206">
        <f t="shared" si="127"/>
        <v>0</v>
      </c>
      <c r="BG54" s="214">
        <f t="shared" si="128"/>
        <v>0</v>
      </c>
      <c r="BH54" s="160">
        <f t="shared" si="37"/>
        <v>0</v>
      </c>
      <c r="BI54" s="200"/>
      <c r="BJ54" s="462"/>
      <c r="BK54" s="462"/>
      <c r="BL54" s="462"/>
      <c r="BM54" s="463"/>
      <c r="BN54" s="463"/>
      <c r="BO54" s="463"/>
      <c r="BP54" s="462"/>
      <c r="BQ54" s="462"/>
      <c r="BR54" s="462"/>
      <c r="BS54" s="462"/>
      <c r="BT54" s="462"/>
      <c r="BU54" s="462"/>
      <c r="BV54" s="462"/>
      <c r="BW54" s="462"/>
      <c r="BX54" s="462"/>
      <c r="BY54" s="462"/>
      <c r="BZ54" s="462"/>
      <c r="CA54" s="462"/>
      <c r="CB54" s="464"/>
      <c r="CC54" s="462"/>
      <c r="CD54" s="462"/>
      <c r="CE54" s="464"/>
      <c r="CF54" s="464"/>
      <c r="CG54" s="464"/>
      <c r="CH54" s="464"/>
      <c r="CI54" s="462"/>
      <c r="CJ54" s="462"/>
      <c r="CK54" s="464"/>
      <c r="CL54" s="464"/>
      <c r="CM54" s="464"/>
      <c r="CN54" s="357"/>
      <c r="CO54" s="346"/>
      <c r="CP54" s="346"/>
      <c r="CQ54" s="171"/>
      <c r="CR54" s="171"/>
      <c r="CS54" s="171"/>
      <c r="CT54" s="171"/>
      <c r="CU54" s="171"/>
      <c r="CV54" s="171"/>
      <c r="CW54" s="171"/>
      <c r="CX54" s="171"/>
      <c r="CY54" s="171"/>
      <c r="CZ54" s="171"/>
      <c r="DA54" s="171"/>
      <c r="DB54" s="171"/>
      <c r="DC54" s="171"/>
      <c r="DD54" s="171"/>
      <c r="DE54" s="171"/>
      <c r="DF54" s="171"/>
      <c r="DG54" s="171"/>
      <c r="DH54" s="171"/>
      <c r="DI54" s="171"/>
      <c r="DJ54" s="171"/>
      <c r="DK54" s="171"/>
      <c r="DL54" s="171"/>
      <c r="DM54" s="171"/>
      <c r="DN54" s="171"/>
      <c r="DO54" s="171"/>
      <c r="DP54" s="171"/>
      <c r="DQ54" s="171"/>
      <c r="DR54" s="171"/>
      <c r="DS54" s="171"/>
      <c r="DT54" s="171"/>
      <c r="DU54" s="171"/>
      <c r="DV54" s="171"/>
      <c r="DW54" s="170"/>
      <c r="DX54" s="170"/>
      <c r="DY54" s="170"/>
      <c r="DZ54" s="170"/>
      <c r="EA54" s="170"/>
      <c r="EB54" s="170"/>
      <c r="EC54" s="170"/>
      <c r="ED54" s="170"/>
    </row>
    <row r="55" spans="1:134" s="147" customFormat="1" x14ac:dyDescent="0.25">
      <c r="A55" s="146"/>
      <c r="B55" s="454"/>
      <c r="C55" s="111" t="s">
        <v>340</v>
      </c>
      <c r="D55" s="205" t="str">
        <f t="shared" si="101"/>
        <v>kg</v>
      </c>
      <c r="E55" s="641">
        <v>10</v>
      </c>
      <c r="F55" s="641"/>
      <c r="G55" s="91"/>
      <c r="H55" s="91"/>
      <c r="I55" s="91"/>
      <c r="J55" s="91"/>
      <c r="K55" s="91"/>
      <c r="L55" s="91"/>
      <c r="M55" s="91"/>
      <c r="N55" s="91"/>
      <c r="O55" s="91"/>
      <c r="P55" s="91"/>
      <c r="Q55" s="206">
        <f t="shared" si="102"/>
        <v>10</v>
      </c>
      <c r="R55" s="205">
        <f t="shared" si="103"/>
        <v>1</v>
      </c>
      <c r="S55" s="206">
        <f t="shared" si="104"/>
        <v>0</v>
      </c>
      <c r="T55" s="206">
        <f t="shared" si="105"/>
        <v>0</v>
      </c>
      <c r="U55" s="206">
        <f t="shared" si="106"/>
        <v>0</v>
      </c>
      <c r="V55" s="92"/>
      <c r="W55" s="207">
        <f t="shared" si="107"/>
        <v>0.5</v>
      </c>
      <c r="X55" s="208">
        <v>0</v>
      </c>
      <c r="Y55" s="209">
        <v>0</v>
      </c>
      <c r="Z55" s="207">
        <v>0</v>
      </c>
      <c r="AA55" s="210">
        <f t="shared" si="108"/>
        <v>0</v>
      </c>
      <c r="AB55" s="210">
        <f t="shared" si="109"/>
        <v>0</v>
      </c>
      <c r="AC55" s="207">
        <f t="shared" si="110"/>
        <v>0</v>
      </c>
      <c r="AD55" s="210">
        <f t="shared" si="111"/>
        <v>0</v>
      </c>
      <c r="AE55" s="211">
        <v>0</v>
      </c>
      <c r="AF55" s="209">
        <v>0</v>
      </c>
      <c r="AG55" s="207">
        <v>0</v>
      </c>
      <c r="AH55" s="212">
        <f t="shared" si="112"/>
        <v>0</v>
      </c>
      <c r="AI55" s="212">
        <f t="shared" si="113"/>
        <v>0</v>
      </c>
      <c r="AJ55" s="207">
        <f t="shared" si="114"/>
        <v>0</v>
      </c>
      <c r="AK55" s="210">
        <f t="shared" si="115"/>
        <v>0</v>
      </c>
      <c r="AL55" s="211">
        <v>0</v>
      </c>
      <c r="AM55" s="209">
        <v>0</v>
      </c>
      <c r="AN55" s="207">
        <v>0</v>
      </c>
      <c r="AO55" s="212">
        <f t="shared" si="116"/>
        <v>0</v>
      </c>
      <c r="AP55" s="212">
        <f t="shared" si="117"/>
        <v>0</v>
      </c>
      <c r="AQ55" s="207">
        <f t="shared" si="118"/>
        <v>0</v>
      </c>
      <c r="AR55" s="210">
        <f t="shared" si="119"/>
        <v>0</v>
      </c>
      <c r="AS55" s="213">
        <f t="shared" si="120"/>
        <v>1624.21</v>
      </c>
      <c r="AT55" s="209" t="str">
        <f t="shared" si="121"/>
        <v>kgCO2e/kg</v>
      </c>
      <c r="AU55" s="207">
        <f t="shared" si="122"/>
        <v>0.5</v>
      </c>
      <c r="AV55" s="212">
        <f t="shared" si="123"/>
        <v>16.242100000000001</v>
      </c>
      <c r="AW55" s="207">
        <f t="shared" si="124"/>
        <v>0.70710678118654757</v>
      </c>
      <c r="AX55" s="210">
        <f t="shared" si="129"/>
        <v>131.90290620500002</v>
      </c>
      <c r="AY55" s="213">
        <v>0</v>
      </c>
      <c r="AZ55" s="209">
        <v>0</v>
      </c>
      <c r="BA55" s="207">
        <v>0</v>
      </c>
      <c r="BB55" s="212">
        <f t="shared" si="130"/>
        <v>0</v>
      </c>
      <c r="BC55" s="212">
        <f t="shared" si="125"/>
        <v>0</v>
      </c>
      <c r="BD55" s="207">
        <v>0</v>
      </c>
      <c r="BE55" s="210">
        <f t="shared" si="126"/>
        <v>0</v>
      </c>
      <c r="BF55" s="206">
        <f t="shared" si="127"/>
        <v>16.242100000000001</v>
      </c>
      <c r="BG55" s="214">
        <f t="shared" si="128"/>
        <v>0.70710678118654757</v>
      </c>
      <c r="BH55" s="160">
        <f t="shared" si="37"/>
        <v>131.90290620500002</v>
      </c>
      <c r="BI55" s="200"/>
      <c r="BJ55" s="462"/>
      <c r="BK55" s="462"/>
      <c r="BL55" s="462"/>
      <c r="BM55" s="463"/>
      <c r="BN55" s="463"/>
      <c r="BO55" s="463"/>
      <c r="BP55" s="462"/>
      <c r="BQ55" s="462"/>
      <c r="BR55" s="462"/>
      <c r="BS55" s="462"/>
      <c r="BT55" s="462"/>
      <c r="BU55" s="462"/>
      <c r="BV55" s="462"/>
      <c r="BW55" s="462"/>
      <c r="BX55" s="462"/>
      <c r="BY55" s="462"/>
      <c r="BZ55" s="462"/>
      <c r="CA55" s="462"/>
      <c r="CB55" s="464"/>
      <c r="CC55" s="462"/>
      <c r="CD55" s="462"/>
      <c r="CE55" s="464"/>
      <c r="CF55" s="464"/>
      <c r="CG55" s="464"/>
      <c r="CH55" s="464"/>
      <c r="CI55" s="462"/>
      <c r="CJ55" s="462"/>
      <c r="CK55" s="464"/>
      <c r="CL55" s="464"/>
      <c r="CM55" s="464"/>
      <c r="CN55" s="357"/>
      <c r="CO55" s="346"/>
      <c r="CP55" s="346"/>
      <c r="CQ55" s="171"/>
      <c r="CR55" s="171"/>
      <c r="CS55" s="171"/>
      <c r="CT55" s="171"/>
      <c r="CU55" s="171"/>
      <c r="CV55" s="171"/>
      <c r="CW55" s="171"/>
      <c r="CX55" s="171"/>
      <c r="CY55" s="171"/>
      <c r="CZ55" s="171"/>
      <c r="DA55" s="171"/>
      <c r="DB55" s="171"/>
      <c r="DC55" s="171"/>
      <c r="DD55" s="171"/>
      <c r="DE55" s="171"/>
      <c r="DF55" s="171"/>
      <c r="DG55" s="171"/>
      <c r="DH55" s="171"/>
      <c r="DI55" s="171"/>
      <c r="DJ55" s="171"/>
      <c r="DK55" s="171"/>
      <c r="DL55" s="171"/>
      <c r="DM55" s="171"/>
      <c r="DN55" s="171"/>
      <c r="DO55" s="171"/>
      <c r="DP55" s="171"/>
      <c r="DQ55" s="171"/>
      <c r="DR55" s="171"/>
      <c r="DS55" s="171"/>
      <c r="DT55" s="171"/>
      <c r="DU55" s="171"/>
      <c r="DV55" s="171"/>
      <c r="DW55" s="170"/>
      <c r="DX55" s="170"/>
      <c r="DY55" s="170"/>
      <c r="DZ55" s="170"/>
      <c r="EA55" s="170"/>
      <c r="EB55" s="170"/>
      <c r="EC55" s="170"/>
      <c r="ED55" s="170"/>
    </row>
    <row r="56" spans="1:134" s="147" customFormat="1" hidden="1" x14ac:dyDescent="0.25">
      <c r="A56" s="146"/>
      <c r="B56" s="455"/>
      <c r="C56" s="111"/>
      <c r="D56" s="205">
        <f t="shared" si="101"/>
        <v>0</v>
      </c>
      <c r="E56" s="91"/>
      <c r="F56" s="91"/>
      <c r="G56" s="91"/>
      <c r="H56" s="91"/>
      <c r="I56" s="91"/>
      <c r="J56" s="91"/>
      <c r="K56" s="91"/>
      <c r="L56" s="91"/>
      <c r="M56" s="91"/>
      <c r="N56" s="91"/>
      <c r="O56" s="91"/>
      <c r="P56" s="91"/>
      <c r="Q56" s="206">
        <f t="shared" si="102"/>
        <v>0</v>
      </c>
      <c r="R56" s="205">
        <f t="shared" si="103"/>
        <v>0</v>
      </c>
      <c r="S56" s="206">
        <f t="shared" si="104"/>
        <v>0</v>
      </c>
      <c r="T56" s="206">
        <f t="shared" si="105"/>
        <v>0</v>
      </c>
      <c r="U56" s="206">
        <f t="shared" si="106"/>
        <v>0</v>
      </c>
      <c r="V56" s="92"/>
      <c r="W56" s="207">
        <f t="shared" si="107"/>
        <v>0</v>
      </c>
      <c r="X56" s="208">
        <v>0</v>
      </c>
      <c r="Y56" s="209">
        <v>0</v>
      </c>
      <c r="Z56" s="207">
        <v>0</v>
      </c>
      <c r="AA56" s="210">
        <f t="shared" si="108"/>
        <v>0</v>
      </c>
      <c r="AB56" s="210">
        <f t="shared" si="109"/>
        <v>0</v>
      </c>
      <c r="AC56" s="207">
        <f t="shared" si="110"/>
        <v>0</v>
      </c>
      <c r="AD56" s="210">
        <f t="shared" si="111"/>
        <v>0</v>
      </c>
      <c r="AE56" s="211">
        <v>0</v>
      </c>
      <c r="AF56" s="209">
        <v>0</v>
      </c>
      <c r="AG56" s="207">
        <v>0</v>
      </c>
      <c r="AH56" s="212">
        <f t="shared" si="112"/>
        <v>0</v>
      </c>
      <c r="AI56" s="212">
        <f t="shared" si="113"/>
        <v>0</v>
      </c>
      <c r="AJ56" s="207">
        <f t="shared" si="114"/>
        <v>0</v>
      </c>
      <c r="AK56" s="210">
        <f t="shared" si="115"/>
        <v>0</v>
      </c>
      <c r="AL56" s="211">
        <v>0</v>
      </c>
      <c r="AM56" s="209">
        <v>0</v>
      </c>
      <c r="AN56" s="207">
        <v>0</v>
      </c>
      <c r="AO56" s="212">
        <f t="shared" si="116"/>
        <v>0</v>
      </c>
      <c r="AP56" s="212">
        <f t="shared" si="117"/>
        <v>0</v>
      </c>
      <c r="AQ56" s="207">
        <f t="shared" si="118"/>
        <v>0</v>
      </c>
      <c r="AR56" s="210">
        <f t="shared" si="119"/>
        <v>0</v>
      </c>
      <c r="AS56" s="213">
        <f t="shared" si="120"/>
        <v>0</v>
      </c>
      <c r="AT56" s="209">
        <f t="shared" si="121"/>
        <v>0</v>
      </c>
      <c r="AU56" s="207">
        <f t="shared" si="122"/>
        <v>0</v>
      </c>
      <c r="AV56" s="212">
        <f t="shared" si="123"/>
        <v>0</v>
      </c>
      <c r="AW56" s="207">
        <f t="shared" si="124"/>
        <v>0</v>
      </c>
      <c r="AX56" s="210">
        <f t="shared" si="129"/>
        <v>0</v>
      </c>
      <c r="AY56" s="213">
        <v>0</v>
      </c>
      <c r="AZ56" s="209">
        <v>0</v>
      </c>
      <c r="BA56" s="207">
        <v>0</v>
      </c>
      <c r="BB56" s="212">
        <f t="shared" si="130"/>
        <v>0</v>
      </c>
      <c r="BC56" s="212">
        <f t="shared" si="125"/>
        <v>0</v>
      </c>
      <c r="BD56" s="207">
        <v>0</v>
      </c>
      <c r="BE56" s="210">
        <f t="shared" si="126"/>
        <v>0</v>
      </c>
      <c r="BF56" s="206">
        <f t="shared" si="127"/>
        <v>0</v>
      </c>
      <c r="BG56" s="214">
        <f t="shared" si="128"/>
        <v>0</v>
      </c>
      <c r="BH56" s="160">
        <f t="shared" si="37"/>
        <v>0</v>
      </c>
      <c r="BI56" s="200"/>
      <c r="BJ56" s="462"/>
      <c r="BK56" s="462"/>
      <c r="BL56" s="462"/>
      <c r="BM56" s="463"/>
      <c r="BN56" s="463"/>
      <c r="BO56" s="463"/>
      <c r="BP56" s="462"/>
      <c r="BQ56" s="462"/>
      <c r="BR56" s="462"/>
      <c r="BS56" s="462"/>
      <c r="BT56" s="462"/>
      <c r="BU56" s="462"/>
      <c r="BV56" s="462"/>
      <c r="BW56" s="462"/>
      <c r="BX56" s="462"/>
      <c r="BY56" s="462"/>
      <c r="BZ56" s="462"/>
      <c r="CA56" s="462"/>
      <c r="CB56" s="464"/>
      <c r="CC56" s="462"/>
      <c r="CD56" s="462"/>
      <c r="CE56" s="464"/>
      <c r="CF56" s="464"/>
      <c r="CG56" s="464"/>
      <c r="CH56" s="464"/>
      <c r="CI56" s="462"/>
      <c r="CJ56" s="462"/>
      <c r="CK56" s="464"/>
      <c r="CL56" s="464"/>
      <c r="CM56" s="464"/>
      <c r="CN56" s="357"/>
      <c r="CO56" s="346"/>
      <c r="CP56" s="346"/>
      <c r="CQ56" s="171"/>
      <c r="CR56" s="171"/>
      <c r="CS56" s="171"/>
      <c r="CT56" s="171"/>
      <c r="CU56" s="171"/>
      <c r="CV56" s="171"/>
      <c r="CW56" s="171"/>
      <c r="CX56" s="171"/>
      <c r="CY56" s="171"/>
      <c r="CZ56" s="171"/>
      <c r="DA56" s="171"/>
      <c r="DB56" s="171"/>
      <c r="DC56" s="171"/>
      <c r="DD56" s="171"/>
      <c r="DE56" s="171"/>
      <c r="DF56" s="171"/>
      <c r="DG56" s="171"/>
      <c r="DH56" s="171"/>
      <c r="DI56" s="171"/>
      <c r="DJ56" s="171"/>
      <c r="DK56" s="171"/>
      <c r="DL56" s="171"/>
      <c r="DM56" s="171"/>
      <c r="DN56" s="171"/>
      <c r="DO56" s="171"/>
      <c r="DP56" s="171"/>
      <c r="DQ56" s="171"/>
      <c r="DR56" s="171"/>
      <c r="DS56" s="171"/>
      <c r="DT56" s="171"/>
      <c r="DU56" s="171"/>
      <c r="DV56" s="171"/>
      <c r="DW56" s="170"/>
      <c r="DX56" s="170"/>
      <c r="DY56" s="170"/>
      <c r="DZ56" s="170"/>
      <c r="EA56" s="170"/>
      <c r="EB56" s="170"/>
      <c r="EC56" s="170"/>
      <c r="ED56" s="170"/>
    </row>
    <row r="57" spans="1:134" s="147" customFormat="1" x14ac:dyDescent="0.25">
      <c r="A57" s="146"/>
      <c r="B57" s="751" t="s">
        <v>447</v>
      </c>
      <c r="C57" s="111" t="s">
        <v>556</v>
      </c>
      <c r="D57" s="205" t="str">
        <f t="shared" si="101"/>
        <v>kg</v>
      </c>
      <c r="E57" s="641">
        <v>466.9756000000001</v>
      </c>
      <c r="F57" s="641"/>
      <c r="G57" s="641"/>
      <c r="H57" s="641"/>
      <c r="I57" s="91"/>
      <c r="J57" s="91"/>
      <c r="K57" s="91"/>
      <c r="L57" s="143"/>
      <c r="M57" s="143"/>
      <c r="N57" s="143"/>
      <c r="O57" s="143"/>
      <c r="P57" s="143"/>
      <c r="Q57" s="206">
        <f t="shared" si="102"/>
        <v>466.9756000000001</v>
      </c>
      <c r="R57" s="205">
        <f t="shared" si="103"/>
        <v>1</v>
      </c>
      <c r="S57" s="206">
        <f t="shared" si="104"/>
        <v>0</v>
      </c>
      <c r="T57" s="206">
        <f t="shared" si="105"/>
        <v>0</v>
      </c>
      <c r="U57" s="206">
        <f t="shared" si="106"/>
        <v>0</v>
      </c>
      <c r="V57" s="92"/>
      <c r="W57" s="207">
        <f t="shared" si="107"/>
        <v>0.5</v>
      </c>
      <c r="X57" s="208">
        <f>VLOOKUP($C57,$BI$195:$CM$609,3,FALSE)</f>
        <v>1</v>
      </c>
      <c r="Y57" s="209" t="str">
        <f>VLOOKUP($C57,$BI$195:$CM$609,4,FALSE)</f>
        <v>kgCO2e/kg</v>
      </c>
      <c r="Z57" s="207">
        <f>IF($Q57&gt;0,VLOOKUP($C57,$BI$195:$CM$609,6,FALSE),0)</f>
        <v>0.5</v>
      </c>
      <c r="AA57" s="210">
        <f t="shared" si="108"/>
        <v>0.4669756000000001</v>
      </c>
      <c r="AB57" s="210">
        <f t="shared" si="109"/>
        <v>0.4669756000000001</v>
      </c>
      <c r="AC57" s="207">
        <f t="shared" si="110"/>
        <v>0.70710678118654757</v>
      </c>
      <c r="AD57" s="210">
        <f t="shared" si="111"/>
        <v>0.10903310549768006</v>
      </c>
      <c r="AE57" s="211">
        <v>0</v>
      </c>
      <c r="AF57" s="209">
        <v>0</v>
      </c>
      <c r="AG57" s="207">
        <v>0</v>
      </c>
      <c r="AH57" s="212">
        <f t="shared" si="112"/>
        <v>0</v>
      </c>
      <c r="AI57" s="212">
        <f t="shared" si="113"/>
        <v>0</v>
      </c>
      <c r="AJ57" s="207">
        <f t="shared" si="114"/>
        <v>0</v>
      </c>
      <c r="AK57" s="210">
        <f t="shared" si="115"/>
        <v>0</v>
      </c>
      <c r="AL57" s="211">
        <v>0</v>
      </c>
      <c r="AM57" s="209">
        <v>0</v>
      </c>
      <c r="AN57" s="207">
        <v>0</v>
      </c>
      <c r="AO57" s="212">
        <f>($Q57*AL57)/1000</f>
        <v>0</v>
      </c>
      <c r="AP57" s="212">
        <f t="shared" si="117"/>
        <v>0</v>
      </c>
      <c r="AQ57" s="207">
        <f t="shared" si="118"/>
        <v>0</v>
      </c>
      <c r="AR57" s="210">
        <f t="shared" si="119"/>
        <v>0</v>
      </c>
      <c r="AS57" s="213">
        <v>0</v>
      </c>
      <c r="AT57" s="209">
        <v>0</v>
      </c>
      <c r="AU57" s="207">
        <v>0</v>
      </c>
      <c r="AV57" s="212">
        <f t="shared" si="123"/>
        <v>0</v>
      </c>
      <c r="AW57" s="207">
        <f t="shared" si="124"/>
        <v>0</v>
      </c>
      <c r="AX57" s="210">
        <f t="shared" si="129"/>
        <v>0</v>
      </c>
      <c r="AY57" s="213">
        <v>0</v>
      </c>
      <c r="AZ57" s="209">
        <v>0</v>
      </c>
      <c r="BA57" s="207">
        <v>0</v>
      </c>
      <c r="BB57" s="212">
        <f t="shared" si="130"/>
        <v>0</v>
      </c>
      <c r="BC57" s="212">
        <f t="shared" si="125"/>
        <v>0</v>
      </c>
      <c r="BD57" s="207">
        <f>IF(BB57&gt;0,SQRT(($W57*$W57)+(BA57*BA57)+($V57*$V57)),0)</f>
        <v>0</v>
      </c>
      <c r="BE57" s="210">
        <f t="shared" si="126"/>
        <v>0</v>
      </c>
      <c r="BF57" s="206">
        <f t="shared" si="127"/>
        <v>0.4669756000000001</v>
      </c>
      <c r="BG57" s="214">
        <f t="shared" si="128"/>
        <v>0.70710678118654757</v>
      </c>
      <c r="BH57" s="160">
        <f t="shared" si="37"/>
        <v>0.10903310549768006</v>
      </c>
      <c r="BI57" s="200"/>
      <c r="BJ57" s="462"/>
      <c r="BK57" s="462"/>
      <c r="BL57" s="462"/>
      <c r="BM57" s="463"/>
      <c r="BN57" s="463"/>
      <c r="BO57" s="463"/>
      <c r="BP57" s="462"/>
      <c r="BQ57" s="462"/>
      <c r="BR57" s="462"/>
      <c r="BS57" s="462"/>
      <c r="BT57" s="462"/>
      <c r="BU57" s="462"/>
      <c r="BV57" s="462"/>
      <c r="BW57" s="462"/>
      <c r="BX57" s="462"/>
      <c r="BY57" s="462"/>
      <c r="BZ57" s="462"/>
      <c r="CA57" s="462"/>
      <c r="CB57" s="464"/>
      <c r="CC57" s="462"/>
      <c r="CD57" s="462"/>
      <c r="CE57" s="464"/>
      <c r="CF57" s="464"/>
      <c r="CG57" s="464"/>
      <c r="CH57" s="464"/>
      <c r="CI57" s="462"/>
      <c r="CJ57" s="462"/>
      <c r="CK57" s="464"/>
      <c r="CL57" s="464"/>
      <c r="CM57" s="464"/>
      <c r="CN57" s="357"/>
      <c r="CO57" s="346"/>
      <c r="CP57" s="346"/>
      <c r="CQ57" s="171"/>
      <c r="CR57" s="171"/>
      <c r="CS57" s="171"/>
      <c r="CT57" s="171"/>
      <c r="CU57" s="171"/>
      <c r="CV57" s="171"/>
      <c r="CW57" s="171"/>
      <c r="CX57" s="171"/>
      <c r="CY57" s="171"/>
      <c r="CZ57" s="171"/>
      <c r="DA57" s="171"/>
      <c r="DB57" s="171"/>
      <c r="DC57" s="171"/>
      <c r="DD57" s="171"/>
      <c r="DE57" s="171"/>
      <c r="DF57" s="171"/>
      <c r="DG57" s="171"/>
      <c r="DH57" s="171"/>
      <c r="DI57" s="171"/>
      <c r="DJ57" s="171"/>
      <c r="DK57" s="171"/>
      <c r="DL57" s="171"/>
      <c r="DM57" s="171"/>
      <c r="DN57" s="171"/>
      <c r="DO57" s="171"/>
      <c r="DP57" s="171"/>
      <c r="DQ57" s="171"/>
      <c r="DR57" s="171"/>
      <c r="DS57" s="171"/>
      <c r="DT57" s="171"/>
      <c r="DU57" s="171"/>
      <c r="DV57" s="171"/>
      <c r="DW57" s="170"/>
      <c r="DX57" s="170"/>
      <c r="DY57" s="170"/>
      <c r="DZ57" s="170"/>
      <c r="EA57" s="170"/>
      <c r="EB57" s="170"/>
      <c r="EC57" s="170"/>
      <c r="ED57" s="170"/>
    </row>
    <row r="58" spans="1:134" s="147" customFormat="1" x14ac:dyDescent="0.25">
      <c r="A58" s="146"/>
      <c r="B58" s="752"/>
      <c r="C58" s="111" t="s">
        <v>557</v>
      </c>
      <c r="D58" s="205" t="str">
        <f t="shared" si="101"/>
        <v>kg</v>
      </c>
      <c r="E58" s="641">
        <v>803.50000000000045</v>
      </c>
      <c r="F58" s="641"/>
      <c r="G58" s="641"/>
      <c r="H58" s="641"/>
      <c r="I58" s="91"/>
      <c r="J58" s="91"/>
      <c r="K58" s="91"/>
      <c r="L58" s="143"/>
      <c r="M58" s="143"/>
      <c r="N58" s="143"/>
      <c r="O58" s="143"/>
      <c r="P58" s="143"/>
      <c r="Q58" s="206">
        <f t="shared" si="102"/>
        <v>803.50000000000045</v>
      </c>
      <c r="R58" s="205">
        <f t="shared" si="103"/>
        <v>1</v>
      </c>
      <c r="S58" s="206">
        <f t="shared" si="104"/>
        <v>0</v>
      </c>
      <c r="T58" s="206">
        <f t="shared" si="105"/>
        <v>0</v>
      </c>
      <c r="U58" s="206">
        <f t="shared" si="106"/>
        <v>0</v>
      </c>
      <c r="V58" s="92"/>
      <c r="W58" s="207">
        <f t="shared" si="107"/>
        <v>0.5</v>
      </c>
      <c r="X58" s="208">
        <v>0</v>
      </c>
      <c r="Y58" s="209">
        <v>0</v>
      </c>
      <c r="Z58" s="207">
        <v>0</v>
      </c>
      <c r="AA58" s="210">
        <f t="shared" si="108"/>
        <v>0</v>
      </c>
      <c r="AB58" s="210">
        <f t="shared" si="109"/>
        <v>0</v>
      </c>
      <c r="AC58" s="207">
        <f t="shared" si="110"/>
        <v>0</v>
      </c>
      <c r="AD58" s="210">
        <f t="shared" si="111"/>
        <v>0</v>
      </c>
      <c r="AE58" s="211">
        <v>0</v>
      </c>
      <c r="AF58" s="209">
        <v>0</v>
      </c>
      <c r="AG58" s="207">
        <v>0</v>
      </c>
      <c r="AH58" s="212">
        <f t="shared" si="112"/>
        <v>0</v>
      </c>
      <c r="AI58" s="212">
        <f t="shared" si="113"/>
        <v>0</v>
      </c>
      <c r="AJ58" s="207">
        <f t="shared" si="114"/>
        <v>0</v>
      </c>
      <c r="AK58" s="210">
        <f t="shared" si="115"/>
        <v>0</v>
      </c>
      <c r="AL58" s="211">
        <v>0</v>
      </c>
      <c r="AM58" s="209">
        <v>0</v>
      </c>
      <c r="AN58" s="207">
        <v>0</v>
      </c>
      <c r="AO58" s="212">
        <f>(W58*AL58)/1000</f>
        <v>0</v>
      </c>
      <c r="AP58" s="212">
        <f t="shared" si="117"/>
        <v>0</v>
      </c>
      <c r="AQ58" s="207">
        <f t="shared" si="118"/>
        <v>0</v>
      </c>
      <c r="AR58" s="210">
        <f t="shared" si="119"/>
        <v>0</v>
      </c>
      <c r="AS58" s="213">
        <f>VLOOKUP($C58,$BI$195:$CM$609,3,FALSE)</f>
        <v>79</v>
      </c>
      <c r="AT58" s="209" t="str">
        <f>VLOOKUP($C58,$BI$195:$CM$609,4,FALSE)</f>
        <v>kgCO2e/kg</v>
      </c>
      <c r="AU58" s="207">
        <f>IF($Q58&gt;0,VLOOKUP($C58,$BI$195:$CM$609,6,FALSE),0)</f>
        <v>0.5</v>
      </c>
      <c r="AV58" s="212">
        <f t="shared" si="123"/>
        <v>63.476500000000037</v>
      </c>
      <c r="AW58" s="207">
        <f t="shared" si="124"/>
        <v>0.70710678118654757</v>
      </c>
      <c r="AX58" s="210">
        <f t="shared" si="129"/>
        <v>2014.633026125003</v>
      </c>
      <c r="AY58" s="213">
        <v>0</v>
      </c>
      <c r="AZ58" s="209">
        <v>0</v>
      </c>
      <c r="BA58" s="207">
        <v>0</v>
      </c>
      <c r="BB58" s="212">
        <f t="shared" si="130"/>
        <v>0</v>
      </c>
      <c r="BC58" s="212">
        <f t="shared" si="125"/>
        <v>0</v>
      </c>
      <c r="BD58" s="207">
        <v>0</v>
      </c>
      <c r="BE58" s="210">
        <f t="shared" si="126"/>
        <v>0</v>
      </c>
      <c r="BF58" s="206">
        <f t="shared" si="127"/>
        <v>63.476500000000037</v>
      </c>
      <c r="BG58" s="214">
        <f t="shared" si="128"/>
        <v>0.70710678118654757</v>
      </c>
      <c r="BH58" s="160">
        <f t="shared" si="37"/>
        <v>2014.633026125003</v>
      </c>
      <c r="BI58" s="200"/>
      <c r="BJ58" s="462"/>
      <c r="BK58" s="462"/>
      <c r="BL58" s="462"/>
      <c r="BM58" s="463"/>
      <c r="BN58" s="463"/>
      <c r="BO58" s="463"/>
      <c r="BP58" s="462"/>
      <c r="BQ58" s="462"/>
      <c r="BR58" s="462"/>
      <c r="BS58" s="462"/>
      <c r="BT58" s="462"/>
      <c r="BU58" s="462"/>
      <c r="BV58" s="462"/>
      <c r="BW58" s="462"/>
      <c r="BX58" s="462"/>
      <c r="BY58" s="462"/>
      <c r="BZ58" s="462"/>
      <c r="CA58" s="462"/>
      <c r="CB58" s="464"/>
      <c r="CC58" s="462"/>
      <c r="CD58" s="462"/>
      <c r="CE58" s="464"/>
      <c r="CF58" s="464"/>
      <c r="CG58" s="464"/>
      <c r="CH58" s="464"/>
      <c r="CI58" s="462"/>
      <c r="CJ58" s="462"/>
      <c r="CK58" s="464"/>
      <c r="CL58" s="464"/>
      <c r="CM58" s="464"/>
      <c r="CN58" s="357"/>
      <c r="CO58" s="346"/>
      <c r="CP58" s="346"/>
      <c r="CQ58" s="171"/>
      <c r="CR58" s="171"/>
      <c r="CS58" s="171"/>
      <c r="CT58" s="171"/>
      <c r="CU58" s="171"/>
      <c r="CV58" s="171"/>
      <c r="CW58" s="171"/>
      <c r="CX58" s="171"/>
      <c r="CY58" s="171"/>
      <c r="CZ58" s="171"/>
      <c r="DA58" s="171"/>
      <c r="DB58" s="171"/>
      <c r="DC58" s="171"/>
      <c r="DD58" s="171"/>
      <c r="DE58" s="171"/>
      <c r="DF58" s="171"/>
      <c r="DG58" s="171"/>
      <c r="DH58" s="171"/>
      <c r="DI58" s="171"/>
      <c r="DJ58" s="171"/>
      <c r="DK58" s="171"/>
      <c r="DL58" s="171"/>
      <c r="DM58" s="171"/>
      <c r="DN58" s="171"/>
      <c r="DO58" s="171"/>
      <c r="DP58" s="171"/>
      <c r="DQ58" s="171"/>
      <c r="DR58" s="171"/>
      <c r="DS58" s="171"/>
      <c r="DT58" s="171"/>
      <c r="DU58" s="171"/>
      <c r="DV58" s="171"/>
      <c r="DW58" s="170"/>
      <c r="DX58" s="170"/>
      <c r="DY58" s="170"/>
      <c r="DZ58" s="170"/>
      <c r="EA58" s="170"/>
      <c r="EB58" s="170"/>
      <c r="EC58" s="170"/>
      <c r="ED58" s="170"/>
    </row>
    <row r="59" spans="1:134" s="147" customFormat="1" hidden="1" x14ac:dyDescent="0.25">
      <c r="A59" s="146"/>
      <c r="B59" s="751" t="s">
        <v>842</v>
      </c>
      <c r="C59" s="111"/>
      <c r="D59" s="205">
        <f t="shared" si="101"/>
        <v>0</v>
      </c>
      <c r="E59" s="91"/>
      <c r="F59" s="91"/>
      <c r="G59" s="91"/>
      <c r="H59" s="91"/>
      <c r="I59" s="91"/>
      <c r="J59" s="91"/>
      <c r="K59" s="91"/>
      <c r="L59" s="143"/>
      <c r="M59" s="143"/>
      <c r="N59" s="143"/>
      <c r="O59" s="143"/>
      <c r="P59" s="143"/>
      <c r="Q59" s="206">
        <f t="shared" si="102"/>
        <v>0</v>
      </c>
      <c r="R59" s="205">
        <f t="shared" si="103"/>
        <v>0</v>
      </c>
      <c r="S59" s="206">
        <f t="shared" si="104"/>
        <v>0</v>
      </c>
      <c r="T59" s="206">
        <f t="shared" si="105"/>
        <v>0</v>
      </c>
      <c r="U59" s="206">
        <f t="shared" si="106"/>
        <v>0</v>
      </c>
      <c r="V59" s="92"/>
      <c r="W59" s="207">
        <f t="shared" si="107"/>
        <v>0</v>
      </c>
      <c r="X59" s="208">
        <f>VLOOKUP($C59,$BI$195:$CM$609,3,FALSE)</f>
        <v>0</v>
      </c>
      <c r="Y59" s="209">
        <f>VLOOKUP($C59,$BI$195:$CM$609,4,FALSE)</f>
        <v>0</v>
      </c>
      <c r="Z59" s="207">
        <f>IF($Q59&gt;0,VLOOKUP($C59,$BI$195:$CM$609,6,FALSE),0)</f>
        <v>0</v>
      </c>
      <c r="AA59" s="210">
        <f t="shared" si="108"/>
        <v>0</v>
      </c>
      <c r="AB59" s="210">
        <f t="shared" si="109"/>
        <v>0</v>
      </c>
      <c r="AC59" s="207">
        <f t="shared" si="110"/>
        <v>0</v>
      </c>
      <c r="AD59" s="210">
        <f t="shared" si="111"/>
        <v>0</v>
      </c>
      <c r="AE59" s="211">
        <v>0</v>
      </c>
      <c r="AF59" s="209">
        <v>0</v>
      </c>
      <c r="AG59" s="207">
        <v>0</v>
      </c>
      <c r="AH59" s="212">
        <f t="shared" si="112"/>
        <v>0</v>
      </c>
      <c r="AI59" s="212">
        <f t="shared" si="113"/>
        <v>0</v>
      </c>
      <c r="AJ59" s="207">
        <f t="shared" si="114"/>
        <v>0</v>
      </c>
      <c r="AK59" s="210">
        <f t="shared" si="115"/>
        <v>0</v>
      </c>
      <c r="AL59" s="211">
        <v>0</v>
      </c>
      <c r="AM59" s="209">
        <v>0</v>
      </c>
      <c r="AN59" s="207">
        <v>0</v>
      </c>
      <c r="AO59" s="212">
        <f>($Q59*AL59)/1000</f>
        <v>0</v>
      </c>
      <c r="AP59" s="212">
        <f t="shared" si="117"/>
        <v>0</v>
      </c>
      <c r="AQ59" s="207">
        <f t="shared" si="118"/>
        <v>0</v>
      </c>
      <c r="AR59" s="210">
        <f t="shared" si="119"/>
        <v>0</v>
      </c>
      <c r="AS59" s="213">
        <v>0</v>
      </c>
      <c r="AT59" s="209">
        <v>0</v>
      </c>
      <c r="AU59" s="207">
        <v>0</v>
      </c>
      <c r="AV59" s="212">
        <f t="shared" si="123"/>
        <v>0</v>
      </c>
      <c r="AW59" s="207">
        <f t="shared" si="124"/>
        <v>0</v>
      </c>
      <c r="AX59" s="210">
        <f t="shared" si="129"/>
        <v>0</v>
      </c>
      <c r="AY59" s="213">
        <v>0</v>
      </c>
      <c r="AZ59" s="209">
        <v>0</v>
      </c>
      <c r="BA59" s="207">
        <v>0</v>
      </c>
      <c r="BB59" s="212">
        <f t="shared" si="130"/>
        <v>0</v>
      </c>
      <c r="BC59" s="212">
        <f t="shared" si="125"/>
        <v>0</v>
      </c>
      <c r="BD59" s="207">
        <f>IF(BB59&gt;0,SQRT(($W59*$W59)+(BA59*BA59)+($V59*$V59)),0)</f>
        <v>0</v>
      </c>
      <c r="BE59" s="210">
        <f t="shared" si="126"/>
        <v>0</v>
      </c>
      <c r="BF59" s="206">
        <f t="shared" si="127"/>
        <v>0</v>
      </c>
      <c r="BG59" s="214">
        <f t="shared" si="128"/>
        <v>0</v>
      </c>
      <c r="BH59" s="160">
        <f t="shared" si="37"/>
        <v>0</v>
      </c>
      <c r="BI59" s="200"/>
      <c r="BJ59" s="462"/>
      <c r="BK59" s="462"/>
      <c r="BL59" s="462"/>
      <c r="BM59" s="463"/>
      <c r="BN59" s="463"/>
      <c r="BO59" s="463"/>
      <c r="BP59" s="462"/>
      <c r="BQ59" s="462"/>
      <c r="BR59" s="462"/>
      <c r="BS59" s="462"/>
      <c r="BT59" s="462"/>
      <c r="BU59" s="462"/>
      <c r="BV59" s="462"/>
      <c r="BW59" s="462"/>
      <c r="BX59" s="462"/>
      <c r="BY59" s="462"/>
      <c r="BZ59" s="462"/>
      <c r="CA59" s="462"/>
      <c r="CB59" s="464"/>
      <c r="CC59" s="462"/>
      <c r="CD59" s="462"/>
      <c r="CE59" s="464"/>
      <c r="CF59" s="464"/>
      <c r="CG59" s="464"/>
      <c r="CH59" s="464"/>
      <c r="CI59" s="462"/>
      <c r="CJ59" s="462"/>
      <c r="CK59" s="464"/>
      <c r="CL59" s="464"/>
      <c r="CM59" s="464"/>
      <c r="CN59" s="357"/>
      <c r="CO59" s="346"/>
      <c r="CP59" s="346"/>
      <c r="CQ59" s="171"/>
      <c r="CR59" s="171"/>
      <c r="CS59" s="171"/>
      <c r="CT59" s="171"/>
      <c r="CU59" s="171"/>
      <c r="CV59" s="171"/>
      <c r="CW59" s="171"/>
      <c r="CX59" s="171"/>
      <c r="CY59" s="171"/>
      <c r="CZ59" s="171"/>
      <c r="DA59" s="171"/>
      <c r="DB59" s="171"/>
      <c r="DC59" s="171"/>
      <c r="DD59" s="171"/>
      <c r="DE59" s="171"/>
      <c r="DF59" s="171"/>
      <c r="DG59" s="171"/>
      <c r="DH59" s="171"/>
      <c r="DI59" s="171"/>
      <c r="DJ59" s="171"/>
      <c r="DK59" s="171"/>
      <c r="DL59" s="171"/>
      <c r="DM59" s="171"/>
      <c r="DN59" s="171"/>
      <c r="DO59" s="171"/>
      <c r="DP59" s="171"/>
      <c r="DQ59" s="171"/>
      <c r="DR59" s="171"/>
      <c r="DS59" s="171"/>
      <c r="DT59" s="171"/>
      <c r="DU59" s="171"/>
      <c r="DV59" s="171"/>
      <c r="DW59" s="170"/>
      <c r="DX59" s="170"/>
      <c r="DY59" s="170"/>
      <c r="DZ59" s="170"/>
      <c r="EA59" s="170"/>
      <c r="EB59" s="170"/>
      <c r="EC59" s="170"/>
      <c r="ED59" s="170"/>
    </row>
    <row r="60" spans="1:134" s="147" customFormat="1" hidden="1" x14ac:dyDescent="0.25">
      <c r="A60" s="146"/>
      <c r="B60" s="752"/>
      <c r="C60" s="111"/>
      <c r="D60" s="205">
        <f t="shared" si="101"/>
        <v>0</v>
      </c>
      <c r="E60" s="91"/>
      <c r="F60" s="91"/>
      <c r="G60" s="91"/>
      <c r="H60" s="91"/>
      <c r="I60" s="91"/>
      <c r="J60" s="91"/>
      <c r="K60" s="143"/>
      <c r="L60" s="143"/>
      <c r="M60" s="143"/>
      <c r="N60" s="143"/>
      <c r="O60" s="143"/>
      <c r="P60" s="143"/>
      <c r="Q60" s="206">
        <f t="shared" si="102"/>
        <v>0</v>
      </c>
      <c r="R60" s="205">
        <f t="shared" si="103"/>
        <v>0</v>
      </c>
      <c r="S60" s="206">
        <f t="shared" si="104"/>
        <v>0</v>
      </c>
      <c r="T60" s="206">
        <f t="shared" si="105"/>
        <v>0</v>
      </c>
      <c r="U60" s="206">
        <f t="shared" si="106"/>
        <v>0</v>
      </c>
      <c r="V60" s="92"/>
      <c r="W60" s="207">
        <f t="shared" si="107"/>
        <v>0</v>
      </c>
      <c r="X60" s="208">
        <f>VLOOKUP($C60,$BI$195:$CM$609,3,FALSE)</f>
        <v>0</v>
      </c>
      <c r="Y60" s="209">
        <f>VLOOKUP($C60,$BI$195:$CM$609,4,FALSE)</f>
        <v>0</v>
      </c>
      <c r="Z60" s="207">
        <f>IF($Q60&gt;0,VLOOKUP($C60,$BI$195:$CM$609,6,FALSE),0)</f>
        <v>0</v>
      </c>
      <c r="AA60" s="210">
        <f t="shared" si="108"/>
        <v>0</v>
      </c>
      <c r="AB60" s="210">
        <f t="shared" si="109"/>
        <v>0</v>
      </c>
      <c r="AC60" s="207">
        <f t="shared" si="110"/>
        <v>0</v>
      </c>
      <c r="AD60" s="210">
        <f t="shared" si="111"/>
        <v>0</v>
      </c>
      <c r="AE60" s="211">
        <v>0</v>
      </c>
      <c r="AF60" s="209">
        <v>0</v>
      </c>
      <c r="AG60" s="207">
        <v>0</v>
      </c>
      <c r="AH60" s="212">
        <f t="shared" si="112"/>
        <v>0</v>
      </c>
      <c r="AI60" s="212">
        <f t="shared" si="113"/>
        <v>0</v>
      </c>
      <c r="AJ60" s="207">
        <f t="shared" si="114"/>
        <v>0</v>
      </c>
      <c r="AK60" s="210">
        <f t="shared" si="115"/>
        <v>0</v>
      </c>
      <c r="AL60" s="211">
        <v>0</v>
      </c>
      <c r="AM60" s="209">
        <v>0</v>
      </c>
      <c r="AN60" s="207">
        <v>0</v>
      </c>
      <c r="AO60" s="212">
        <f>($Q60*AL60)/1000</f>
        <v>0</v>
      </c>
      <c r="AP60" s="212">
        <f t="shared" si="117"/>
        <v>0</v>
      </c>
      <c r="AQ60" s="207">
        <f t="shared" si="118"/>
        <v>0</v>
      </c>
      <c r="AR60" s="210">
        <f t="shared" si="119"/>
        <v>0</v>
      </c>
      <c r="AS60" s="213">
        <v>0</v>
      </c>
      <c r="AT60" s="209">
        <v>0</v>
      </c>
      <c r="AU60" s="207">
        <v>0</v>
      </c>
      <c r="AV60" s="212">
        <f t="shared" si="123"/>
        <v>0</v>
      </c>
      <c r="AW60" s="207">
        <f t="shared" si="124"/>
        <v>0</v>
      </c>
      <c r="AX60" s="210">
        <f t="shared" si="129"/>
        <v>0</v>
      </c>
      <c r="AY60" s="213">
        <v>0</v>
      </c>
      <c r="AZ60" s="209">
        <v>0</v>
      </c>
      <c r="BA60" s="207">
        <v>0</v>
      </c>
      <c r="BB60" s="212">
        <f t="shared" si="130"/>
        <v>0</v>
      </c>
      <c r="BC60" s="212">
        <f t="shared" si="125"/>
        <v>0</v>
      </c>
      <c r="BD60" s="207">
        <f>IF(BB60&gt;0,SQRT(($W60*$W60)+(BA60*BA60)+($V60*$V60)),0)</f>
        <v>0</v>
      </c>
      <c r="BE60" s="210">
        <f t="shared" si="126"/>
        <v>0</v>
      </c>
      <c r="BF60" s="206">
        <f t="shared" si="127"/>
        <v>0</v>
      </c>
      <c r="BG60" s="214">
        <f t="shared" si="128"/>
        <v>0</v>
      </c>
      <c r="BH60" s="160">
        <f t="shared" si="37"/>
        <v>0</v>
      </c>
      <c r="BI60" s="200"/>
      <c r="BJ60" s="462"/>
      <c r="BK60" s="462"/>
      <c r="BL60" s="462"/>
      <c r="BM60" s="463"/>
      <c r="BN60" s="463"/>
      <c r="BO60" s="463"/>
      <c r="BP60" s="462"/>
      <c r="BQ60" s="462"/>
      <c r="BR60" s="462"/>
      <c r="BS60" s="462"/>
      <c r="BT60" s="462"/>
      <c r="BU60" s="462"/>
      <c r="BV60" s="462"/>
      <c r="BW60" s="462"/>
      <c r="BX60" s="462"/>
      <c r="BY60" s="462"/>
      <c r="BZ60" s="462"/>
      <c r="CA60" s="462"/>
      <c r="CB60" s="464"/>
      <c r="CC60" s="462"/>
      <c r="CD60" s="462"/>
      <c r="CE60" s="464"/>
      <c r="CF60" s="464"/>
      <c r="CG60" s="464"/>
      <c r="CH60" s="464"/>
      <c r="CI60" s="462"/>
      <c r="CJ60" s="462"/>
      <c r="CK60" s="464"/>
      <c r="CL60" s="464"/>
      <c r="CM60" s="464"/>
      <c r="CN60" s="357"/>
      <c r="CO60" s="346"/>
      <c r="CP60" s="346"/>
      <c r="CQ60" s="171"/>
      <c r="CR60" s="171"/>
      <c r="CS60" s="171"/>
      <c r="CT60" s="171"/>
      <c r="CU60" s="171"/>
      <c r="CV60" s="171"/>
      <c r="CW60" s="171"/>
      <c r="CX60" s="171"/>
      <c r="CY60" s="171"/>
      <c r="CZ60" s="171"/>
      <c r="DA60" s="171"/>
      <c r="DB60" s="171"/>
      <c r="DC60" s="171"/>
      <c r="DD60" s="171"/>
      <c r="DE60" s="171"/>
      <c r="DF60" s="171"/>
      <c r="DG60" s="171"/>
      <c r="DH60" s="171"/>
      <c r="DI60" s="171"/>
      <c r="DJ60" s="171"/>
      <c r="DK60" s="171"/>
      <c r="DL60" s="171"/>
      <c r="DM60" s="171"/>
      <c r="DN60" s="171"/>
      <c r="DO60" s="171"/>
      <c r="DP60" s="171"/>
      <c r="DQ60" s="171"/>
      <c r="DR60" s="171"/>
      <c r="DS60" s="171"/>
      <c r="DT60" s="171"/>
      <c r="DU60" s="171"/>
      <c r="DV60" s="171"/>
      <c r="DW60" s="170"/>
      <c r="DX60" s="170"/>
      <c r="DY60" s="170"/>
      <c r="DZ60" s="170"/>
      <c r="EA60" s="170"/>
      <c r="EB60" s="170"/>
      <c r="EC60" s="170"/>
      <c r="ED60" s="170"/>
    </row>
    <row r="61" spans="1:134" s="147" customFormat="1" hidden="1" x14ac:dyDescent="0.25">
      <c r="A61" s="146"/>
      <c r="B61" s="246" t="s">
        <v>311</v>
      </c>
      <c r="C61" s="111"/>
      <c r="D61" s="205">
        <f t="shared" si="101"/>
        <v>0</v>
      </c>
      <c r="E61" s="91"/>
      <c r="F61" s="91"/>
      <c r="G61" s="91"/>
      <c r="H61" s="91"/>
      <c r="I61" s="91"/>
      <c r="J61" s="91"/>
      <c r="K61" s="143"/>
      <c r="L61" s="143"/>
      <c r="M61" s="143"/>
      <c r="N61" s="143"/>
      <c r="O61" s="143"/>
      <c r="P61" s="143"/>
      <c r="Q61" s="206">
        <f>SUM(E61:P61)</f>
        <v>0</v>
      </c>
      <c r="R61" s="205">
        <f>COUNT(E61:P61)</f>
        <v>0</v>
      </c>
      <c r="S61" s="206">
        <f>IF(R61&gt;1,AVERAGE(E61:P61),0)</f>
        <v>0</v>
      </c>
      <c r="T61" s="206">
        <f>IF(R61&gt;1,STDEV(E61:P61),0)</f>
        <v>0</v>
      </c>
      <c r="U61" s="206">
        <f t="shared" si="106"/>
        <v>0</v>
      </c>
      <c r="V61" s="92"/>
      <c r="W61" s="207">
        <f t="shared" si="107"/>
        <v>0</v>
      </c>
      <c r="X61" s="208">
        <f>VLOOKUP($C61,$BI$195:$CM$609,3,FALSE)</f>
        <v>0</v>
      </c>
      <c r="Y61" s="209">
        <f>VLOOKUP($C61,$BI$195:$CM$609,4,FALSE)</f>
        <v>0</v>
      </c>
      <c r="Z61" s="207">
        <f>IF($Q61&gt;0,VLOOKUP($C61,$BI$195:$CM$609,6,FALSE),0)</f>
        <v>0</v>
      </c>
      <c r="AA61" s="210">
        <f>($Q61*X61)/1000</f>
        <v>0</v>
      </c>
      <c r="AB61" s="210">
        <f t="shared" si="109"/>
        <v>0</v>
      </c>
      <c r="AC61" s="207">
        <f>IF(AA61&gt;0,SQRT(($W61*$W61)+(Z61*Z61)+($V61*$V61)),0)</f>
        <v>0</v>
      </c>
      <c r="AD61" s="210">
        <f>(AB61*AC61)^2</f>
        <v>0</v>
      </c>
      <c r="AE61" s="211">
        <v>0</v>
      </c>
      <c r="AF61" s="209">
        <v>0</v>
      </c>
      <c r="AG61" s="207">
        <v>0</v>
      </c>
      <c r="AH61" s="212">
        <f>($Q61*AE61)/1000</f>
        <v>0</v>
      </c>
      <c r="AI61" s="212">
        <f t="shared" si="113"/>
        <v>0</v>
      </c>
      <c r="AJ61" s="207">
        <f>IF(AH61&gt;0,SQRT(($W61*$W61)+(AG61*AG61)+($V61*$V61)),0)</f>
        <v>0</v>
      </c>
      <c r="AK61" s="210">
        <f>(AI61*AJ61)^2</f>
        <v>0</v>
      </c>
      <c r="AL61" s="211">
        <v>0</v>
      </c>
      <c r="AM61" s="209">
        <v>0</v>
      </c>
      <c r="AN61" s="207">
        <v>0</v>
      </c>
      <c r="AO61" s="212">
        <f>($Q61*AL61)/1000</f>
        <v>0</v>
      </c>
      <c r="AP61" s="212">
        <f t="shared" si="117"/>
        <v>0</v>
      </c>
      <c r="AQ61" s="207">
        <f>IF(AO61&gt;0,SQRT(($W61*$W61)+(AN61*AN61)+($V61*$V61)),0)</f>
        <v>0</v>
      </c>
      <c r="AR61" s="210">
        <f>(AP61*AQ61)^2</f>
        <v>0</v>
      </c>
      <c r="AS61" s="213">
        <v>0</v>
      </c>
      <c r="AT61" s="209">
        <v>0</v>
      </c>
      <c r="AU61" s="207">
        <v>0</v>
      </c>
      <c r="AV61" s="212">
        <f t="shared" si="123"/>
        <v>0</v>
      </c>
      <c r="AW61" s="207">
        <f t="shared" si="124"/>
        <v>0</v>
      </c>
      <c r="AX61" s="210">
        <f>(AV61*AW61)^2</f>
        <v>0</v>
      </c>
      <c r="AY61" s="213">
        <v>0</v>
      </c>
      <c r="AZ61" s="209">
        <v>0</v>
      </c>
      <c r="BA61" s="207">
        <v>0</v>
      </c>
      <c r="BB61" s="212">
        <f>($Q61*AY61)/1000</f>
        <v>0</v>
      </c>
      <c r="BC61" s="212">
        <f t="shared" si="125"/>
        <v>0</v>
      </c>
      <c r="BD61" s="207">
        <f>IF(BB61&gt;0,SQRT(($W61*$W61)+(BA61*BA61)+($V61*$V61)),0)</f>
        <v>0</v>
      </c>
      <c r="BE61" s="210">
        <f>(BC61*BD61)^2</f>
        <v>0</v>
      </c>
      <c r="BF61" s="206">
        <f t="shared" si="127"/>
        <v>0</v>
      </c>
      <c r="BG61" s="214">
        <f t="shared" si="128"/>
        <v>0</v>
      </c>
      <c r="BH61" s="160">
        <f t="shared" si="37"/>
        <v>0</v>
      </c>
      <c r="BI61" s="200"/>
      <c r="BJ61" s="462"/>
      <c r="BK61" s="462"/>
      <c r="BL61" s="462"/>
      <c r="BM61" s="463"/>
      <c r="BN61" s="463"/>
      <c r="BO61" s="463"/>
      <c r="BP61" s="462"/>
      <c r="BQ61" s="462"/>
      <c r="BR61" s="462"/>
      <c r="BS61" s="462"/>
      <c r="BT61" s="462"/>
      <c r="BU61" s="462"/>
      <c r="BV61" s="462"/>
      <c r="BW61" s="462"/>
      <c r="BX61" s="462"/>
      <c r="BY61" s="462"/>
      <c r="BZ61" s="462"/>
      <c r="CA61" s="462"/>
      <c r="CB61" s="464"/>
      <c r="CC61" s="462"/>
      <c r="CD61" s="462"/>
      <c r="CE61" s="464"/>
      <c r="CF61" s="464"/>
      <c r="CG61" s="464"/>
      <c r="CH61" s="464"/>
      <c r="CI61" s="462"/>
      <c r="CJ61" s="462"/>
      <c r="CK61" s="464"/>
      <c r="CL61" s="464"/>
      <c r="CM61" s="464"/>
      <c r="CN61" s="357"/>
      <c r="CO61" s="346"/>
      <c r="CP61" s="346"/>
      <c r="CQ61" s="171"/>
      <c r="CR61" s="171"/>
      <c r="CS61" s="171"/>
      <c r="CT61" s="171"/>
      <c r="CU61" s="171"/>
      <c r="CV61" s="171"/>
      <c r="CW61" s="171"/>
      <c r="CX61" s="171"/>
      <c r="CY61" s="171"/>
      <c r="CZ61" s="171"/>
      <c r="DA61" s="171"/>
      <c r="DB61" s="171"/>
      <c r="DC61" s="171"/>
      <c r="DD61" s="171"/>
      <c r="DE61" s="171"/>
      <c r="DF61" s="171"/>
      <c r="DG61" s="171"/>
      <c r="DH61" s="171"/>
      <c r="DI61" s="171"/>
      <c r="DJ61" s="171"/>
      <c r="DK61" s="171"/>
      <c r="DL61" s="171"/>
      <c r="DM61" s="171"/>
      <c r="DN61" s="171"/>
      <c r="DO61" s="171"/>
      <c r="DP61" s="171"/>
      <c r="DQ61" s="171"/>
      <c r="DR61" s="171"/>
      <c r="DS61" s="171"/>
      <c r="DT61" s="171"/>
      <c r="DU61" s="171"/>
      <c r="DV61" s="171"/>
      <c r="DW61" s="170"/>
      <c r="DX61" s="170"/>
      <c r="DY61" s="170"/>
      <c r="DZ61" s="170"/>
      <c r="EA61" s="170"/>
      <c r="EB61" s="170"/>
      <c r="EC61" s="170"/>
      <c r="ED61" s="170"/>
    </row>
    <row r="62" spans="1:134" s="147" customFormat="1" x14ac:dyDescent="0.25">
      <c r="A62" s="146"/>
      <c r="B62" s="246" t="s">
        <v>463</v>
      </c>
      <c r="C62" s="111" t="s">
        <v>76</v>
      </c>
      <c r="D62" s="205" t="str">
        <f t="shared" si="101"/>
        <v>kg</v>
      </c>
      <c r="E62" s="91"/>
      <c r="F62" s="91"/>
      <c r="G62" s="91"/>
      <c r="H62" s="91"/>
      <c r="I62" s="91"/>
      <c r="J62" s="91"/>
      <c r="K62" s="91"/>
      <c r="L62" s="91"/>
      <c r="M62" s="91"/>
      <c r="N62" s="91"/>
      <c r="O62" s="91"/>
      <c r="P62" s="91"/>
      <c r="Q62" s="206">
        <f>SUM(E62:P62)</f>
        <v>0</v>
      </c>
      <c r="R62" s="205">
        <f>COUNT(E62:P62)</f>
        <v>0</v>
      </c>
      <c r="S62" s="206">
        <f>IF(R62&gt;1,AVERAGE(E62:P62),0)</f>
        <v>0</v>
      </c>
      <c r="T62" s="206">
        <f>IF(R62&gt;1,STDEV(E62:P62),0)</f>
        <v>0</v>
      </c>
      <c r="U62" s="206">
        <f t="shared" si="106"/>
        <v>0</v>
      </c>
      <c r="V62" s="92"/>
      <c r="W62" s="207">
        <f t="shared" si="107"/>
        <v>0.5</v>
      </c>
      <c r="X62" s="208">
        <v>0</v>
      </c>
      <c r="Y62" s="209">
        <v>0</v>
      </c>
      <c r="Z62" s="207">
        <v>0</v>
      </c>
      <c r="AA62" s="210">
        <f>($Q62*X62)/1000</f>
        <v>0</v>
      </c>
      <c r="AB62" s="210">
        <f t="shared" si="109"/>
        <v>0</v>
      </c>
      <c r="AC62" s="207">
        <f>IF(AA62&gt;0,SQRT(($W62*$W62)+(BA62*BA62)+($V62*$V62)),0)</f>
        <v>0</v>
      </c>
      <c r="AD62" s="210">
        <f>(AB62*AC62)^2</f>
        <v>0</v>
      </c>
      <c r="AE62" s="211">
        <v>0</v>
      </c>
      <c r="AF62" s="209">
        <v>0</v>
      </c>
      <c r="AG62" s="207">
        <v>0</v>
      </c>
      <c r="AH62" s="212">
        <f>($Q62*AE62)/1000</f>
        <v>0</v>
      </c>
      <c r="AI62" s="212">
        <f t="shared" si="113"/>
        <v>0</v>
      </c>
      <c r="AJ62" s="207">
        <f>IF(AH62&gt;0,SQRT(($W62*$W62)+(AG62*AG62)+($V62*$V62)),0)</f>
        <v>0</v>
      </c>
      <c r="AK62" s="210">
        <f>(AI62*AJ62)^2</f>
        <v>0</v>
      </c>
      <c r="AL62" s="211">
        <v>0</v>
      </c>
      <c r="AM62" s="209">
        <v>0</v>
      </c>
      <c r="AN62" s="207">
        <v>0</v>
      </c>
      <c r="AO62" s="212">
        <f>($Q62*AL62)/1000</f>
        <v>0</v>
      </c>
      <c r="AP62" s="212">
        <f t="shared" si="117"/>
        <v>0</v>
      </c>
      <c r="AQ62" s="207">
        <f>IF(AO62&gt;0,SQRT(($W62*$W62)+(AN62*AN62)+($V62*$V62)),0)</f>
        <v>0</v>
      </c>
      <c r="AR62" s="210">
        <f>(AP62*AQ62)^2</f>
        <v>0</v>
      </c>
      <c r="AS62" s="213">
        <v>0</v>
      </c>
      <c r="AT62" s="209">
        <v>0</v>
      </c>
      <c r="AU62" s="207">
        <v>0</v>
      </c>
      <c r="AV62" s="212">
        <f t="shared" si="123"/>
        <v>0</v>
      </c>
      <c r="AW62" s="207">
        <f t="shared" si="124"/>
        <v>0</v>
      </c>
      <c r="AX62" s="210">
        <f>(AV62*AW62)^2</f>
        <v>0</v>
      </c>
      <c r="AY62" s="208">
        <f>VLOOKUP($C62,$BI$195:$CM$609,3,FALSE)/BJ550</f>
        <v>1</v>
      </c>
      <c r="AZ62" s="209" t="str">
        <f>VLOOKUP($C62,$BI$195:$CM$609,4,FALSE)</f>
        <v>kgCO2e/kg</v>
      </c>
      <c r="BA62" s="207">
        <f>IF($Q62&gt;0,VLOOKUP($C62,$BI$195:$CM$609,6,FALSE),0)</f>
        <v>0</v>
      </c>
      <c r="BB62" s="212">
        <f>($Q62*AY62)/1000</f>
        <v>0</v>
      </c>
      <c r="BC62" s="212">
        <f t="shared" si="125"/>
        <v>0</v>
      </c>
      <c r="BD62" s="207">
        <f>IF(BB62&gt;0,SQRT(($W62*$W62)+(BA62*BA62)+($V62*$V62)),0)</f>
        <v>0</v>
      </c>
      <c r="BE62" s="210">
        <f>(BC62*BD62)^2</f>
        <v>0</v>
      </c>
      <c r="BF62" s="206">
        <f t="shared" si="127"/>
        <v>0</v>
      </c>
      <c r="BG62" s="214">
        <f t="shared" si="128"/>
        <v>0</v>
      </c>
      <c r="BH62" s="160">
        <f t="shared" si="37"/>
        <v>0</v>
      </c>
      <c r="BI62" s="200"/>
      <c r="BJ62" s="462"/>
      <c r="BK62" s="462"/>
      <c r="BL62" s="462"/>
      <c r="BM62" s="463"/>
      <c r="BN62" s="463"/>
      <c r="BO62" s="463"/>
      <c r="BP62" s="462"/>
      <c r="BQ62" s="462"/>
      <c r="BR62" s="462"/>
      <c r="BS62" s="462"/>
      <c r="BT62" s="462"/>
      <c r="BU62" s="462"/>
      <c r="BV62" s="462"/>
      <c r="BW62" s="462"/>
      <c r="BX62" s="462"/>
      <c r="BY62" s="462"/>
      <c r="BZ62" s="462"/>
      <c r="CA62" s="462"/>
      <c r="CB62" s="464"/>
      <c r="CC62" s="462"/>
      <c r="CD62" s="462"/>
      <c r="CE62" s="464"/>
      <c r="CF62" s="464"/>
      <c r="CG62" s="464"/>
      <c r="CH62" s="464"/>
      <c r="CI62" s="462"/>
      <c r="CJ62" s="462"/>
      <c r="CK62" s="464"/>
      <c r="CL62" s="464"/>
      <c r="CM62" s="464"/>
      <c r="CN62" s="357"/>
      <c r="CO62" s="346"/>
      <c r="CP62" s="346"/>
      <c r="CQ62" s="171"/>
      <c r="CR62" s="171"/>
      <c r="CS62" s="171"/>
      <c r="CT62" s="171"/>
      <c r="CU62" s="171"/>
      <c r="CV62" s="171"/>
      <c r="CW62" s="171"/>
      <c r="CX62" s="171"/>
      <c r="CY62" s="171"/>
      <c r="CZ62" s="171"/>
      <c r="DA62" s="171"/>
      <c r="DB62" s="171"/>
      <c r="DC62" s="171"/>
      <c r="DD62" s="171"/>
      <c r="DE62" s="171"/>
      <c r="DF62" s="171"/>
      <c r="DG62" s="171"/>
      <c r="DH62" s="171"/>
      <c r="DI62" s="171"/>
      <c r="DJ62" s="171"/>
      <c r="DK62" s="171"/>
      <c r="DL62" s="171"/>
      <c r="DM62" s="171"/>
      <c r="DN62" s="171"/>
      <c r="DO62" s="171"/>
      <c r="DP62" s="171"/>
      <c r="DQ62" s="171"/>
      <c r="DR62" s="171"/>
      <c r="DS62" s="171"/>
      <c r="DT62" s="171"/>
      <c r="DU62" s="171"/>
      <c r="DV62" s="171"/>
      <c r="DW62" s="170"/>
      <c r="DX62" s="170"/>
      <c r="DY62" s="170"/>
      <c r="DZ62" s="170"/>
      <c r="EA62" s="170"/>
      <c r="EB62" s="170"/>
      <c r="EC62" s="170"/>
      <c r="ED62" s="170"/>
    </row>
    <row r="63" spans="1:134" s="147" customFormat="1" ht="15.75" x14ac:dyDescent="0.25">
      <c r="A63" s="146"/>
      <c r="B63" s="247" t="s">
        <v>445</v>
      </c>
      <c r="C63" s="216"/>
      <c r="D63" s="216"/>
      <c r="E63" s="216"/>
      <c r="F63" s="216"/>
      <c r="G63" s="216"/>
      <c r="H63" s="216"/>
      <c r="I63" s="216"/>
      <c r="J63" s="216"/>
      <c r="K63" s="216"/>
      <c r="L63" s="216"/>
      <c r="M63" s="216"/>
      <c r="N63" s="216"/>
      <c r="O63" s="216"/>
      <c r="P63" s="216"/>
      <c r="Q63" s="216"/>
      <c r="R63" s="216"/>
      <c r="S63" s="216"/>
      <c r="T63" s="216"/>
      <c r="U63" s="216"/>
      <c r="V63" s="216"/>
      <c r="W63" s="216"/>
      <c r="X63" s="216"/>
      <c r="Y63" s="216"/>
      <c r="Z63" s="216"/>
      <c r="AA63" s="218"/>
      <c r="AB63" s="219">
        <f>SUM(AB51:AB62)</f>
        <v>0.4669756000000001</v>
      </c>
      <c r="AC63" s="220">
        <f>IF(AB63&gt;0,SQRT(SUM(AD51:AD62))/AB63,0)</f>
        <v>0.70710678118654757</v>
      </c>
      <c r="AD63" s="219">
        <f>(AB63*AC63)^2</f>
        <v>0.10903310549768006</v>
      </c>
      <c r="AE63" s="221"/>
      <c r="AF63" s="216"/>
      <c r="AG63" s="216"/>
      <c r="AH63" s="222"/>
      <c r="AI63" s="219">
        <f>SUM(AI51:AI62)</f>
        <v>0</v>
      </c>
      <c r="AJ63" s="220">
        <f>IF(AI63&gt;0,SQRT(SUM(AK51:AK62))/AI63,0)</f>
        <v>0</v>
      </c>
      <c r="AK63" s="219">
        <f>(AI63*AJ63)^2</f>
        <v>0</v>
      </c>
      <c r="AL63" s="216"/>
      <c r="AM63" s="216"/>
      <c r="AN63" s="216"/>
      <c r="AO63" s="216"/>
      <c r="AP63" s="219">
        <f>SUM(AP51:AP62)</f>
        <v>0</v>
      </c>
      <c r="AQ63" s="220">
        <f>IF(AP63&gt;0,SQRT(SUM(AR51:AR62))/AP63,0)</f>
        <v>0</v>
      </c>
      <c r="AR63" s="219">
        <f>(AP63*AQ63)^2</f>
        <v>0</v>
      </c>
      <c r="AS63" s="216"/>
      <c r="AT63" s="216"/>
      <c r="AU63" s="216"/>
      <c r="AV63" s="219">
        <f>SUM(AV51:AV62)</f>
        <v>94.563600000000037</v>
      </c>
      <c r="AW63" s="220">
        <f>IF(AV63&gt;0,SQRT(SUM(AX51:AX62))/AV63,0)</f>
        <v>0.50183457096061412</v>
      </c>
      <c r="AX63" s="219">
        <f>(AV63*AW63)^2</f>
        <v>2252.0039448300031</v>
      </c>
      <c r="AY63" s="216"/>
      <c r="AZ63" s="216"/>
      <c r="BA63" s="223"/>
      <c r="BB63" s="224"/>
      <c r="BC63" s="219">
        <f>SUM(BC51:BC62)</f>
        <v>0</v>
      </c>
      <c r="BD63" s="220">
        <f>IF(BC63&gt;0,SQRT(SUM(BE51:BE62))/BC63,0)</f>
        <v>0</v>
      </c>
      <c r="BE63" s="219">
        <f>(BC63*BD63)^2</f>
        <v>0</v>
      </c>
      <c r="BF63" s="219">
        <f>SUM(BF51:BF62)</f>
        <v>95.030575600000034</v>
      </c>
      <c r="BG63" s="225">
        <f>IF(BF63&gt;0,SQRT(SUM(BH51:BH62))/BF63,0)</f>
        <v>0.49938066900398642</v>
      </c>
      <c r="BH63" s="160">
        <f t="shared" si="37"/>
        <v>2252.1129779355001</v>
      </c>
      <c r="BI63" s="200"/>
      <c r="BJ63" s="462"/>
      <c r="BK63" s="462"/>
      <c r="BL63" s="462"/>
      <c r="BM63" s="463"/>
      <c r="BN63" s="463"/>
      <c r="BO63" s="463"/>
      <c r="BP63" s="462"/>
      <c r="BQ63" s="462"/>
      <c r="BR63" s="462"/>
      <c r="BS63" s="462"/>
      <c r="BT63" s="462"/>
      <c r="BU63" s="462"/>
      <c r="BV63" s="462"/>
      <c r="BW63" s="462"/>
      <c r="BX63" s="462"/>
      <c r="BY63" s="462"/>
      <c r="BZ63" s="462"/>
      <c r="CA63" s="462"/>
      <c r="CB63" s="464"/>
      <c r="CC63" s="462"/>
      <c r="CD63" s="462"/>
      <c r="CE63" s="464"/>
      <c r="CF63" s="464"/>
      <c r="CG63" s="464"/>
      <c r="CH63" s="464"/>
      <c r="CI63" s="462"/>
      <c r="CJ63" s="462"/>
      <c r="CK63" s="464"/>
      <c r="CL63" s="464"/>
      <c r="CM63" s="464"/>
      <c r="CN63" s="357"/>
      <c r="CO63" s="346"/>
      <c r="CP63" s="346"/>
      <c r="CQ63" s="171"/>
      <c r="CR63" s="171"/>
      <c r="CS63" s="171"/>
      <c r="CT63" s="171"/>
      <c r="CU63" s="171"/>
      <c r="CV63" s="171"/>
      <c r="CW63" s="171"/>
      <c r="CX63" s="171"/>
      <c r="CY63" s="171"/>
      <c r="CZ63" s="171"/>
      <c r="DA63" s="171"/>
      <c r="DB63" s="171"/>
      <c r="DC63" s="171"/>
      <c r="DD63" s="171"/>
      <c r="DE63" s="171"/>
      <c r="DF63" s="171"/>
      <c r="DG63" s="171"/>
      <c r="DH63" s="171"/>
      <c r="DI63" s="171"/>
      <c r="DJ63" s="171"/>
      <c r="DK63" s="171"/>
      <c r="DL63" s="171"/>
      <c r="DM63" s="171"/>
      <c r="DN63" s="171"/>
      <c r="DO63" s="171"/>
      <c r="DP63" s="171"/>
      <c r="DQ63" s="171"/>
      <c r="DR63" s="171"/>
      <c r="DS63" s="171"/>
      <c r="DT63" s="171"/>
      <c r="DU63" s="171"/>
      <c r="DV63" s="171"/>
      <c r="DW63" s="170"/>
      <c r="DX63" s="170"/>
      <c r="DY63" s="170"/>
      <c r="DZ63" s="170"/>
      <c r="EA63" s="170"/>
      <c r="EB63" s="170"/>
      <c r="EC63" s="170"/>
      <c r="ED63" s="170"/>
    </row>
    <row r="64" spans="1:134" s="147" customFormat="1" ht="15.75" x14ac:dyDescent="0.25">
      <c r="A64" s="146"/>
      <c r="B64" s="226" t="s">
        <v>133</v>
      </c>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8"/>
      <c r="AB64" s="229">
        <f>+AB50+AB63</f>
        <v>31.716842200000002</v>
      </c>
      <c r="AC64" s="230">
        <f>IF(AB64&gt;0,(SQRT(AD50+AD63))/AB64,0)</f>
        <v>1.0410923361363409E-2</v>
      </c>
      <c r="AD64" s="229">
        <f>(AB64*AC64)^2</f>
        <v>0.10903310549768006</v>
      </c>
      <c r="AE64" s="231"/>
      <c r="AF64" s="227"/>
      <c r="AG64" s="227"/>
      <c r="AH64" s="232"/>
      <c r="AI64" s="229">
        <f>+AI50+AI63</f>
        <v>4.3773926868294675</v>
      </c>
      <c r="AJ64" s="230">
        <f>IF(AI64&gt;0,(SQRT(AK50+AK63))/AI64,0)</f>
        <v>0</v>
      </c>
      <c r="AK64" s="229">
        <f>(AI64*AJ64)^2</f>
        <v>0</v>
      </c>
      <c r="AL64" s="227"/>
      <c r="AM64" s="227"/>
      <c r="AN64" s="227"/>
      <c r="AO64" s="227"/>
      <c r="AP64" s="229">
        <f>+AP50+AP63</f>
        <v>4.1430115476278893</v>
      </c>
      <c r="AQ64" s="230">
        <f>IF(AP64&gt;0,(SQRT(AR50+AR63))/AP64,0)</f>
        <v>0</v>
      </c>
      <c r="AR64" s="229">
        <f>(AP64*AQ64)^2</f>
        <v>0</v>
      </c>
      <c r="AS64" s="227"/>
      <c r="AT64" s="227"/>
      <c r="AU64" s="227"/>
      <c r="AV64" s="229">
        <f>+AV50+AV63</f>
        <v>94.563600000000037</v>
      </c>
      <c r="AW64" s="230">
        <f>IF(AV64&gt;0,(SQRT(AX50+AX63))/AV64,0)</f>
        <v>0.50183457096061412</v>
      </c>
      <c r="AX64" s="229">
        <f>(AV64*AW64)^2</f>
        <v>2252.0039448300031</v>
      </c>
      <c r="AY64" s="227"/>
      <c r="AZ64" s="227"/>
      <c r="BA64" s="233"/>
      <c r="BB64" s="234"/>
      <c r="BC64" s="229">
        <f>+BC50+BC63</f>
        <v>0</v>
      </c>
      <c r="BD64" s="230">
        <f>IF(BC64&gt;0,(SQRT(BE50+BE63))/BC64,0)</f>
        <v>0</v>
      </c>
      <c r="BE64" s="229">
        <f>(BC64*BD64)^2</f>
        <v>0</v>
      </c>
      <c r="BF64" s="229">
        <f>+BF50+BF63</f>
        <v>134.80084643445738</v>
      </c>
      <c r="BG64" s="235">
        <f>IF(BF64&gt;0,(SQRT(BH50+BH63))/BF64,0)</f>
        <v>0.35368968540253903</v>
      </c>
      <c r="BH64" s="160">
        <f t="shared" si="37"/>
        <v>2273.1601181649012</v>
      </c>
      <c r="BI64" s="200"/>
      <c r="BJ64" s="462"/>
      <c r="BK64" s="462"/>
      <c r="BL64" s="462"/>
      <c r="BM64" s="463"/>
      <c r="BN64" s="463"/>
      <c r="BO64" s="463"/>
      <c r="BP64" s="462"/>
      <c r="BQ64" s="462"/>
      <c r="BR64" s="462"/>
      <c r="BS64" s="462"/>
      <c r="BT64" s="462"/>
      <c r="BU64" s="462"/>
      <c r="BV64" s="462"/>
      <c r="BW64" s="462"/>
      <c r="BX64" s="462"/>
      <c r="BY64" s="462"/>
      <c r="BZ64" s="462"/>
      <c r="CA64" s="462"/>
      <c r="CB64" s="464"/>
      <c r="CC64" s="462"/>
      <c r="CD64" s="462"/>
      <c r="CE64" s="464"/>
      <c r="CF64" s="464"/>
      <c r="CG64" s="464"/>
      <c r="CH64" s="464"/>
      <c r="CI64" s="462"/>
      <c r="CJ64" s="462"/>
      <c r="CK64" s="464"/>
      <c r="CL64" s="464"/>
      <c r="CM64" s="464"/>
      <c r="CN64" s="357"/>
      <c r="CO64" s="346"/>
      <c r="CP64" s="346"/>
      <c r="CQ64" s="171"/>
      <c r="CR64" s="171"/>
      <c r="CS64" s="171"/>
      <c r="CT64" s="171"/>
      <c r="CU64" s="171"/>
      <c r="CV64" s="171"/>
      <c r="CW64" s="171"/>
      <c r="CX64" s="171"/>
      <c r="CY64" s="171"/>
      <c r="CZ64" s="171"/>
      <c r="DA64" s="171"/>
      <c r="DB64" s="171"/>
      <c r="DC64" s="171"/>
      <c r="DD64" s="171"/>
      <c r="DE64" s="171"/>
      <c r="DF64" s="171"/>
      <c r="DG64" s="171"/>
      <c r="DH64" s="171"/>
      <c r="DI64" s="171"/>
      <c r="DJ64" s="171"/>
      <c r="DK64" s="171"/>
      <c r="DL64" s="171"/>
      <c r="DM64" s="171"/>
      <c r="DN64" s="171"/>
      <c r="DO64" s="171"/>
      <c r="DP64" s="171"/>
      <c r="DQ64" s="171"/>
      <c r="DR64" s="171"/>
      <c r="DS64" s="171"/>
      <c r="DT64" s="171"/>
      <c r="DU64" s="171"/>
      <c r="DV64" s="171"/>
      <c r="DW64" s="170"/>
      <c r="DX64" s="170"/>
      <c r="DY64" s="170"/>
      <c r="DZ64" s="170"/>
      <c r="EA64" s="170"/>
      <c r="EB64" s="170"/>
      <c r="EC64" s="170"/>
      <c r="ED64" s="170"/>
    </row>
    <row r="65" spans="1:134" s="147" customFormat="1" ht="15.75" x14ac:dyDescent="0.25">
      <c r="A65" s="146"/>
      <c r="B65" s="236"/>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8"/>
      <c r="AB65" s="239"/>
      <c r="AC65" s="240"/>
      <c r="AD65" s="239"/>
      <c r="AE65" s="241"/>
      <c r="AF65" s="237"/>
      <c r="AG65" s="237"/>
      <c r="AH65" s="242"/>
      <c r="AI65" s="239"/>
      <c r="AJ65" s="240"/>
      <c r="AK65" s="239"/>
      <c r="AL65" s="237"/>
      <c r="AM65" s="237"/>
      <c r="AN65" s="237"/>
      <c r="AO65" s="237"/>
      <c r="AP65" s="239"/>
      <c r="AQ65" s="240"/>
      <c r="AR65" s="239"/>
      <c r="AS65" s="237"/>
      <c r="AT65" s="237"/>
      <c r="AU65" s="237"/>
      <c r="AV65" s="239"/>
      <c r="AW65" s="240"/>
      <c r="AX65" s="239"/>
      <c r="AY65" s="237"/>
      <c r="AZ65" s="237"/>
      <c r="BA65" s="243"/>
      <c r="BB65" s="244"/>
      <c r="BC65" s="239"/>
      <c r="BD65" s="240"/>
      <c r="BE65" s="239"/>
      <c r="BF65" s="239"/>
      <c r="BG65" s="245"/>
      <c r="BH65" s="160"/>
      <c r="BI65" s="200"/>
      <c r="BJ65" s="462"/>
      <c r="BK65" s="462"/>
      <c r="BL65" s="462"/>
      <c r="BM65" s="463"/>
      <c r="BN65" s="463"/>
      <c r="BO65" s="463"/>
      <c r="BP65" s="462"/>
      <c r="BQ65" s="462"/>
      <c r="BR65" s="462"/>
      <c r="BS65" s="462"/>
      <c r="BT65" s="462"/>
      <c r="BU65" s="462"/>
      <c r="BV65" s="462"/>
      <c r="BW65" s="462"/>
      <c r="BX65" s="462"/>
      <c r="BY65" s="462"/>
      <c r="BZ65" s="462"/>
      <c r="CA65" s="462"/>
      <c r="CB65" s="464"/>
      <c r="CC65" s="462"/>
      <c r="CD65" s="462"/>
      <c r="CE65" s="464"/>
      <c r="CF65" s="464"/>
      <c r="CG65" s="464"/>
      <c r="CH65" s="464"/>
      <c r="CI65" s="462"/>
      <c r="CJ65" s="462"/>
      <c r="CK65" s="464"/>
      <c r="CL65" s="464"/>
      <c r="CM65" s="464"/>
      <c r="CN65" s="357"/>
      <c r="CO65" s="346"/>
      <c r="CP65" s="346"/>
      <c r="CQ65" s="171"/>
      <c r="CR65" s="171"/>
      <c r="CS65" s="171"/>
      <c r="CT65" s="171"/>
      <c r="CU65" s="171"/>
      <c r="CV65" s="171"/>
      <c r="CW65" s="171"/>
      <c r="CX65" s="171"/>
      <c r="CY65" s="171"/>
      <c r="CZ65" s="171"/>
      <c r="DA65" s="171"/>
      <c r="DB65" s="171"/>
      <c r="DC65" s="171"/>
      <c r="DD65" s="171"/>
      <c r="DE65" s="171"/>
      <c r="DF65" s="171"/>
      <c r="DG65" s="171"/>
      <c r="DH65" s="171"/>
      <c r="DI65" s="171"/>
      <c r="DJ65" s="171"/>
      <c r="DK65" s="171"/>
      <c r="DL65" s="171"/>
      <c r="DM65" s="171"/>
      <c r="DN65" s="171"/>
      <c r="DO65" s="171"/>
      <c r="DP65" s="171"/>
      <c r="DQ65" s="171"/>
      <c r="DR65" s="171"/>
      <c r="DS65" s="171"/>
      <c r="DT65" s="171"/>
      <c r="DU65" s="171"/>
      <c r="DV65" s="171"/>
      <c r="DW65" s="170"/>
      <c r="DX65" s="170"/>
      <c r="DY65" s="170"/>
      <c r="DZ65" s="170"/>
      <c r="EA65" s="170"/>
      <c r="EB65" s="170"/>
      <c r="EC65" s="170"/>
      <c r="ED65" s="170"/>
    </row>
    <row r="66" spans="1:134" s="147" customFormat="1" ht="24.75" customHeight="1" x14ac:dyDescent="0.25">
      <c r="A66" s="146"/>
      <c r="B66" s="745" t="s">
        <v>134</v>
      </c>
      <c r="C66" s="746"/>
      <c r="D66" s="746"/>
      <c r="E66" s="746"/>
      <c r="F66" s="746"/>
      <c r="G66" s="746"/>
      <c r="H66" s="746"/>
      <c r="I66" s="746"/>
      <c r="J66" s="746"/>
      <c r="K66" s="746"/>
      <c r="L66" s="746"/>
      <c r="M66" s="746"/>
      <c r="N66" s="746"/>
      <c r="O66" s="746"/>
      <c r="P66" s="746"/>
      <c r="Q66" s="746"/>
      <c r="R66" s="746"/>
      <c r="S66" s="746"/>
      <c r="T66" s="746"/>
      <c r="U66" s="746"/>
      <c r="V66" s="746"/>
      <c r="W66" s="746"/>
      <c r="X66" s="746"/>
      <c r="Y66" s="746"/>
      <c r="Z66" s="746"/>
      <c r="AA66" s="746"/>
      <c r="AB66" s="746"/>
      <c r="AC66" s="746"/>
      <c r="AD66" s="746"/>
      <c r="AE66" s="746"/>
      <c r="AF66" s="746"/>
      <c r="AG66" s="746"/>
      <c r="AH66" s="746"/>
      <c r="AI66" s="746"/>
      <c r="AJ66" s="746"/>
      <c r="AK66" s="746"/>
      <c r="AL66" s="746"/>
      <c r="AM66" s="746"/>
      <c r="AN66" s="746"/>
      <c r="AO66" s="746"/>
      <c r="AP66" s="746"/>
      <c r="AQ66" s="746"/>
      <c r="AR66" s="746"/>
      <c r="AS66" s="746"/>
      <c r="AT66" s="746"/>
      <c r="AU66" s="746"/>
      <c r="AV66" s="746"/>
      <c r="AW66" s="746"/>
      <c r="AX66" s="746"/>
      <c r="AY66" s="746"/>
      <c r="AZ66" s="746"/>
      <c r="BA66" s="746"/>
      <c r="BB66" s="746"/>
      <c r="BC66" s="746"/>
      <c r="BD66" s="746"/>
      <c r="BE66" s="746"/>
      <c r="BF66" s="746"/>
      <c r="BG66" s="747"/>
      <c r="BH66" s="160"/>
      <c r="BI66" s="200"/>
      <c r="BJ66" s="462"/>
      <c r="BK66" s="462"/>
      <c r="BL66" s="462"/>
      <c r="BM66" s="463"/>
      <c r="BN66" s="463"/>
      <c r="BO66" s="463"/>
      <c r="BP66" s="462"/>
      <c r="BQ66" s="462"/>
      <c r="BR66" s="462"/>
      <c r="BS66" s="462"/>
      <c r="BT66" s="462"/>
      <c r="BU66" s="462"/>
      <c r="BV66" s="462"/>
      <c r="BW66" s="462"/>
      <c r="BX66" s="462"/>
      <c r="BY66" s="462"/>
      <c r="BZ66" s="462"/>
      <c r="CA66" s="462"/>
      <c r="CB66" s="464"/>
      <c r="CC66" s="462"/>
      <c r="CD66" s="462"/>
      <c r="CE66" s="464"/>
      <c r="CF66" s="464"/>
      <c r="CG66" s="464"/>
      <c r="CH66" s="464"/>
      <c r="CI66" s="462"/>
      <c r="CJ66" s="462"/>
      <c r="CK66" s="464"/>
      <c r="CL66" s="464"/>
      <c r="CM66" s="464"/>
      <c r="CN66" s="357"/>
      <c r="CO66" s="346"/>
      <c r="CP66" s="346"/>
      <c r="CQ66" s="171"/>
      <c r="CR66" s="171"/>
      <c r="CS66" s="171"/>
      <c r="CT66" s="171"/>
      <c r="CU66" s="171"/>
      <c r="CV66" s="171"/>
      <c r="CW66" s="171"/>
      <c r="CX66" s="171"/>
      <c r="CY66" s="171"/>
      <c r="CZ66" s="171"/>
      <c r="DA66" s="171"/>
      <c r="DB66" s="171"/>
      <c r="DC66" s="171"/>
      <c r="DD66" s="171"/>
      <c r="DE66" s="171"/>
      <c r="DF66" s="171"/>
      <c r="DG66" s="171"/>
      <c r="DH66" s="171"/>
      <c r="DI66" s="171"/>
      <c r="DJ66" s="171"/>
      <c r="DK66" s="171"/>
      <c r="DL66" s="171"/>
      <c r="DM66" s="171"/>
      <c r="DN66" s="171"/>
      <c r="DO66" s="171"/>
      <c r="DP66" s="171"/>
      <c r="DQ66" s="171"/>
      <c r="DR66" s="171"/>
      <c r="DS66" s="171"/>
      <c r="DT66" s="171"/>
      <c r="DU66" s="171"/>
      <c r="DV66" s="171"/>
      <c r="DW66" s="170"/>
      <c r="DX66" s="170"/>
      <c r="DY66" s="170"/>
      <c r="DZ66" s="170"/>
      <c r="EA66" s="170"/>
      <c r="EB66" s="170"/>
      <c r="EC66" s="170"/>
      <c r="ED66" s="170"/>
    </row>
    <row r="67" spans="1:134" s="200" customFormat="1" ht="15" customHeight="1" x14ac:dyDescent="0.25">
      <c r="A67" s="146"/>
      <c r="B67" s="767" t="s">
        <v>442</v>
      </c>
      <c r="C67" s="739" t="s">
        <v>446</v>
      </c>
      <c r="D67" s="739" t="s">
        <v>107</v>
      </c>
      <c r="E67" s="739"/>
      <c r="F67" s="739"/>
      <c r="G67" s="739"/>
      <c r="H67" s="739"/>
      <c r="I67" s="739"/>
      <c r="J67" s="739"/>
      <c r="K67" s="739"/>
      <c r="L67" s="739"/>
      <c r="M67" s="739"/>
      <c r="N67" s="739"/>
      <c r="O67" s="739"/>
      <c r="P67" s="739"/>
      <c r="Q67" s="739"/>
      <c r="R67" s="739"/>
      <c r="S67" s="739" t="s">
        <v>352</v>
      </c>
      <c r="T67" s="739"/>
      <c r="U67" s="739"/>
      <c r="V67" s="739"/>
      <c r="W67" s="739"/>
      <c r="X67" s="740" t="s">
        <v>360</v>
      </c>
      <c r="Y67" s="740"/>
      <c r="Z67" s="740"/>
      <c r="AA67" s="740"/>
      <c r="AB67" s="740"/>
      <c r="AC67" s="740"/>
      <c r="AD67" s="740"/>
      <c r="AE67" s="740" t="s">
        <v>359</v>
      </c>
      <c r="AF67" s="740"/>
      <c r="AG67" s="740"/>
      <c r="AH67" s="740"/>
      <c r="AI67" s="740"/>
      <c r="AJ67" s="740"/>
      <c r="AK67" s="740"/>
      <c r="AL67" s="740" t="s">
        <v>358</v>
      </c>
      <c r="AM67" s="740"/>
      <c r="AN67" s="740"/>
      <c r="AO67" s="740"/>
      <c r="AP67" s="740"/>
      <c r="AQ67" s="740"/>
      <c r="AR67" s="740"/>
      <c r="AS67" s="740" t="s">
        <v>543</v>
      </c>
      <c r="AT67" s="740"/>
      <c r="AU67" s="740"/>
      <c r="AV67" s="740"/>
      <c r="AW67" s="740"/>
      <c r="AX67" s="740"/>
      <c r="AY67" s="740" t="s">
        <v>357</v>
      </c>
      <c r="AZ67" s="740"/>
      <c r="BA67" s="740"/>
      <c r="BB67" s="740"/>
      <c r="BC67" s="740"/>
      <c r="BD67" s="740"/>
      <c r="BE67" s="740"/>
      <c r="BF67" s="744" t="s">
        <v>792</v>
      </c>
      <c r="BG67" s="748" t="s">
        <v>109</v>
      </c>
      <c r="BH67" s="160"/>
      <c r="BJ67" s="462"/>
      <c r="BK67" s="462"/>
      <c r="BL67" s="462"/>
      <c r="BM67" s="463"/>
      <c r="BN67" s="463"/>
      <c r="BO67" s="463"/>
      <c r="BP67" s="462"/>
      <c r="BQ67" s="462"/>
      <c r="BR67" s="462"/>
      <c r="BS67" s="462"/>
      <c r="BT67" s="462"/>
      <c r="BU67" s="462"/>
      <c r="BV67" s="462"/>
      <c r="BW67" s="462"/>
      <c r="BX67" s="462"/>
      <c r="BY67" s="462"/>
      <c r="BZ67" s="462"/>
      <c r="CA67" s="462"/>
      <c r="CB67" s="464"/>
      <c r="CC67" s="462"/>
      <c r="CD67" s="462"/>
      <c r="CE67" s="464"/>
      <c r="CF67" s="464"/>
      <c r="CG67" s="464"/>
      <c r="CH67" s="464"/>
      <c r="CI67" s="462"/>
      <c r="CJ67" s="462"/>
      <c r="CK67" s="464"/>
      <c r="CL67" s="464"/>
      <c r="CM67" s="464"/>
      <c r="CN67" s="357"/>
      <c r="CO67" s="346"/>
      <c r="CP67" s="346"/>
      <c r="CQ67" s="171"/>
      <c r="CR67" s="171"/>
      <c r="CS67" s="171"/>
      <c r="CT67" s="171"/>
      <c r="CU67" s="171"/>
      <c r="CV67" s="171"/>
      <c r="CW67" s="171"/>
      <c r="CX67" s="171"/>
      <c r="CY67" s="171"/>
      <c r="CZ67" s="171"/>
      <c r="DA67" s="171"/>
      <c r="DB67" s="171"/>
      <c r="DC67" s="171"/>
      <c r="DD67" s="171"/>
      <c r="DE67" s="171"/>
      <c r="DF67" s="171"/>
      <c r="DG67" s="171"/>
      <c r="DH67" s="171"/>
      <c r="DI67" s="171"/>
      <c r="DJ67" s="171"/>
      <c r="DK67" s="171"/>
      <c r="DL67" s="171"/>
      <c r="DM67" s="171"/>
      <c r="DN67" s="171"/>
      <c r="DO67" s="171"/>
      <c r="DP67" s="171"/>
      <c r="DQ67" s="171"/>
      <c r="DR67" s="171"/>
      <c r="DS67" s="171"/>
      <c r="DT67" s="171"/>
      <c r="DU67" s="171"/>
      <c r="DV67" s="171"/>
      <c r="DW67" s="170"/>
      <c r="DX67" s="170"/>
      <c r="DY67" s="170"/>
      <c r="DZ67" s="170"/>
      <c r="EA67" s="170"/>
      <c r="EB67" s="170"/>
      <c r="EC67" s="170"/>
      <c r="ED67" s="170"/>
    </row>
    <row r="68" spans="1:134" s="200" customFormat="1" ht="60" x14ac:dyDescent="0.25">
      <c r="A68" s="146"/>
      <c r="B68" s="768"/>
      <c r="C68" s="739"/>
      <c r="D68" s="201" t="s">
        <v>110</v>
      </c>
      <c r="E68" s="201" t="s">
        <v>111</v>
      </c>
      <c r="F68" s="201" t="s">
        <v>112</v>
      </c>
      <c r="G68" s="201" t="s">
        <v>113</v>
      </c>
      <c r="H68" s="201" t="s">
        <v>114</v>
      </c>
      <c r="I68" s="201" t="s">
        <v>115</v>
      </c>
      <c r="J68" s="201" t="s">
        <v>116</v>
      </c>
      <c r="K68" s="201" t="s">
        <v>117</v>
      </c>
      <c r="L68" s="201" t="s">
        <v>118</v>
      </c>
      <c r="M68" s="201" t="s">
        <v>119</v>
      </c>
      <c r="N68" s="201" t="s">
        <v>120</v>
      </c>
      <c r="O68" s="201" t="s">
        <v>121</v>
      </c>
      <c r="P68" s="201" t="s">
        <v>122</v>
      </c>
      <c r="Q68" s="201" t="s">
        <v>123</v>
      </c>
      <c r="R68" s="201" t="s">
        <v>124</v>
      </c>
      <c r="S68" s="201" t="s">
        <v>125</v>
      </c>
      <c r="T68" s="201" t="s">
        <v>126</v>
      </c>
      <c r="U68" s="201" t="s">
        <v>127</v>
      </c>
      <c r="V68" s="202" t="s">
        <v>369</v>
      </c>
      <c r="W68" s="571" t="s">
        <v>352</v>
      </c>
      <c r="X68" s="744" t="s">
        <v>353</v>
      </c>
      <c r="Y68" s="744"/>
      <c r="Z68" s="201" t="s">
        <v>361</v>
      </c>
      <c r="AA68" s="203" t="s">
        <v>793</v>
      </c>
      <c r="AB68" s="203" t="s">
        <v>806</v>
      </c>
      <c r="AC68" s="201" t="s">
        <v>362</v>
      </c>
      <c r="AD68" s="203" t="s">
        <v>453</v>
      </c>
      <c r="AE68" s="744" t="s">
        <v>354</v>
      </c>
      <c r="AF68" s="744"/>
      <c r="AG68" s="571" t="s">
        <v>363</v>
      </c>
      <c r="AH68" s="204" t="s">
        <v>807</v>
      </c>
      <c r="AI68" s="204" t="s">
        <v>808</v>
      </c>
      <c r="AJ68" s="201" t="s">
        <v>364</v>
      </c>
      <c r="AK68" s="203" t="s">
        <v>453</v>
      </c>
      <c r="AL68" s="744" t="s">
        <v>355</v>
      </c>
      <c r="AM68" s="744"/>
      <c r="AN68" s="201" t="s">
        <v>365</v>
      </c>
      <c r="AO68" s="201" t="s">
        <v>809</v>
      </c>
      <c r="AP68" s="201" t="s">
        <v>810</v>
      </c>
      <c r="AQ68" s="201" t="s">
        <v>366</v>
      </c>
      <c r="AR68" s="203" t="s">
        <v>453</v>
      </c>
      <c r="AS68" s="744" t="s">
        <v>811</v>
      </c>
      <c r="AT68" s="744"/>
      <c r="AU68" s="571" t="s">
        <v>546</v>
      </c>
      <c r="AV68" s="203" t="s">
        <v>812</v>
      </c>
      <c r="AW68" s="201" t="s">
        <v>545</v>
      </c>
      <c r="AX68" s="203" t="s">
        <v>453</v>
      </c>
      <c r="AY68" s="744" t="s">
        <v>356</v>
      </c>
      <c r="AZ68" s="744"/>
      <c r="BA68" s="201" t="s">
        <v>367</v>
      </c>
      <c r="BB68" s="203" t="s">
        <v>813</v>
      </c>
      <c r="BC68" s="203" t="s">
        <v>814</v>
      </c>
      <c r="BD68" s="201" t="s">
        <v>368</v>
      </c>
      <c r="BE68" s="203" t="s">
        <v>453</v>
      </c>
      <c r="BF68" s="744"/>
      <c r="BG68" s="748"/>
      <c r="BH68" s="160"/>
      <c r="BJ68" s="462"/>
      <c r="BK68" s="462"/>
      <c r="BL68" s="462"/>
      <c r="BM68" s="463"/>
      <c r="BN68" s="463"/>
      <c r="BO68" s="463"/>
      <c r="BP68" s="462"/>
      <c r="BQ68" s="462"/>
      <c r="BR68" s="462"/>
      <c r="BS68" s="462"/>
      <c r="BT68" s="462"/>
      <c r="BU68" s="462"/>
      <c r="BV68" s="462"/>
      <c r="BW68" s="462"/>
      <c r="BX68" s="462"/>
      <c r="BY68" s="462"/>
      <c r="BZ68" s="462"/>
      <c r="CA68" s="462"/>
      <c r="CB68" s="464"/>
      <c r="CC68" s="462"/>
      <c r="CD68" s="462"/>
      <c r="CE68" s="464"/>
      <c r="CF68" s="464"/>
      <c r="CG68" s="464"/>
      <c r="CH68" s="464"/>
      <c r="CI68" s="462"/>
      <c r="CJ68" s="462"/>
      <c r="CK68" s="464"/>
      <c r="CL68" s="464"/>
      <c r="CM68" s="464"/>
      <c r="CN68" s="357"/>
      <c r="CO68" s="346"/>
      <c r="CP68" s="346"/>
      <c r="CQ68" s="171"/>
      <c r="CR68" s="171"/>
      <c r="CS68" s="171"/>
      <c r="CT68" s="171"/>
      <c r="CU68" s="171"/>
      <c r="CV68" s="171"/>
      <c r="CW68" s="171"/>
      <c r="CX68" s="171"/>
      <c r="CY68" s="171"/>
      <c r="CZ68" s="171"/>
      <c r="DA68" s="171"/>
      <c r="DB68" s="171"/>
      <c r="DC68" s="171"/>
      <c r="DD68" s="171"/>
      <c r="DE68" s="171"/>
      <c r="DF68" s="171"/>
      <c r="DG68" s="171"/>
      <c r="DH68" s="171"/>
      <c r="DI68" s="171"/>
      <c r="DJ68" s="171"/>
      <c r="DK68" s="171"/>
      <c r="DL68" s="171"/>
      <c r="DM68" s="171"/>
      <c r="DN68" s="171"/>
      <c r="DO68" s="171"/>
      <c r="DP68" s="171"/>
      <c r="DQ68" s="171"/>
      <c r="DR68" s="171"/>
      <c r="DS68" s="171"/>
      <c r="DT68" s="171"/>
      <c r="DU68" s="171"/>
      <c r="DV68" s="171"/>
      <c r="DW68" s="170"/>
      <c r="DX68" s="170"/>
      <c r="DY68" s="170"/>
      <c r="DZ68" s="170"/>
      <c r="EA68" s="170"/>
      <c r="EB68" s="170"/>
      <c r="EC68" s="170"/>
      <c r="ED68" s="170"/>
    </row>
    <row r="69" spans="1:134" s="147" customFormat="1" x14ac:dyDescent="0.25">
      <c r="A69" s="146"/>
      <c r="B69" s="248" t="s">
        <v>527</v>
      </c>
      <c r="C69" s="111" t="s">
        <v>523</v>
      </c>
      <c r="D69" s="205" t="str">
        <f t="shared" ref="D69:D80" si="131">VLOOKUP($C69,$BI$195:$CM$609,2,FALSE)</f>
        <v>Ha</v>
      </c>
      <c r="E69" s="641">
        <v>901.28180451612889</v>
      </c>
      <c r="F69" s="641">
        <v>842.61270310344787</v>
      </c>
      <c r="G69" s="641">
        <v>767.97540064516113</v>
      </c>
      <c r="H69" s="641">
        <v>727.23163466666654</v>
      </c>
      <c r="I69" s="641">
        <v>800.89641709677426</v>
      </c>
      <c r="J69" s="641">
        <v>880.91384033333361</v>
      </c>
      <c r="K69" s="641">
        <v>935.56838645161292</v>
      </c>
      <c r="L69" s="641">
        <v>970.17632580645159</v>
      </c>
      <c r="M69" s="641">
        <v>998.85892699999988</v>
      </c>
      <c r="N69" s="641">
        <v>1003.1047609677418</v>
      </c>
      <c r="O69" s="641">
        <v>1000.6208616666667</v>
      </c>
      <c r="P69" s="641">
        <v>968.88392032258059</v>
      </c>
      <c r="Q69" s="206">
        <f>AVERAGE(E69:P69)</f>
        <v>899.84374854804719</v>
      </c>
      <c r="R69" s="205">
        <f t="shared" ref="R69:R74" si="132">COUNT(E69:P69)</f>
        <v>12</v>
      </c>
      <c r="S69" s="206">
        <f t="shared" ref="S69:S74" si="133">IF(R69&gt;1,AVERAGE(E69:P69),0)</f>
        <v>899.84374854804719</v>
      </c>
      <c r="T69" s="206">
        <f t="shared" ref="T69:T74" si="134">IF(R69&gt;1,STDEV(E69:P69),0)</f>
        <v>96.400167250595018</v>
      </c>
      <c r="U69" s="206">
        <f t="shared" ref="U69:U80" si="135">IF(R69&gt;1,VLOOKUP($R69,$BI$529:$BJ$541,2,FALSE),0)</f>
        <v>2.2000000000000002</v>
      </c>
      <c r="V69" s="92"/>
      <c r="W69" s="207">
        <f t="shared" ref="W69:W80" si="136">IF(R69&gt;1,1-((S69-((T69*U69)/(SQRT(R69))))/S69),VLOOKUP($C69,$BI$195:$CP$609,34,FALSE))</f>
        <v>6.8036621760219518E-2</v>
      </c>
      <c r="X69" s="213">
        <v>0</v>
      </c>
      <c r="Y69" s="209">
        <v>0</v>
      </c>
      <c r="Z69" s="207">
        <v>0</v>
      </c>
      <c r="AA69" s="210">
        <f t="shared" ref="AA69:AA74" si="137">($Q69*X69)/1000</f>
        <v>0</v>
      </c>
      <c r="AB69" s="210">
        <f t="shared" ref="AB69:AB80" si="138">AA69*$BJ$547</f>
        <v>0</v>
      </c>
      <c r="AC69" s="207">
        <f t="shared" ref="AC69:AC74" si="139">IF(AA69&gt;0,SQRT(($W69*$W69)+(Z69*Z69)+($V69*$V69)),0)</f>
        <v>0</v>
      </c>
      <c r="AD69" s="210">
        <f t="shared" ref="AD69:AD74" si="140">(AB69*AC69)^2</f>
        <v>0</v>
      </c>
      <c r="AE69" s="211">
        <f>VLOOKUP($C69,$BI$195:$CM$609,3,FALSE)</f>
        <v>22.265000000000001</v>
      </c>
      <c r="AF69" s="209" t="str">
        <f>VLOOKUP($C69,$BI$195:$CM$609,4,FALSE)</f>
        <v>kgCH4/Ha</v>
      </c>
      <c r="AG69" s="207">
        <f>IF($Q69&gt;0,VLOOKUP($C69,$BI$195:$CM$609,6,FALSE),0)</f>
        <v>1.06</v>
      </c>
      <c r="AH69" s="210">
        <f t="shared" ref="AH69:AH74" si="141">($Q69*AE69)/1000</f>
        <v>20.03502106142227</v>
      </c>
      <c r="AI69" s="212">
        <f t="shared" ref="AI69:AI80" si="142">AH69*$BJ$548</f>
        <v>560.98058971982357</v>
      </c>
      <c r="AJ69" s="207">
        <f t="shared" ref="AJ69:AJ74" si="143">IF(AH69&gt;0,SQRT(($W69*$W69)+(AG69*AG69)+($V69*$V69)),0)</f>
        <v>1.0621812377840909</v>
      </c>
      <c r="AK69" s="210">
        <f t="shared" ref="AK69:AK74" si="144">(AI69*AJ69)^2</f>
        <v>355052.78288979118</v>
      </c>
      <c r="AL69" s="211">
        <v>0</v>
      </c>
      <c r="AM69" s="209">
        <v>0</v>
      </c>
      <c r="AN69" s="207">
        <v>0</v>
      </c>
      <c r="AO69" s="212">
        <f>(W69*AL69)/1000</f>
        <v>0</v>
      </c>
      <c r="AP69" s="212">
        <f t="shared" ref="AP69:AP80" si="145">AO69*$BJ$549</f>
        <v>0</v>
      </c>
      <c r="AQ69" s="207">
        <f t="shared" ref="AQ69:AQ80" si="146">IF(AO69&gt;0,SQRT(($W69*$W69)+(AN69*AN69)+($V69*$V69)),0)</f>
        <v>0</v>
      </c>
      <c r="AR69" s="210">
        <f t="shared" ref="AR69:AR80" si="147">(AP69*AQ69)^2</f>
        <v>0</v>
      </c>
      <c r="AS69" s="213">
        <v>0</v>
      </c>
      <c r="AT69" s="209">
        <v>0</v>
      </c>
      <c r="AU69" s="207">
        <v>0</v>
      </c>
      <c r="AV69" s="212">
        <v>0</v>
      </c>
      <c r="AW69" s="207">
        <v>0</v>
      </c>
      <c r="AX69" s="210">
        <f t="shared" ref="AX69:AX74" si="148">(AV69*AW69)^2</f>
        <v>0</v>
      </c>
      <c r="AY69" s="213">
        <v>0</v>
      </c>
      <c r="AZ69" s="209">
        <v>0</v>
      </c>
      <c r="BA69" s="207">
        <v>0</v>
      </c>
      <c r="BB69" s="212">
        <f t="shared" ref="BB69:BB74" si="149">($Q69*AY69)/1000</f>
        <v>0</v>
      </c>
      <c r="BC69" s="212">
        <f t="shared" ref="BC69:BC80" si="150">BB69*$BJ$550</f>
        <v>0</v>
      </c>
      <c r="BD69" s="207">
        <v>0</v>
      </c>
      <c r="BE69" s="210">
        <f t="shared" ref="BE69:BE74" si="151">(BC69*BD69)^2</f>
        <v>0</v>
      </c>
      <c r="BF69" s="206">
        <f t="shared" ref="BF69:BF80" si="152">AB69+AI69+AP69+AV69+BC69</f>
        <v>560.98058971982357</v>
      </c>
      <c r="BG69" s="214">
        <f t="shared" ref="BG69:BG80" si="153">IF(BF69&gt;0,SQRT(AD69+AK69+AR69+AX69+BE69)/BF69,0)</f>
        <v>1.0621812377840909</v>
      </c>
      <c r="BH69" s="160">
        <f t="shared" si="37"/>
        <v>355052.78288979118</v>
      </c>
      <c r="BI69" s="200"/>
      <c r="BJ69" s="462"/>
      <c r="BK69" s="462"/>
      <c r="BL69" s="462"/>
      <c r="BM69" s="463"/>
      <c r="BN69" s="463"/>
      <c r="BO69" s="463"/>
      <c r="BP69" s="462"/>
      <c r="BQ69" s="462"/>
      <c r="BR69" s="462"/>
      <c r="BS69" s="462"/>
      <c r="BT69" s="462"/>
      <c r="BU69" s="462"/>
      <c r="BV69" s="462"/>
      <c r="BW69" s="462"/>
      <c r="BX69" s="462"/>
      <c r="BY69" s="462"/>
      <c r="BZ69" s="462"/>
      <c r="CA69" s="462"/>
      <c r="CB69" s="464"/>
      <c r="CC69" s="462"/>
      <c r="CD69" s="462"/>
      <c r="CE69" s="464"/>
      <c r="CF69" s="464"/>
      <c r="CG69" s="464"/>
      <c r="CH69" s="464"/>
      <c r="CI69" s="462"/>
      <c r="CJ69" s="462"/>
      <c r="CK69" s="464"/>
      <c r="CL69" s="464"/>
      <c r="CM69" s="464"/>
      <c r="CN69" s="357"/>
      <c r="CO69" s="346"/>
      <c r="CP69" s="346"/>
      <c r="CQ69" s="171"/>
      <c r="CR69" s="171"/>
      <c r="CS69" s="171"/>
      <c r="CT69" s="171"/>
      <c r="CU69" s="171"/>
      <c r="CV69" s="171"/>
      <c r="CW69" s="171"/>
      <c r="CX69" s="171"/>
      <c r="CY69" s="171"/>
      <c r="CZ69" s="171"/>
      <c r="DA69" s="171"/>
      <c r="DB69" s="171"/>
      <c r="DC69" s="171"/>
      <c r="DD69" s="171"/>
      <c r="DE69" s="171"/>
      <c r="DF69" s="171"/>
      <c r="DG69" s="171"/>
      <c r="DH69" s="171"/>
      <c r="DI69" s="171"/>
      <c r="DJ69" s="171"/>
      <c r="DK69" s="171"/>
      <c r="DL69" s="171"/>
      <c r="DM69" s="171"/>
      <c r="DN69" s="171"/>
      <c r="DO69" s="171"/>
      <c r="DP69" s="171"/>
      <c r="DQ69" s="171"/>
      <c r="DR69" s="171"/>
      <c r="DS69" s="171"/>
      <c r="DT69" s="171"/>
      <c r="DU69" s="171"/>
      <c r="DV69" s="171"/>
      <c r="DW69" s="170"/>
      <c r="DX69" s="170"/>
      <c r="DY69" s="170"/>
      <c r="DZ69" s="170"/>
      <c r="EA69" s="170"/>
      <c r="EB69" s="170"/>
      <c r="EC69" s="170"/>
      <c r="ED69" s="170"/>
    </row>
    <row r="70" spans="1:134" s="147" customFormat="1" hidden="1" x14ac:dyDescent="0.25">
      <c r="A70" s="146"/>
      <c r="B70" s="764" t="s">
        <v>135</v>
      </c>
      <c r="C70" s="111"/>
      <c r="D70" s="205">
        <f t="shared" si="131"/>
        <v>0</v>
      </c>
      <c r="E70" s="91"/>
      <c r="F70" s="91"/>
      <c r="G70" s="91"/>
      <c r="H70" s="91"/>
      <c r="I70" s="91"/>
      <c r="J70" s="91"/>
      <c r="K70" s="91"/>
      <c r="L70" s="91"/>
      <c r="M70" s="91"/>
      <c r="N70" s="91"/>
      <c r="O70" s="91"/>
      <c r="P70" s="91"/>
      <c r="Q70" s="206">
        <f t="shared" ref="Q70:Q74" si="154">SUM(E70:P70)</f>
        <v>0</v>
      </c>
      <c r="R70" s="205">
        <f t="shared" si="132"/>
        <v>0</v>
      </c>
      <c r="S70" s="206">
        <f t="shared" si="133"/>
        <v>0</v>
      </c>
      <c r="T70" s="206">
        <f t="shared" si="134"/>
        <v>0</v>
      </c>
      <c r="U70" s="206">
        <f t="shared" si="135"/>
        <v>0</v>
      </c>
      <c r="V70" s="92"/>
      <c r="W70" s="207">
        <f t="shared" si="136"/>
        <v>0</v>
      </c>
      <c r="X70" s="213">
        <v>0</v>
      </c>
      <c r="Y70" s="209">
        <v>0</v>
      </c>
      <c r="Z70" s="207">
        <v>0</v>
      </c>
      <c r="AA70" s="210">
        <f t="shared" si="137"/>
        <v>0</v>
      </c>
      <c r="AB70" s="210">
        <f t="shared" si="138"/>
        <v>0</v>
      </c>
      <c r="AC70" s="207">
        <f t="shared" si="139"/>
        <v>0</v>
      </c>
      <c r="AD70" s="210">
        <f t="shared" si="140"/>
        <v>0</v>
      </c>
      <c r="AE70" s="211">
        <f>VLOOKUP($C70,$BI$195:$CM$609,3,FALSE)</f>
        <v>0</v>
      </c>
      <c r="AF70" s="209">
        <f>VLOOKUP($C70,$BI$195:$CM$609,4,FALSE)</f>
        <v>0</v>
      </c>
      <c r="AG70" s="207">
        <f>IF($Q70&gt;0,VLOOKUP($C70,$BI$195:$CM$609,6,FALSE),0)</f>
        <v>0</v>
      </c>
      <c r="AH70" s="210">
        <f t="shared" si="141"/>
        <v>0</v>
      </c>
      <c r="AI70" s="212">
        <f t="shared" si="142"/>
        <v>0</v>
      </c>
      <c r="AJ70" s="207">
        <f t="shared" si="143"/>
        <v>0</v>
      </c>
      <c r="AK70" s="210">
        <f t="shared" si="144"/>
        <v>0</v>
      </c>
      <c r="AL70" s="211">
        <v>0</v>
      </c>
      <c r="AM70" s="209">
        <v>0</v>
      </c>
      <c r="AN70" s="207">
        <v>0</v>
      </c>
      <c r="AO70" s="212">
        <f>(W70*AL70)/1000</f>
        <v>0</v>
      </c>
      <c r="AP70" s="212">
        <f t="shared" si="145"/>
        <v>0</v>
      </c>
      <c r="AQ70" s="207">
        <f t="shared" si="146"/>
        <v>0</v>
      </c>
      <c r="AR70" s="210">
        <f t="shared" si="147"/>
        <v>0</v>
      </c>
      <c r="AS70" s="213">
        <v>0</v>
      </c>
      <c r="AT70" s="209">
        <v>0</v>
      </c>
      <c r="AU70" s="207">
        <v>0</v>
      </c>
      <c r="AV70" s="212">
        <v>0</v>
      </c>
      <c r="AW70" s="207">
        <v>0</v>
      </c>
      <c r="AX70" s="210">
        <f t="shared" si="148"/>
        <v>0</v>
      </c>
      <c r="AY70" s="213">
        <v>0</v>
      </c>
      <c r="AZ70" s="209">
        <v>0</v>
      </c>
      <c r="BA70" s="207">
        <v>0</v>
      </c>
      <c r="BB70" s="212">
        <f t="shared" si="149"/>
        <v>0</v>
      </c>
      <c r="BC70" s="212">
        <f t="shared" si="150"/>
        <v>0</v>
      </c>
      <c r="BD70" s="207">
        <v>0</v>
      </c>
      <c r="BE70" s="210">
        <f t="shared" si="151"/>
        <v>0</v>
      </c>
      <c r="BF70" s="206">
        <f t="shared" si="152"/>
        <v>0</v>
      </c>
      <c r="BG70" s="214">
        <f t="shared" si="153"/>
        <v>0</v>
      </c>
      <c r="BH70" s="160">
        <f>(BF70*BG70)^2</f>
        <v>0</v>
      </c>
      <c r="BI70" s="200"/>
      <c r="BJ70" s="462"/>
      <c r="BK70" s="462"/>
      <c r="BL70" s="462"/>
      <c r="BM70" s="463"/>
      <c r="BN70" s="463"/>
      <c r="BO70" s="463"/>
      <c r="BP70" s="462"/>
      <c r="BQ70" s="462"/>
      <c r="BR70" s="462"/>
      <c r="BS70" s="462"/>
      <c r="BT70" s="462"/>
      <c r="BU70" s="462"/>
      <c r="BV70" s="462"/>
      <c r="BW70" s="462"/>
      <c r="BX70" s="462"/>
      <c r="BY70" s="462"/>
      <c r="BZ70" s="462"/>
      <c r="CA70" s="462"/>
      <c r="CB70" s="464"/>
      <c r="CC70" s="462"/>
      <c r="CD70" s="462"/>
      <c r="CE70" s="464"/>
      <c r="CF70" s="464"/>
      <c r="CG70" s="464"/>
      <c r="CH70" s="464"/>
      <c r="CI70" s="462"/>
      <c r="CJ70" s="462"/>
      <c r="CK70" s="464"/>
      <c r="CL70" s="464"/>
      <c r="CM70" s="464"/>
      <c r="CN70" s="357"/>
      <c r="CO70" s="346"/>
      <c r="CP70" s="346"/>
      <c r="CQ70" s="171"/>
      <c r="CR70" s="171"/>
      <c r="CS70" s="171"/>
      <c r="CT70" s="171"/>
      <c r="CU70" s="171"/>
      <c r="CV70" s="171"/>
      <c r="CW70" s="171"/>
      <c r="CX70" s="171"/>
      <c r="CY70" s="171"/>
      <c r="CZ70" s="171"/>
      <c r="DA70" s="171"/>
      <c r="DB70" s="171"/>
      <c r="DC70" s="171"/>
      <c r="DD70" s="171"/>
      <c r="DE70" s="171"/>
      <c r="DF70" s="171"/>
      <c r="DG70" s="171"/>
      <c r="DH70" s="171"/>
      <c r="DI70" s="171"/>
      <c r="DJ70" s="171"/>
      <c r="DK70" s="171"/>
      <c r="DL70" s="171"/>
      <c r="DM70" s="171"/>
      <c r="DN70" s="171"/>
      <c r="DO70" s="171"/>
      <c r="DP70" s="171"/>
      <c r="DQ70" s="171"/>
      <c r="DR70" s="171"/>
      <c r="DS70" s="171"/>
      <c r="DT70" s="171"/>
      <c r="DU70" s="171"/>
      <c r="DV70" s="171"/>
      <c r="DW70" s="170"/>
      <c r="DX70" s="170"/>
      <c r="DY70" s="170"/>
      <c r="DZ70" s="170"/>
      <c r="EA70" s="170"/>
      <c r="EB70" s="170"/>
      <c r="EC70" s="170"/>
      <c r="ED70" s="170"/>
    </row>
    <row r="71" spans="1:134" s="147" customFormat="1" hidden="1" x14ac:dyDescent="0.25">
      <c r="A71" s="146"/>
      <c r="B71" s="765"/>
      <c r="C71" s="111"/>
      <c r="D71" s="205">
        <f t="shared" si="131"/>
        <v>0</v>
      </c>
      <c r="E71" s="91"/>
      <c r="F71" s="91"/>
      <c r="G71" s="91"/>
      <c r="H71" s="91"/>
      <c r="I71" s="91"/>
      <c r="J71" s="91"/>
      <c r="K71" s="91"/>
      <c r="L71" s="91"/>
      <c r="M71" s="91"/>
      <c r="N71" s="91"/>
      <c r="O71" s="91"/>
      <c r="P71" s="91"/>
      <c r="Q71" s="206">
        <f t="shared" si="154"/>
        <v>0</v>
      </c>
      <c r="R71" s="205">
        <f t="shared" si="132"/>
        <v>0</v>
      </c>
      <c r="S71" s="206">
        <f t="shared" si="133"/>
        <v>0</v>
      </c>
      <c r="T71" s="206">
        <f t="shared" si="134"/>
        <v>0</v>
      </c>
      <c r="U71" s="206">
        <f t="shared" si="135"/>
        <v>0</v>
      </c>
      <c r="V71" s="92"/>
      <c r="W71" s="207">
        <f t="shared" si="136"/>
        <v>0</v>
      </c>
      <c r="X71" s="213">
        <v>0</v>
      </c>
      <c r="Y71" s="209">
        <v>0</v>
      </c>
      <c r="Z71" s="207">
        <v>0</v>
      </c>
      <c r="AA71" s="210">
        <f t="shared" si="137"/>
        <v>0</v>
      </c>
      <c r="AB71" s="210">
        <f t="shared" si="138"/>
        <v>0</v>
      </c>
      <c r="AC71" s="207">
        <f t="shared" si="139"/>
        <v>0</v>
      </c>
      <c r="AD71" s="210">
        <f t="shared" si="140"/>
        <v>0</v>
      </c>
      <c r="AE71" s="211">
        <f>VLOOKUP($C71,$BI$195:$CM$609,3,FALSE)</f>
        <v>0</v>
      </c>
      <c r="AF71" s="209">
        <f>VLOOKUP($C71,$BI$195:$CM$609,4,FALSE)</f>
        <v>0</v>
      </c>
      <c r="AG71" s="207">
        <f>IF($Q71&gt;0,VLOOKUP($C71,$BI$195:$CM$609,6,FALSE),0)</f>
        <v>0</v>
      </c>
      <c r="AH71" s="210">
        <f t="shared" si="141"/>
        <v>0</v>
      </c>
      <c r="AI71" s="212">
        <f t="shared" si="142"/>
        <v>0</v>
      </c>
      <c r="AJ71" s="207">
        <f t="shared" si="143"/>
        <v>0</v>
      </c>
      <c r="AK71" s="210">
        <f t="shared" si="144"/>
        <v>0</v>
      </c>
      <c r="AL71" s="211">
        <v>0</v>
      </c>
      <c r="AM71" s="209">
        <v>0</v>
      </c>
      <c r="AN71" s="207">
        <v>0</v>
      </c>
      <c r="AO71" s="212">
        <f>(W71*AL71)/1000</f>
        <v>0</v>
      </c>
      <c r="AP71" s="212">
        <f t="shared" si="145"/>
        <v>0</v>
      </c>
      <c r="AQ71" s="207">
        <f t="shared" si="146"/>
        <v>0</v>
      </c>
      <c r="AR71" s="210">
        <f t="shared" si="147"/>
        <v>0</v>
      </c>
      <c r="AS71" s="213">
        <v>0</v>
      </c>
      <c r="AT71" s="209">
        <v>0</v>
      </c>
      <c r="AU71" s="207">
        <v>0</v>
      </c>
      <c r="AV71" s="212">
        <v>0</v>
      </c>
      <c r="AW71" s="207">
        <v>0</v>
      </c>
      <c r="AX71" s="210">
        <f t="shared" si="148"/>
        <v>0</v>
      </c>
      <c r="AY71" s="213">
        <v>0</v>
      </c>
      <c r="AZ71" s="209">
        <v>0</v>
      </c>
      <c r="BA71" s="207">
        <v>0</v>
      </c>
      <c r="BB71" s="212">
        <f t="shared" si="149"/>
        <v>0</v>
      </c>
      <c r="BC71" s="212">
        <f t="shared" si="150"/>
        <v>0</v>
      </c>
      <c r="BD71" s="207">
        <v>0</v>
      </c>
      <c r="BE71" s="210">
        <f t="shared" si="151"/>
        <v>0</v>
      </c>
      <c r="BF71" s="206">
        <f t="shared" si="152"/>
        <v>0</v>
      </c>
      <c r="BG71" s="214">
        <f t="shared" si="153"/>
        <v>0</v>
      </c>
      <c r="BH71" s="160">
        <f t="shared" si="37"/>
        <v>0</v>
      </c>
      <c r="BI71" s="200"/>
      <c r="BJ71" s="462"/>
      <c r="BK71" s="462"/>
      <c r="BL71" s="462"/>
      <c r="BM71" s="463"/>
      <c r="BN71" s="463"/>
      <c r="BO71" s="463"/>
      <c r="BP71" s="462"/>
      <c r="BQ71" s="462"/>
      <c r="BR71" s="462"/>
      <c r="BS71" s="462"/>
      <c r="BT71" s="462"/>
      <c r="BU71" s="462"/>
      <c r="BV71" s="462"/>
      <c r="BW71" s="462"/>
      <c r="BX71" s="462"/>
      <c r="BY71" s="462"/>
      <c r="BZ71" s="462"/>
      <c r="CA71" s="462"/>
      <c r="CB71" s="464"/>
      <c r="CC71" s="462"/>
      <c r="CD71" s="462"/>
      <c r="CE71" s="464"/>
      <c r="CF71" s="464"/>
      <c r="CG71" s="464"/>
      <c r="CH71" s="464"/>
      <c r="CI71" s="462"/>
      <c r="CJ71" s="462"/>
      <c r="CK71" s="464"/>
      <c r="CL71" s="464"/>
      <c r="CM71" s="464"/>
      <c r="CN71" s="357"/>
      <c r="CO71" s="346"/>
      <c r="CP71" s="346"/>
      <c r="CQ71" s="171"/>
      <c r="CR71" s="171"/>
      <c r="CS71" s="171"/>
      <c r="CT71" s="171"/>
      <c r="CU71" s="171"/>
      <c r="CV71" s="171"/>
      <c r="CW71" s="171"/>
      <c r="CX71" s="171"/>
      <c r="CY71" s="171"/>
      <c r="CZ71" s="171"/>
      <c r="DA71" s="171"/>
      <c r="DB71" s="171"/>
      <c r="DC71" s="171"/>
      <c r="DD71" s="171"/>
      <c r="DE71" s="171"/>
      <c r="DF71" s="171"/>
      <c r="DG71" s="171"/>
      <c r="DH71" s="171"/>
      <c r="DI71" s="171"/>
      <c r="DJ71" s="171"/>
      <c r="DK71" s="171"/>
      <c r="DL71" s="171"/>
      <c r="DM71" s="171"/>
      <c r="DN71" s="171"/>
      <c r="DO71" s="171"/>
      <c r="DP71" s="171"/>
      <c r="DQ71" s="171"/>
      <c r="DR71" s="171"/>
      <c r="DS71" s="171"/>
      <c r="DT71" s="171"/>
      <c r="DU71" s="171"/>
      <c r="DV71" s="171"/>
      <c r="DW71" s="170"/>
      <c r="DX71" s="170"/>
      <c r="DY71" s="170"/>
      <c r="DZ71" s="170"/>
      <c r="EA71" s="170"/>
      <c r="EB71" s="170"/>
      <c r="EC71" s="170"/>
      <c r="ED71" s="170"/>
    </row>
    <row r="72" spans="1:134" s="147" customFormat="1" hidden="1" x14ac:dyDescent="0.25">
      <c r="A72" s="146"/>
      <c r="B72" s="764" t="s">
        <v>136</v>
      </c>
      <c r="C72" s="111"/>
      <c r="D72" s="205">
        <f t="shared" si="131"/>
        <v>0</v>
      </c>
      <c r="E72" s="91"/>
      <c r="F72" s="91"/>
      <c r="G72" s="91"/>
      <c r="H72" s="91"/>
      <c r="I72" s="91"/>
      <c r="J72" s="91"/>
      <c r="K72" s="91"/>
      <c r="L72" s="91"/>
      <c r="M72" s="91"/>
      <c r="N72" s="91"/>
      <c r="O72" s="91"/>
      <c r="P72" s="91"/>
      <c r="Q72" s="206">
        <f t="shared" si="154"/>
        <v>0</v>
      </c>
      <c r="R72" s="205">
        <f t="shared" si="132"/>
        <v>0</v>
      </c>
      <c r="S72" s="206">
        <f t="shared" si="133"/>
        <v>0</v>
      </c>
      <c r="T72" s="206">
        <f t="shared" si="134"/>
        <v>0</v>
      </c>
      <c r="U72" s="206">
        <f t="shared" si="135"/>
        <v>0</v>
      </c>
      <c r="V72" s="92"/>
      <c r="W72" s="207">
        <f t="shared" si="136"/>
        <v>0</v>
      </c>
      <c r="X72" s="213">
        <f>VLOOKUP($C72,$BI$195:$CM$609,9,FALSE)</f>
        <v>0</v>
      </c>
      <c r="Y72" s="209">
        <f>VLOOKUP($C72,$BI$195:$CM$609,10,FALSE)</f>
        <v>0</v>
      </c>
      <c r="Z72" s="207">
        <f>IF($Q72&gt;0,VLOOKUP($C72,$BI$195:$CM$609,126,FALSE),0)</f>
        <v>0</v>
      </c>
      <c r="AA72" s="210">
        <f t="shared" si="137"/>
        <v>0</v>
      </c>
      <c r="AB72" s="210">
        <f t="shared" si="138"/>
        <v>0</v>
      </c>
      <c r="AC72" s="207">
        <f t="shared" si="139"/>
        <v>0</v>
      </c>
      <c r="AD72" s="210">
        <f t="shared" si="140"/>
        <v>0</v>
      </c>
      <c r="AE72" s="211">
        <f>VLOOKUP($C72,$BI$195:$CM$609,3,FALSE)</f>
        <v>0</v>
      </c>
      <c r="AF72" s="209">
        <f>VLOOKUP($C72,$BI$195:$CM$609,4,FALSE)</f>
        <v>0</v>
      </c>
      <c r="AG72" s="207">
        <f>IF($Q72&gt;0,VLOOKUP($C72,$BI$195:$CM$609,6,FALSE),0)</f>
        <v>0</v>
      </c>
      <c r="AH72" s="210">
        <f t="shared" si="141"/>
        <v>0</v>
      </c>
      <c r="AI72" s="212">
        <f t="shared" si="142"/>
        <v>0</v>
      </c>
      <c r="AJ72" s="207">
        <f t="shared" si="143"/>
        <v>0</v>
      </c>
      <c r="AK72" s="210">
        <f t="shared" si="144"/>
        <v>0</v>
      </c>
      <c r="AL72" s="211">
        <v>0</v>
      </c>
      <c r="AM72" s="209">
        <v>0</v>
      </c>
      <c r="AN72" s="207">
        <v>0</v>
      </c>
      <c r="AO72" s="212">
        <f>(W72*AL72)/1000</f>
        <v>0</v>
      </c>
      <c r="AP72" s="212">
        <f t="shared" si="145"/>
        <v>0</v>
      </c>
      <c r="AQ72" s="207">
        <f t="shared" si="146"/>
        <v>0</v>
      </c>
      <c r="AR72" s="210">
        <f t="shared" si="147"/>
        <v>0</v>
      </c>
      <c r="AS72" s="213">
        <v>0</v>
      </c>
      <c r="AT72" s="209">
        <v>0</v>
      </c>
      <c r="AU72" s="207">
        <v>0</v>
      </c>
      <c r="AV72" s="212">
        <v>0</v>
      </c>
      <c r="AW72" s="207">
        <v>0</v>
      </c>
      <c r="AX72" s="210">
        <f t="shared" si="148"/>
        <v>0</v>
      </c>
      <c r="AY72" s="213">
        <v>0</v>
      </c>
      <c r="AZ72" s="209">
        <v>0</v>
      </c>
      <c r="BA72" s="207">
        <v>0</v>
      </c>
      <c r="BB72" s="212">
        <f t="shared" si="149"/>
        <v>0</v>
      </c>
      <c r="BC72" s="212">
        <f t="shared" si="150"/>
        <v>0</v>
      </c>
      <c r="BD72" s="207">
        <v>0</v>
      </c>
      <c r="BE72" s="210">
        <f t="shared" si="151"/>
        <v>0</v>
      </c>
      <c r="BF72" s="206">
        <f t="shared" si="152"/>
        <v>0</v>
      </c>
      <c r="BG72" s="214">
        <f t="shared" si="153"/>
        <v>0</v>
      </c>
      <c r="BH72" s="160">
        <f t="shared" si="37"/>
        <v>0</v>
      </c>
      <c r="BI72" s="200"/>
      <c r="BJ72" s="462"/>
      <c r="BK72" s="462"/>
      <c r="BL72" s="462"/>
      <c r="BM72" s="463"/>
      <c r="BN72" s="463"/>
      <c r="BO72" s="463"/>
      <c r="BP72" s="462"/>
      <c r="BQ72" s="462"/>
      <c r="BR72" s="462"/>
      <c r="BS72" s="462"/>
      <c r="BT72" s="462"/>
      <c r="BU72" s="462"/>
      <c r="BV72" s="462"/>
      <c r="BW72" s="462"/>
      <c r="BX72" s="462"/>
      <c r="BY72" s="462"/>
      <c r="BZ72" s="462"/>
      <c r="CA72" s="462"/>
      <c r="CB72" s="464"/>
      <c r="CC72" s="462"/>
      <c r="CD72" s="462"/>
      <c r="CE72" s="464"/>
      <c r="CF72" s="464"/>
      <c r="CG72" s="464"/>
      <c r="CH72" s="464"/>
      <c r="CI72" s="462"/>
      <c r="CJ72" s="462"/>
      <c r="CK72" s="464"/>
      <c r="CL72" s="464"/>
      <c r="CM72" s="464"/>
      <c r="CN72" s="357"/>
      <c r="CO72" s="346"/>
      <c r="CP72" s="346"/>
      <c r="CQ72" s="171"/>
      <c r="CR72" s="171"/>
      <c r="CS72" s="171"/>
      <c r="CT72" s="171"/>
      <c r="CU72" s="171"/>
      <c r="CV72" s="171"/>
      <c r="CW72" s="171"/>
      <c r="CX72" s="171"/>
      <c r="CY72" s="171"/>
      <c r="CZ72" s="171"/>
      <c r="DA72" s="171"/>
      <c r="DB72" s="171"/>
      <c r="DC72" s="171"/>
      <c r="DD72" s="171"/>
      <c r="DE72" s="171"/>
      <c r="DF72" s="171"/>
      <c r="DG72" s="171"/>
      <c r="DH72" s="171"/>
      <c r="DI72" s="171"/>
      <c r="DJ72" s="171"/>
      <c r="DK72" s="171"/>
      <c r="DL72" s="171"/>
      <c r="DM72" s="171"/>
      <c r="DN72" s="171"/>
      <c r="DO72" s="171"/>
      <c r="DP72" s="171"/>
      <c r="DQ72" s="171"/>
      <c r="DR72" s="171"/>
      <c r="DS72" s="171"/>
      <c r="DT72" s="171"/>
      <c r="DU72" s="171"/>
      <c r="DV72" s="171"/>
      <c r="DW72" s="170"/>
      <c r="DX72" s="170"/>
      <c r="DY72" s="170"/>
      <c r="DZ72" s="170"/>
      <c r="EA72" s="170"/>
      <c r="EB72" s="170"/>
      <c r="EC72" s="170"/>
      <c r="ED72" s="170"/>
    </row>
    <row r="73" spans="1:134" s="147" customFormat="1" hidden="1" x14ac:dyDescent="0.25">
      <c r="A73" s="146"/>
      <c r="B73" s="766"/>
      <c r="C73" s="111"/>
      <c r="D73" s="205">
        <f t="shared" si="131"/>
        <v>0</v>
      </c>
      <c r="E73" s="91"/>
      <c r="F73" s="91"/>
      <c r="G73" s="91"/>
      <c r="H73" s="91"/>
      <c r="I73" s="91"/>
      <c r="J73" s="91"/>
      <c r="K73" s="91"/>
      <c r="L73" s="91"/>
      <c r="M73" s="91"/>
      <c r="N73" s="91"/>
      <c r="O73" s="91"/>
      <c r="P73" s="91"/>
      <c r="Q73" s="206">
        <f t="shared" si="154"/>
        <v>0</v>
      </c>
      <c r="R73" s="205">
        <f t="shared" si="132"/>
        <v>0</v>
      </c>
      <c r="S73" s="206">
        <f t="shared" si="133"/>
        <v>0</v>
      </c>
      <c r="T73" s="206">
        <f t="shared" si="134"/>
        <v>0</v>
      </c>
      <c r="U73" s="206">
        <f t="shared" si="135"/>
        <v>0</v>
      </c>
      <c r="V73" s="92"/>
      <c r="W73" s="207">
        <f t="shared" si="136"/>
        <v>0</v>
      </c>
      <c r="X73" s="213">
        <v>0</v>
      </c>
      <c r="Y73" s="209">
        <v>0</v>
      </c>
      <c r="Z73" s="207">
        <v>0</v>
      </c>
      <c r="AA73" s="210">
        <f t="shared" si="137"/>
        <v>0</v>
      </c>
      <c r="AB73" s="210">
        <f t="shared" si="138"/>
        <v>0</v>
      </c>
      <c r="AC73" s="207">
        <f t="shared" si="139"/>
        <v>0</v>
      </c>
      <c r="AD73" s="210">
        <f t="shared" si="140"/>
        <v>0</v>
      </c>
      <c r="AE73" s="211">
        <v>0</v>
      </c>
      <c r="AF73" s="209">
        <v>0</v>
      </c>
      <c r="AG73" s="207">
        <v>0</v>
      </c>
      <c r="AH73" s="212">
        <f t="shared" si="141"/>
        <v>0</v>
      </c>
      <c r="AI73" s="212">
        <f t="shared" si="142"/>
        <v>0</v>
      </c>
      <c r="AJ73" s="207">
        <f t="shared" si="143"/>
        <v>0</v>
      </c>
      <c r="AK73" s="210">
        <f t="shared" si="144"/>
        <v>0</v>
      </c>
      <c r="AL73" s="211">
        <f>VLOOKUP($C73,$BI$195:$CM$609,3,FALSE)</f>
        <v>0</v>
      </c>
      <c r="AM73" s="209">
        <f>VLOOKUP($C73,$BI$195:$CM$609,4,FALSE)</f>
        <v>0</v>
      </c>
      <c r="AN73" s="207">
        <f>IF($Q73&gt;0,VLOOKUP($C73,$BI$195:$CM$609,6,FALSE),0)</f>
        <v>0</v>
      </c>
      <c r="AO73" s="210">
        <f>($Q73*AL73)/1000</f>
        <v>0</v>
      </c>
      <c r="AP73" s="212">
        <f t="shared" si="145"/>
        <v>0</v>
      </c>
      <c r="AQ73" s="207">
        <f t="shared" si="146"/>
        <v>0</v>
      </c>
      <c r="AR73" s="210">
        <f t="shared" si="147"/>
        <v>0</v>
      </c>
      <c r="AS73" s="213">
        <v>0</v>
      </c>
      <c r="AT73" s="209">
        <v>0</v>
      </c>
      <c r="AU73" s="207">
        <v>0</v>
      </c>
      <c r="AV73" s="212">
        <v>0</v>
      </c>
      <c r="AW73" s="207">
        <v>0</v>
      </c>
      <c r="AX73" s="210">
        <f t="shared" si="148"/>
        <v>0</v>
      </c>
      <c r="AY73" s="213">
        <v>0</v>
      </c>
      <c r="AZ73" s="209">
        <v>0</v>
      </c>
      <c r="BA73" s="207">
        <v>0</v>
      </c>
      <c r="BB73" s="212">
        <f t="shared" si="149"/>
        <v>0</v>
      </c>
      <c r="BC73" s="212">
        <f t="shared" si="150"/>
        <v>0</v>
      </c>
      <c r="BD73" s="207">
        <v>0</v>
      </c>
      <c r="BE73" s="210">
        <f t="shared" si="151"/>
        <v>0</v>
      </c>
      <c r="BF73" s="206">
        <f t="shared" si="152"/>
        <v>0</v>
      </c>
      <c r="BG73" s="214">
        <f t="shared" si="153"/>
        <v>0</v>
      </c>
      <c r="BH73" s="160">
        <f>(BF73*BG73)^2</f>
        <v>0</v>
      </c>
      <c r="BI73" s="200"/>
      <c r="BJ73" s="462"/>
      <c r="BK73" s="462"/>
      <c r="BL73" s="462"/>
      <c r="BM73" s="463"/>
      <c r="BN73" s="463"/>
      <c r="BO73" s="463"/>
      <c r="BP73" s="462"/>
      <c r="BQ73" s="462"/>
      <c r="BR73" s="462"/>
      <c r="BS73" s="462"/>
      <c r="BT73" s="462"/>
      <c r="BU73" s="462"/>
      <c r="BV73" s="462"/>
      <c r="BW73" s="462"/>
      <c r="BX73" s="462"/>
      <c r="BY73" s="462"/>
      <c r="BZ73" s="462"/>
      <c r="CA73" s="462"/>
      <c r="CB73" s="464"/>
      <c r="CC73" s="462"/>
      <c r="CD73" s="462"/>
      <c r="CE73" s="464"/>
      <c r="CF73" s="464"/>
      <c r="CG73" s="464"/>
      <c r="CH73" s="464"/>
      <c r="CI73" s="462"/>
      <c r="CJ73" s="462"/>
      <c r="CK73" s="464"/>
      <c r="CL73" s="464"/>
      <c r="CM73" s="464"/>
      <c r="CN73" s="357"/>
      <c r="CO73" s="346"/>
      <c r="CP73" s="346"/>
      <c r="CQ73" s="171"/>
      <c r="CR73" s="171"/>
      <c r="CS73" s="171"/>
      <c r="CT73" s="171"/>
      <c r="CU73" s="171"/>
      <c r="CV73" s="171"/>
      <c r="CW73" s="171"/>
      <c r="CX73" s="171"/>
      <c r="CY73" s="171"/>
      <c r="CZ73" s="171"/>
      <c r="DA73" s="171"/>
      <c r="DB73" s="171"/>
      <c r="DC73" s="171"/>
      <c r="DD73" s="171"/>
      <c r="DE73" s="171"/>
      <c r="DF73" s="171"/>
      <c r="DG73" s="171"/>
      <c r="DH73" s="171"/>
      <c r="DI73" s="171"/>
      <c r="DJ73" s="171"/>
      <c r="DK73" s="171"/>
      <c r="DL73" s="171"/>
      <c r="DM73" s="171"/>
      <c r="DN73" s="171"/>
      <c r="DO73" s="171"/>
      <c r="DP73" s="171"/>
      <c r="DQ73" s="171"/>
      <c r="DR73" s="171"/>
      <c r="DS73" s="171"/>
      <c r="DT73" s="171"/>
      <c r="DU73" s="171"/>
      <c r="DV73" s="171"/>
      <c r="DW73" s="170"/>
      <c r="DX73" s="170"/>
      <c r="DY73" s="170"/>
      <c r="DZ73" s="170"/>
      <c r="EA73" s="170"/>
      <c r="EB73" s="170"/>
      <c r="EC73" s="170"/>
      <c r="ED73" s="170"/>
    </row>
    <row r="74" spans="1:134" s="147" customFormat="1" hidden="1" x14ac:dyDescent="0.25">
      <c r="A74" s="146"/>
      <c r="B74" s="765"/>
      <c r="C74" s="111"/>
      <c r="D74" s="205">
        <f t="shared" si="131"/>
        <v>0</v>
      </c>
      <c r="E74" s="91"/>
      <c r="F74" s="91"/>
      <c r="G74" s="91"/>
      <c r="H74" s="91"/>
      <c r="I74" s="91"/>
      <c r="J74" s="91"/>
      <c r="K74" s="91"/>
      <c r="L74" s="91"/>
      <c r="M74" s="91"/>
      <c r="N74" s="91"/>
      <c r="O74" s="91"/>
      <c r="P74" s="91"/>
      <c r="Q74" s="206">
        <f t="shared" si="154"/>
        <v>0</v>
      </c>
      <c r="R74" s="205">
        <f t="shared" si="132"/>
        <v>0</v>
      </c>
      <c r="S74" s="206">
        <f t="shared" si="133"/>
        <v>0</v>
      </c>
      <c r="T74" s="206">
        <f t="shared" si="134"/>
        <v>0</v>
      </c>
      <c r="U74" s="206">
        <f t="shared" si="135"/>
        <v>0</v>
      </c>
      <c r="V74" s="92"/>
      <c r="W74" s="207">
        <f t="shared" si="136"/>
        <v>0</v>
      </c>
      <c r="X74" s="213">
        <f>VLOOKUP($C74,$BI$195:$CM$609,3,FALSE)</f>
        <v>0</v>
      </c>
      <c r="Y74" s="209">
        <f>VLOOKUP($C74,$BI$195:$CM$609,4,FALSE)</f>
        <v>0</v>
      </c>
      <c r="Z74" s="207">
        <f>IF($Q74&gt;0,VLOOKUP($C74,$BI$195:$CM$609,6,FALSE),0)</f>
        <v>0</v>
      </c>
      <c r="AA74" s="210">
        <f t="shared" si="137"/>
        <v>0</v>
      </c>
      <c r="AB74" s="210">
        <f t="shared" si="138"/>
        <v>0</v>
      </c>
      <c r="AC74" s="207">
        <f t="shared" si="139"/>
        <v>0</v>
      </c>
      <c r="AD74" s="210">
        <f t="shared" si="140"/>
        <v>0</v>
      </c>
      <c r="AE74" s="211">
        <v>0</v>
      </c>
      <c r="AF74" s="209">
        <v>0</v>
      </c>
      <c r="AG74" s="207">
        <v>0</v>
      </c>
      <c r="AH74" s="212">
        <f t="shared" si="141"/>
        <v>0</v>
      </c>
      <c r="AI74" s="212">
        <f t="shared" si="142"/>
        <v>0</v>
      </c>
      <c r="AJ74" s="207">
        <f t="shared" si="143"/>
        <v>0</v>
      </c>
      <c r="AK74" s="210">
        <f t="shared" si="144"/>
        <v>0</v>
      </c>
      <c r="AL74" s="211">
        <v>0</v>
      </c>
      <c r="AM74" s="209">
        <v>0</v>
      </c>
      <c r="AN74" s="207">
        <v>0</v>
      </c>
      <c r="AO74" s="212">
        <f>(W74*AL74)/1000</f>
        <v>0</v>
      </c>
      <c r="AP74" s="212">
        <f t="shared" si="145"/>
        <v>0</v>
      </c>
      <c r="AQ74" s="207">
        <f t="shared" si="146"/>
        <v>0</v>
      </c>
      <c r="AR74" s="210">
        <f t="shared" si="147"/>
        <v>0</v>
      </c>
      <c r="AS74" s="213">
        <v>0</v>
      </c>
      <c r="AT74" s="209">
        <v>0</v>
      </c>
      <c r="AU74" s="207">
        <v>0</v>
      </c>
      <c r="AV74" s="212">
        <v>0</v>
      </c>
      <c r="AW74" s="207">
        <v>0</v>
      </c>
      <c r="AX74" s="210">
        <f t="shared" si="148"/>
        <v>0</v>
      </c>
      <c r="AY74" s="213">
        <v>0</v>
      </c>
      <c r="AZ74" s="209">
        <v>0</v>
      </c>
      <c r="BA74" s="207">
        <v>0</v>
      </c>
      <c r="BB74" s="212">
        <f t="shared" si="149"/>
        <v>0</v>
      </c>
      <c r="BC74" s="212">
        <f t="shared" si="150"/>
        <v>0</v>
      </c>
      <c r="BD74" s="207">
        <v>0</v>
      </c>
      <c r="BE74" s="210">
        <f t="shared" si="151"/>
        <v>0</v>
      </c>
      <c r="BF74" s="206">
        <f t="shared" si="152"/>
        <v>0</v>
      </c>
      <c r="BG74" s="214">
        <f t="shared" si="153"/>
        <v>0</v>
      </c>
      <c r="BH74" s="160">
        <f t="shared" si="37"/>
        <v>0</v>
      </c>
      <c r="BI74" s="200"/>
      <c r="BJ74" s="462"/>
      <c r="BK74" s="462"/>
      <c r="BL74" s="462"/>
      <c r="BM74" s="463"/>
      <c r="BN74" s="463"/>
      <c r="BO74" s="463"/>
      <c r="BP74" s="462"/>
      <c r="BQ74" s="462"/>
      <c r="BR74" s="462"/>
      <c r="BS74" s="462"/>
      <c r="BT74" s="462"/>
      <c r="BU74" s="462"/>
      <c r="BV74" s="462"/>
      <c r="BW74" s="462"/>
      <c r="BX74" s="462"/>
      <c r="BY74" s="462"/>
      <c r="BZ74" s="462"/>
      <c r="CA74" s="462"/>
      <c r="CB74" s="464"/>
      <c r="CC74" s="462"/>
      <c r="CD74" s="462"/>
      <c r="CE74" s="464"/>
      <c r="CF74" s="464"/>
      <c r="CG74" s="464"/>
      <c r="CH74" s="464"/>
      <c r="CI74" s="462"/>
      <c r="CJ74" s="462"/>
      <c r="CK74" s="464"/>
      <c r="CL74" s="464"/>
      <c r="CM74" s="464"/>
      <c r="CN74" s="357"/>
      <c r="CO74" s="346"/>
      <c r="CP74" s="346"/>
      <c r="CQ74" s="171"/>
      <c r="CR74" s="171"/>
      <c r="CS74" s="171"/>
      <c r="CT74" s="171"/>
      <c r="CU74" s="171"/>
      <c r="CV74" s="171"/>
      <c r="CW74" s="171"/>
      <c r="CX74" s="171"/>
      <c r="CY74" s="171"/>
      <c r="CZ74" s="171"/>
      <c r="DA74" s="171"/>
      <c r="DB74" s="171"/>
      <c r="DC74" s="171"/>
      <c r="DD74" s="171"/>
      <c r="DE74" s="171"/>
      <c r="DF74" s="171"/>
      <c r="DG74" s="171"/>
      <c r="DH74" s="171"/>
      <c r="DI74" s="171"/>
      <c r="DJ74" s="171"/>
      <c r="DK74" s="171"/>
      <c r="DL74" s="171"/>
      <c r="DM74" s="171"/>
      <c r="DN74" s="171"/>
      <c r="DO74" s="171"/>
      <c r="DP74" s="171"/>
      <c r="DQ74" s="171"/>
      <c r="DR74" s="171"/>
      <c r="DS74" s="171"/>
      <c r="DT74" s="171"/>
      <c r="DU74" s="171"/>
      <c r="DV74" s="171"/>
      <c r="DW74" s="170"/>
      <c r="DX74" s="170"/>
      <c r="DY74" s="170"/>
      <c r="DZ74" s="170"/>
      <c r="EA74" s="170"/>
      <c r="EB74" s="170"/>
      <c r="EC74" s="170"/>
      <c r="ED74" s="170"/>
    </row>
    <row r="75" spans="1:134" s="147" customFormat="1" hidden="1" x14ac:dyDescent="0.25">
      <c r="A75" s="146"/>
      <c r="B75" s="764" t="s">
        <v>137</v>
      </c>
      <c r="C75" s="395"/>
      <c r="D75" s="205">
        <f t="shared" si="131"/>
        <v>0</v>
      </c>
      <c r="E75" s="91"/>
      <c r="F75" s="91"/>
      <c r="G75" s="91"/>
      <c r="H75" s="91"/>
      <c r="I75" s="91"/>
      <c r="J75" s="91"/>
      <c r="K75" s="91"/>
      <c r="L75" s="91"/>
      <c r="M75" s="91"/>
      <c r="N75" s="91"/>
      <c r="O75" s="91"/>
      <c r="P75" s="91"/>
      <c r="Q75" s="206">
        <f t="shared" ref="Q75:Q80" si="155">SUM(E75:P75)</f>
        <v>0</v>
      </c>
      <c r="R75" s="205">
        <f t="shared" ref="R75:R80" si="156">COUNT(E75:P75)</f>
        <v>0</v>
      </c>
      <c r="S75" s="206">
        <f t="shared" ref="S75:S80" si="157">IF(R75&gt;1,AVERAGE(E75:P75),0)</f>
        <v>0</v>
      </c>
      <c r="T75" s="206">
        <f t="shared" ref="T75:T80" si="158">IF(R75&gt;1,STDEV(E75:P75),0)</f>
        <v>0</v>
      </c>
      <c r="U75" s="206">
        <f t="shared" si="135"/>
        <v>0</v>
      </c>
      <c r="V75" s="92"/>
      <c r="W75" s="207">
        <f t="shared" si="136"/>
        <v>0</v>
      </c>
      <c r="X75" s="213">
        <v>0</v>
      </c>
      <c r="Y75" s="209">
        <v>0</v>
      </c>
      <c r="Z75" s="207">
        <v>0</v>
      </c>
      <c r="AA75" s="210">
        <f t="shared" ref="AA75:AA80" si="159">($Q75*X75)/1000</f>
        <v>0</v>
      </c>
      <c r="AB75" s="210">
        <f t="shared" si="138"/>
        <v>0</v>
      </c>
      <c r="AC75" s="207">
        <f t="shared" ref="AC75:AC80" si="160">IF(AA75&gt;0,SQRT(($W75*$W75)+(Z75*Z75)+($V75*$V75)),0)</f>
        <v>0</v>
      </c>
      <c r="AD75" s="210">
        <f t="shared" ref="AD75:AD80" si="161">(AB75*AC75)^2</f>
        <v>0</v>
      </c>
      <c r="AE75" s="211">
        <f t="shared" ref="AE75:AE80" si="162">IF(R75&gt;0,VLOOKUP($C75,$BI$195:$CM$609,3,FALSE)/R75,0)</f>
        <v>0</v>
      </c>
      <c r="AF75" s="209">
        <f t="shared" ref="AF75:AF80" si="163">VLOOKUP($C75,$BI$195:$CM$609,4,FALSE)</f>
        <v>0</v>
      </c>
      <c r="AG75" s="207">
        <f t="shared" ref="AG75:AG80" si="164">IF($Q75&gt;0,VLOOKUP($C75,$BI$195:$CM$609,6,FALSE),0)</f>
        <v>0</v>
      </c>
      <c r="AH75" s="210">
        <f t="shared" ref="AH75:AH80" si="165">($Q75*AE75)/1000</f>
        <v>0</v>
      </c>
      <c r="AI75" s="212">
        <f t="shared" si="142"/>
        <v>0</v>
      </c>
      <c r="AJ75" s="207">
        <f t="shared" ref="AJ75:AJ80" si="166">IF(AH75&gt;0,SQRT(($W75*$W75)+(AG75*AG75)+($V75*$V75)),0)</f>
        <v>0</v>
      </c>
      <c r="AK75" s="210">
        <f t="shared" ref="AK75:AK80" si="167">(AI75*AJ75)^2</f>
        <v>0</v>
      </c>
      <c r="AL75" s="211">
        <v>0</v>
      </c>
      <c r="AM75" s="209">
        <v>0</v>
      </c>
      <c r="AN75" s="207">
        <v>0</v>
      </c>
      <c r="AO75" s="212">
        <f>(W75*AL75)/1000</f>
        <v>0</v>
      </c>
      <c r="AP75" s="212">
        <f t="shared" si="145"/>
        <v>0</v>
      </c>
      <c r="AQ75" s="207">
        <f t="shared" si="146"/>
        <v>0</v>
      </c>
      <c r="AR75" s="210">
        <f t="shared" si="147"/>
        <v>0</v>
      </c>
      <c r="AS75" s="213">
        <v>0</v>
      </c>
      <c r="AT75" s="209">
        <v>0</v>
      </c>
      <c r="AU75" s="207">
        <v>0</v>
      </c>
      <c r="AV75" s="212">
        <v>0</v>
      </c>
      <c r="AW75" s="207">
        <v>0</v>
      </c>
      <c r="AX75" s="210">
        <f t="shared" ref="AX75:AX80" si="168">(AV75*AW75)^2</f>
        <v>0</v>
      </c>
      <c r="AY75" s="213">
        <v>0</v>
      </c>
      <c r="AZ75" s="209">
        <v>0</v>
      </c>
      <c r="BA75" s="207">
        <v>0</v>
      </c>
      <c r="BB75" s="212">
        <f t="shared" ref="BB75:BB80" si="169">($Q75*AY75)/1000</f>
        <v>0</v>
      </c>
      <c r="BC75" s="212">
        <f t="shared" si="150"/>
        <v>0</v>
      </c>
      <c r="BD75" s="207">
        <v>0</v>
      </c>
      <c r="BE75" s="210">
        <f t="shared" ref="BE75:BE80" si="170">(BC75*BD75)^2</f>
        <v>0</v>
      </c>
      <c r="BF75" s="206">
        <f t="shared" si="152"/>
        <v>0</v>
      </c>
      <c r="BG75" s="214">
        <f t="shared" si="153"/>
        <v>0</v>
      </c>
      <c r="BH75" s="160">
        <f t="shared" si="37"/>
        <v>0</v>
      </c>
      <c r="BI75" s="200"/>
      <c r="BJ75" s="462"/>
      <c r="BK75" s="462"/>
      <c r="BL75" s="462"/>
      <c r="BM75" s="463"/>
      <c r="BN75" s="463"/>
      <c r="BO75" s="463"/>
      <c r="BP75" s="462"/>
      <c r="BQ75" s="462"/>
      <c r="BR75" s="462"/>
      <c r="BS75" s="462"/>
      <c r="BT75" s="462"/>
      <c r="BU75" s="462"/>
      <c r="BV75" s="462"/>
      <c r="BW75" s="462"/>
      <c r="BX75" s="462"/>
      <c r="BY75" s="462"/>
      <c r="BZ75" s="462"/>
      <c r="CA75" s="462"/>
      <c r="CB75" s="464"/>
      <c r="CC75" s="462"/>
      <c r="CD75" s="462"/>
      <c r="CE75" s="464"/>
      <c r="CF75" s="464"/>
      <c r="CG75" s="464"/>
      <c r="CH75" s="464"/>
      <c r="CI75" s="462"/>
      <c r="CJ75" s="462"/>
      <c r="CK75" s="464"/>
      <c r="CL75" s="464"/>
      <c r="CM75" s="464"/>
      <c r="CN75" s="357"/>
      <c r="CO75" s="346"/>
      <c r="CP75" s="346"/>
      <c r="CQ75" s="171"/>
      <c r="CR75" s="171"/>
      <c r="CS75" s="171"/>
      <c r="CT75" s="171"/>
      <c r="CU75" s="171"/>
      <c r="CV75" s="171"/>
      <c r="CW75" s="171"/>
      <c r="CX75" s="171"/>
      <c r="CY75" s="171"/>
      <c r="CZ75" s="171"/>
      <c r="DA75" s="171"/>
      <c r="DB75" s="171"/>
      <c r="DC75" s="171"/>
      <c r="DD75" s="171"/>
      <c r="DE75" s="171"/>
      <c r="DF75" s="171"/>
      <c r="DG75" s="171"/>
      <c r="DH75" s="171"/>
      <c r="DI75" s="171"/>
      <c r="DJ75" s="171"/>
      <c r="DK75" s="171"/>
      <c r="DL75" s="171"/>
      <c r="DM75" s="171"/>
      <c r="DN75" s="171"/>
      <c r="DO75" s="171"/>
      <c r="DP75" s="171"/>
      <c r="DQ75" s="171"/>
      <c r="DR75" s="171"/>
      <c r="DS75" s="171"/>
      <c r="DT75" s="171"/>
      <c r="DU75" s="171"/>
      <c r="DV75" s="171"/>
      <c r="DW75" s="170"/>
      <c r="DX75" s="170"/>
      <c r="DY75" s="170"/>
      <c r="DZ75" s="170"/>
      <c r="EA75" s="170"/>
      <c r="EB75" s="170"/>
      <c r="EC75" s="170"/>
      <c r="ED75" s="170"/>
    </row>
    <row r="76" spans="1:134" s="147" customFormat="1" hidden="1" x14ac:dyDescent="0.25">
      <c r="A76" s="146"/>
      <c r="B76" s="766"/>
      <c r="C76" s="395"/>
      <c r="D76" s="205">
        <f t="shared" si="131"/>
        <v>0</v>
      </c>
      <c r="E76" s="91"/>
      <c r="F76" s="91"/>
      <c r="G76" s="91"/>
      <c r="H76" s="91"/>
      <c r="I76" s="91"/>
      <c r="J76" s="91"/>
      <c r="K76" s="91"/>
      <c r="L76" s="91"/>
      <c r="M76" s="91"/>
      <c r="N76" s="91"/>
      <c r="O76" s="91"/>
      <c r="P76" s="91"/>
      <c r="Q76" s="206">
        <f t="shared" si="155"/>
        <v>0</v>
      </c>
      <c r="R76" s="205">
        <f t="shared" si="156"/>
        <v>0</v>
      </c>
      <c r="S76" s="206">
        <f t="shared" si="157"/>
        <v>0</v>
      </c>
      <c r="T76" s="206">
        <f t="shared" si="158"/>
        <v>0</v>
      </c>
      <c r="U76" s="206">
        <f t="shared" si="135"/>
        <v>0</v>
      </c>
      <c r="V76" s="92"/>
      <c r="W76" s="207">
        <f t="shared" si="136"/>
        <v>0</v>
      </c>
      <c r="X76" s="213">
        <v>0</v>
      </c>
      <c r="Y76" s="209">
        <v>0</v>
      </c>
      <c r="Z76" s="207">
        <v>0</v>
      </c>
      <c r="AA76" s="210">
        <f t="shared" si="159"/>
        <v>0</v>
      </c>
      <c r="AB76" s="210">
        <f t="shared" si="138"/>
        <v>0</v>
      </c>
      <c r="AC76" s="207">
        <f t="shared" si="160"/>
        <v>0</v>
      </c>
      <c r="AD76" s="210">
        <f t="shared" si="161"/>
        <v>0</v>
      </c>
      <c r="AE76" s="211">
        <f t="shared" si="162"/>
        <v>0</v>
      </c>
      <c r="AF76" s="209">
        <f t="shared" si="163"/>
        <v>0</v>
      </c>
      <c r="AG76" s="207">
        <f t="shared" si="164"/>
        <v>0</v>
      </c>
      <c r="AH76" s="210">
        <f t="shared" si="165"/>
        <v>0</v>
      </c>
      <c r="AI76" s="212">
        <f t="shared" si="142"/>
        <v>0</v>
      </c>
      <c r="AJ76" s="207">
        <f t="shared" si="166"/>
        <v>0</v>
      </c>
      <c r="AK76" s="210">
        <f t="shared" si="167"/>
        <v>0</v>
      </c>
      <c r="AL76" s="211">
        <v>0</v>
      </c>
      <c r="AM76" s="209">
        <v>0</v>
      </c>
      <c r="AN76" s="207">
        <v>0</v>
      </c>
      <c r="AO76" s="212">
        <f>(W76*AL76)/1000</f>
        <v>0</v>
      </c>
      <c r="AP76" s="212">
        <f t="shared" si="145"/>
        <v>0</v>
      </c>
      <c r="AQ76" s="207">
        <f t="shared" si="146"/>
        <v>0</v>
      </c>
      <c r="AR76" s="210">
        <f t="shared" si="147"/>
        <v>0</v>
      </c>
      <c r="AS76" s="213">
        <v>0</v>
      </c>
      <c r="AT76" s="209">
        <v>0</v>
      </c>
      <c r="AU76" s="207">
        <v>0</v>
      </c>
      <c r="AV76" s="212">
        <v>0</v>
      </c>
      <c r="AW76" s="207">
        <v>0</v>
      </c>
      <c r="AX76" s="210">
        <f t="shared" si="168"/>
        <v>0</v>
      </c>
      <c r="AY76" s="213">
        <v>0</v>
      </c>
      <c r="AZ76" s="209">
        <v>0</v>
      </c>
      <c r="BA76" s="207">
        <v>0</v>
      </c>
      <c r="BB76" s="212">
        <f t="shared" si="169"/>
        <v>0</v>
      </c>
      <c r="BC76" s="212">
        <f t="shared" si="150"/>
        <v>0</v>
      </c>
      <c r="BD76" s="207">
        <v>0</v>
      </c>
      <c r="BE76" s="210">
        <f t="shared" si="170"/>
        <v>0</v>
      </c>
      <c r="BF76" s="206">
        <f t="shared" si="152"/>
        <v>0</v>
      </c>
      <c r="BG76" s="214">
        <f t="shared" si="153"/>
        <v>0</v>
      </c>
      <c r="BH76" s="160">
        <f t="shared" si="37"/>
        <v>0</v>
      </c>
      <c r="BI76" s="200"/>
      <c r="BJ76" s="462"/>
      <c r="BK76" s="462"/>
      <c r="BL76" s="462"/>
      <c r="BM76" s="463"/>
      <c r="BN76" s="463"/>
      <c r="BO76" s="463"/>
      <c r="BP76" s="462"/>
      <c r="BQ76" s="462"/>
      <c r="BR76" s="462"/>
      <c r="BS76" s="462"/>
      <c r="BT76" s="462"/>
      <c r="BU76" s="462"/>
      <c r="BV76" s="462"/>
      <c r="BW76" s="462"/>
      <c r="BX76" s="462"/>
      <c r="BY76" s="462"/>
      <c r="BZ76" s="462"/>
      <c r="CA76" s="462"/>
      <c r="CB76" s="464"/>
      <c r="CC76" s="462"/>
      <c r="CD76" s="462"/>
      <c r="CE76" s="464"/>
      <c r="CF76" s="464"/>
      <c r="CG76" s="464"/>
      <c r="CH76" s="464"/>
      <c r="CI76" s="462"/>
      <c r="CJ76" s="462"/>
      <c r="CK76" s="464"/>
      <c r="CL76" s="464"/>
      <c r="CM76" s="464"/>
      <c r="CN76" s="357"/>
      <c r="CO76" s="346"/>
      <c r="CP76" s="346"/>
      <c r="CQ76" s="171"/>
      <c r="CR76" s="171"/>
      <c r="CS76" s="171"/>
      <c r="CT76" s="171"/>
      <c r="CU76" s="171"/>
      <c r="CV76" s="171"/>
      <c r="CW76" s="171"/>
      <c r="CX76" s="171"/>
      <c r="CY76" s="171"/>
      <c r="CZ76" s="171"/>
      <c r="DA76" s="171"/>
      <c r="DB76" s="171"/>
      <c r="DC76" s="171"/>
      <c r="DD76" s="171"/>
      <c r="DE76" s="171"/>
      <c r="DF76" s="171"/>
      <c r="DG76" s="171"/>
      <c r="DH76" s="171"/>
      <c r="DI76" s="171"/>
      <c r="DJ76" s="171"/>
      <c r="DK76" s="171"/>
      <c r="DL76" s="171"/>
      <c r="DM76" s="171"/>
      <c r="DN76" s="171"/>
      <c r="DO76" s="171"/>
      <c r="DP76" s="171"/>
      <c r="DQ76" s="171"/>
      <c r="DR76" s="171"/>
      <c r="DS76" s="171"/>
      <c r="DT76" s="171"/>
      <c r="DU76" s="171"/>
      <c r="DV76" s="171"/>
      <c r="DW76" s="170"/>
      <c r="DX76" s="170"/>
      <c r="DY76" s="170"/>
      <c r="DZ76" s="170"/>
      <c r="EA76" s="170"/>
      <c r="EB76" s="170"/>
      <c r="EC76" s="170"/>
      <c r="ED76" s="170"/>
    </row>
    <row r="77" spans="1:134" s="147" customFormat="1" hidden="1" x14ac:dyDescent="0.25">
      <c r="A77" s="146"/>
      <c r="B77" s="765"/>
      <c r="C77" s="395"/>
      <c r="D77" s="205">
        <f t="shared" si="131"/>
        <v>0</v>
      </c>
      <c r="E77" s="91"/>
      <c r="F77" s="91"/>
      <c r="G77" s="91"/>
      <c r="H77" s="91"/>
      <c r="I77" s="91"/>
      <c r="J77" s="91"/>
      <c r="K77" s="91"/>
      <c r="L77" s="91"/>
      <c r="M77" s="91"/>
      <c r="N77" s="91"/>
      <c r="O77" s="91"/>
      <c r="P77" s="91"/>
      <c r="Q77" s="206">
        <f t="shared" si="155"/>
        <v>0</v>
      </c>
      <c r="R77" s="205">
        <f t="shared" si="156"/>
        <v>0</v>
      </c>
      <c r="S77" s="206">
        <f t="shared" si="157"/>
        <v>0</v>
      </c>
      <c r="T77" s="206">
        <f t="shared" si="158"/>
        <v>0</v>
      </c>
      <c r="U77" s="206">
        <f t="shared" si="135"/>
        <v>0</v>
      </c>
      <c r="V77" s="92"/>
      <c r="W77" s="207">
        <f t="shared" si="136"/>
        <v>0</v>
      </c>
      <c r="X77" s="213">
        <v>0</v>
      </c>
      <c r="Y77" s="209">
        <v>0</v>
      </c>
      <c r="Z77" s="207">
        <v>0</v>
      </c>
      <c r="AA77" s="210">
        <f t="shared" si="159"/>
        <v>0</v>
      </c>
      <c r="AB77" s="210">
        <f t="shared" si="138"/>
        <v>0</v>
      </c>
      <c r="AC77" s="207">
        <f t="shared" si="160"/>
        <v>0</v>
      </c>
      <c r="AD77" s="210">
        <f t="shared" si="161"/>
        <v>0</v>
      </c>
      <c r="AE77" s="211">
        <f t="shared" si="162"/>
        <v>0</v>
      </c>
      <c r="AF77" s="209">
        <f t="shared" si="163"/>
        <v>0</v>
      </c>
      <c r="AG77" s="207">
        <f t="shared" si="164"/>
        <v>0</v>
      </c>
      <c r="AH77" s="210">
        <f t="shared" si="165"/>
        <v>0</v>
      </c>
      <c r="AI77" s="212">
        <f t="shared" si="142"/>
        <v>0</v>
      </c>
      <c r="AJ77" s="207">
        <f t="shared" si="166"/>
        <v>0</v>
      </c>
      <c r="AK77" s="210">
        <f t="shared" si="167"/>
        <v>0</v>
      </c>
      <c r="AL77" s="211">
        <v>0</v>
      </c>
      <c r="AM77" s="209">
        <v>0</v>
      </c>
      <c r="AN77" s="207">
        <v>0</v>
      </c>
      <c r="AO77" s="212">
        <f>(W77*AL77)/1000</f>
        <v>0</v>
      </c>
      <c r="AP77" s="212">
        <f t="shared" si="145"/>
        <v>0</v>
      </c>
      <c r="AQ77" s="207">
        <f t="shared" si="146"/>
        <v>0</v>
      </c>
      <c r="AR77" s="210">
        <f t="shared" si="147"/>
        <v>0</v>
      </c>
      <c r="AS77" s="213">
        <v>0</v>
      </c>
      <c r="AT77" s="209">
        <v>0</v>
      </c>
      <c r="AU77" s="207">
        <v>0</v>
      </c>
      <c r="AV77" s="212">
        <v>0</v>
      </c>
      <c r="AW77" s="207">
        <v>0</v>
      </c>
      <c r="AX77" s="210">
        <f t="shared" si="168"/>
        <v>0</v>
      </c>
      <c r="AY77" s="213">
        <v>0</v>
      </c>
      <c r="AZ77" s="209">
        <v>0</v>
      </c>
      <c r="BA77" s="207">
        <v>0</v>
      </c>
      <c r="BB77" s="212">
        <f t="shared" si="169"/>
        <v>0</v>
      </c>
      <c r="BC77" s="212">
        <f t="shared" si="150"/>
        <v>0</v>
      </c>
      <c r="BD77" s="207">
        <v>0</v>
      </c>
      <c r="BE77" s="210">
        <f t="shared" si="170"/>
        <v>0</v>
      </c>
      <c r="BF77" s="206">
        <f t="shared" si="152"/>
        <v>0</v>
      </c>
      <c r="BG77" s="214">
        <f t="shared" si="153"/>
        <v>0</v>
      </c>
      <c r="BH77" s="160">
        <f t="shared" si="37"/>
        <v>0</v>
      </c>
      <c r="BI77" s="200"/>
      <c r="BJ77" s="462"/>
      <c r="BK77" s="462"/>
      <c r="BL77" s="462"/>
      <c r="BM77" s="463"/>
      <c r="BN77" s="463"/>
      <c r="BO77" s="463"/>
      <c r="BP77" s="462"/>
      <c r="BQ77" s="462"/>
      <c r="BR77" s="462"/>
      <c r="BS77" s="462"/>
      <c r="BT77" s="462"/>
      <c r="BU77" s="462"/>
      <c r="BV77" s="462"/>
      <c r="BW77" s="462"/>
      <c r="BX77" s="462"/>
      <c r="BY77" s="462"/>
      <c r="BZ77" s="462"/>
      <c r="CA77" s="462"/>
      <c r="CB77" s="464"/>
      <c r="CC77" s="462"/>
      <c r="CD77" s="462"/>
      <c r="CE77" s="464"/>
      <c r="CF77" s="464"/>
      <c r="CG77" s="464"/>
      <c r="CH77" s="464"/>
      <c r="CI77" s="462"/>
      <c r="CJ77" s="462"/>
      <c r="CK77" s="464"/>
      <c r="CL77" s="464"/>
      <c r="CM77" s="464"/>
      <c r="CN77" s="357"/>
      <c r="CO77" s="346"/>
      <c r="CP77" s="346"/>
      <c r="CQ77" s="171"/>
      <c r="CR77" s="171"/>
      <c r="CS77" s="171"/>
      <c r="CT77" s="171"/>
      <c r="CU77" s="171"/>
      <c r="CV77" s="171"/>
      <c r="CW77" s="171"/>
      <c r="CX77" s="171"/>
      <c r="CY77" s="171"/>
      <c r="CZ77" s="171"/>
      <c r="DA77" s="171"/>
      <c r="DB77" s="171"/>
      <c r="DC77" s="171"/>
      <c r="DD77" s="171"/>
      <c r="DE77" s="171"/>
      <c r="DF77" s="171"/>
      <c r="DG77" s="171"/>
      <c r="DH77" s="171"/>
      <c r="DI77" s="171"/>
      <c r="DJ77" s="171"/>
      <c r="DK77" s="171"/>
      <c r="DL77" s="171"/>
      <c r="DM77" s="171"/>
      <c r="DN77" s="171"/>
      <c r="DO77" s="171"/>
      <c r="DP77" s="171"/>
      <c r="DQ77" s="171"/>
      <c r="DR77" s="171"/>
      <c r="DS77" s="171"/>
      <c r="DT77" s="171"/>
      <c r="DU77" s="171"/>
      <c r="DV77" s="171"/>
      <c r="DW77" s="170"/>
      <c r="DX77" s="170"/>
      <c r="DY77" s="170"/>
      <c r="DZ77" s="170"/>
      <c r="EA77" s="170"/>
      <c r="EB77" s="170"/>
      <c r="EC77" s="170"/>
      <c r="ED77" s="170"/>
    </row>
    <row r="78" spans="1:134" s="147" customFormat="1" hidden="1" x14ac:dyDescent="0.25">
      <c r="A78" s="146"/>
      <c r="B78" s="764" t="s">
        <v>141</v>
      </c>
      <c r="C78" s="395"/>
      <c r="D78" s="205">
        <f t="shared" si="131"/>
        <v>0</v>
      </c>
      <c r="E78" s="91"/>
      <c r="F78" s="91"/>
      <c r="G78" s="91"/>
      <c r="H78" s="91"/>
      <c r="I78" s="91"/>
      <c r="J78" s="91"/>
      <c r="K78" s="91"/>
      <c r="L78" s="91"/>
      <c r="M78" s="91"/>
      <c r="N78" s="91"/>
      <c r="O78" s="91"/>
      <c r="P78" s="91"/>
      <c r="Q78" s="206">
        <f>SUM(E78:P78)</f>
        <v>0</v>
      </c>
      <c r="R78" s="205">
        <f>COUNT(E78:P78)</f>
        <v>0</v>
      </c>
      <c r="S78" s="206">
        <f>IF(R78&gt;1,AVERAGE(E78:P78),0)</f>
        <v>0</v>
      </c>
      <c r="T78" s="206">
        <f>IF(R78&gt;1,STDEV(E78:P78),0)</f>
        <v>0</v>
      </c>
      <c r="U78" s="206">
        <f t="shared" si="135"/>
        <v>0</v>
      </c>
      <c r="V78" s="92"/>
      <c r="W78" s="207">
        <f t="shared" si="136"/>
        <v>0</v>
      </c>
      <c r="X78" s="213">
        <v>0</v>
      </c>
      <c r="Y78" s="209">
        <v>0</v>
      </c>
      <c r="Z78" s="207">
        <v>0</v>
      </c>
      <c r="AA78" s="210">
        <f>($Q78*X78)/1000</f>
        <v>0</v>
      </c>
      <c r="AB78" s="210">
        <f t="shared" si="138"/>
        <v>0</v>
      </c>
      <c r="AC78" s="207">
        <f>IF(AA78&gt;0,SQRT(($W78*$W78)+(Z78*Z78)+($V78*$V78)),0)</f>
        <v>0</v>
      </c>
      <c r="AD78" s="210">
        <f>(AB78*AC78)^2</f>
        <v>0</v>
      </c>
      <c r="AE78" s="211">
        <f t="shared" si="162"/>
        <v>0</v>
      </c>
      <c r="AF78" s="209">
        <f t="shared" si="163"/>
        <v>0</v>
      </c>
      <c r="AG78" s="207">
        <f t="shared" si="164"/>
        <v>0</v>
      </c>
      <c r="AH78" s="210">
        <f>($Q78*AE78)/1000</f>
        <v>0</v>
      </c>
      <c r="AI78" s="212">
        <f t="shared" si="142"/>
        <v>0</v>
      </c>
      <c r="AJ78" s="207">
        <f>IF(AH78&gt;0,SQRT(($W78*$W78)+(AG78*AG78)+($V78*$V78)),0)</f>
        <v>0</v>
      </c>
      <c r="AK78" s="210">
        <f>(AI78*AJ78)^2</f>
        <v>0</v>
      </c>
      <c r="AL78" s="211">
        <f>VLOOKUP($C78,$BI$195:$CM$609,3,FALSE)</f>
        <v>0</v>
      </c>
      <c r="AM78" s="209">
        <f>VLOOKUP($C78,$BI$195:$CM$609,4,FALSE)</f>
        <v>0</v>
      </c>
      <c r="AN78" s="207">
        <f>IF($Q78&gt;0,VLOOKUP($C78,$BI$195:$CM$609,11,FALSE),0)</f>
        <v>0</v>
      </c>
      <c r="AO78" s="210">
        <f>($Q78*AL78)/1000</f>
        <v>0</v>
      </c>
      <c r="AP78" s="212">
        <f t="shared" si="145"/>
        <v>0</v>
      </c>
      <c r="AQ78" s="207">
        <f t="shared" si="146"/>
        <v>0</v>
      </c>
      <c r="AR78" s="210">
        <f t="shared" si="147"/>
        <v>0</v>
      </c>
      <c r="AS78" s="213">
        <v>0</v>
      </c>
      <c r="AT78" s="209">
        <v>0</v>
      </c>
      <c r="AU78" s="207">
        <v>0</v>
      </c>
      <c r="AV78" s="212">
        <v>0</v>
      </c>
      <c r="AW78" s="207">
        <v>0</v>
      </c>
      <c r="AX78" s="210">
        <f>(AV78*AW78)^2</f>
        <v>0</v>
      </c>
      <c r="AY78" s="213">
        <v>0</v>
      </c>
      <c r="AZ78" s="209">
        <v>0</v>
      </c>
      <c r="BA78" s="207">
        <v>0</v>
      </c>
      <c r="BB78" s="212">
        <f>($Q78*AY78)/1000</f>
        <v>0</v>
      </c>
      <c r="BC78" s="212">
        <f t="shared" si="150"/>
        <v>0</v>
      </c>
      <c r="BD78" s="207">
        <v>0</v>
      </c>
      <c r="BE78" s="210">
        <f>(BC78*BD78)^2</f>
        <v>0</v>
      </c>
      <c r="BF78" s="206">
        <f t="shared" si="152"/>
        <v>0</v>
      </c>
      <c r="BG78" s="214">
        <f t="shared" si="153"/>
        <v>0</v>
      </c>
      <c r="BH78" s="160">
        <f t="shared" si="37"/>
        <v>0</v>
      </c>
      <c r="BI78" s="200"/>
      <c r="BJ78" s="462"/>
      <c r="BK78" s="462"/>
      <c r="BL78" s="462"/>
      <c r="BM78" s="463"/>
      <c r="BN78" s="463"/>
      <c r="BO78" s="463"/>
      <c r="BP78" s="462"/>
      <c r="BQ78" s="462"/>
      <c r="BR78" s="462"/>
      <c r="BS78" s="462"/>
      <c r="BT78" s="462"/>
      <c r="BU78" s="462"/>
      <c r="BV78" s="462"/>
      <c r="BW78" s="462"/>
      <c r="BX78" s="462"/>
      <c r="BY78" s="462"/>
      <c r="BZ78" s="462"/>
      <c r="CA78" s="462"/>
      <c r="CB78" s="464"/>
      <c r="CC78" s="462"/>
      <c r="CD78" s="462"/>
      <c r="CE78" s="464"/>
      <c r="CF78" s="464"/>
      <c r="CG78" s="464"/>
      <c r="CH78" s="464"/>
      <c r="CI78" s="462"/>
      <c r="CJ78" s="462"/>
      <c r="CK78" s="464"/>
      <c r="CL78" s="464"/>
      <c r="CM78" s="464"/>
      <c r="CN78" s="357"/>
      <c r="CO78" s="346"/>
      <c r="CP78" s="346"/>
      <c r="CQ78" s="171"/>
      <c r="CR78" s="171"/>
      <c r="CS78" s="171"/>
      <c r="CT78" s="171"/>
      <c r="CU78" s="171"/>
      <c r="CV78" s="171"/>
      <c r="CW78" s="171"/>
      <c r="CX78" s="171"/>
      <c r="CY78" s="171"/>
      <c r="CZ78" s="171"/>
      <c r="DA78" s="171"/>
      <c r="DB78" s="171"/>
      <c r="DC78" s="171"/>
      <c r="DD78" s="171"/>
      <c r="DE78" s="171"/>
      <c r="DF78" s="171"/>
      <c r="DG78" s="171"/>
      <c r="DH78" s="171"/>
      <c r="DI78" s="171"/>
      <c r="DJ78" s="171"/>
      <c r="DK78" s="171"/>
      <c r="DL78" s="171"/>
      <c r="DM78" s="171"/>
      <c r="DN78" s="171"/>
      <c r="DO78" s="171"/>
      <c r="DP78" s="171"/>
      <c r="DQ78" s="171"/>
      <c r="DR78" s="171"/>
      <c r="DS78" s="171"/>
      <c r="DT78" s="171"/>
      <c r="DU78" s="171"/>
      <c r="DV78" s="171"/>
      <c r="DW78" s="170"/>
      <c r="DX78" s="170"/>
      <c r="DY78" s="170"/>
      <c r="DZ78" s="170"/>
      <c r="EA78" s="170"/>
      <c r="EB78" s="170"/>
      <c r="EC78" s="170"/>
      <c r="ED78" s="170"/>
    </row>
    <row r="79" spans="1:134" s="147" customFormat="1" hidden="1" x14ac:dyDescent="0.25">
      <c r="A79" s="146"/>
      <c r="B79" s="766"/>
      <c r="C79" s="395"/>
      <c r="D79" s="205">
        <f t="shared" si="131"/>
        <v>0</v>
      </c>
      <c r="E79" s="91"/>
      <c r="F79" s="91"/>
      <c r="G79" s="91"/>
      <c r="H79" s="91"/>
      <c r="I79" s="91"/>
      <c r="J79" s="91"/>
      <c r="K79" s="91"/>
      <c r="L79" s="91"/>
      <c r="M79" s="91"/>
      <c r="N79" s="91"/>
      <c r="O79" s="91"/>
      <c r="P79" s="91"/>
      <c r="Q79" s="206">
        <f t="shared" si="155"/>
        <v>0</v>
      </c>
      <c r="R79" s="205">
        <f t="shared" si="156"/>
        <v>0</v>
      </c>
      <c r="S79" s="206">
        <f t="shared" si="157"/>
        <v>0</v>
      </c>
      <c r="T79" s="206">
        <f t="shared" si="158"/>
        <v>0</v>
      </c>
      <c r="U79" s="206">
        <f t="shared" si="135"/>
        <v>0</v>
      </c>
      <c r="V79" s="92"/>
      <c r="W79" s="207">
        <f t="shared" si="136"/>
        <v>0</v>
      </c>
      <c r="X79" s="213">
        <v>0</v>
      </c>
      <c r="Y79" s="209">
        <v>0</v>
      </c>
      <c r="Z79" s="207">
        <v>0</v>
      </c>
      <c r="AA79" s="210">
        <f t="shared" si="159"/>
        <v>0</v>
      </c>
      <c r="AB79" s="210">
        <f t="shared" si="138"/>
        <v>0</v>
      </c>
      <c r="AC79" s="207">
        <f t="shared" si="160"/>
        <v>0</v>
      </c>
      <c r="AD79" s="210">
        <f t="shared" si="161"/>
        <v>0</v>
      </c>
      <c r="AE79" s="211">
        <f t="shared" si="162"/>
        <v>0</v>
      </c>
      <c r="AF79" s="209">
        <f t="shared" si="163"/>
        <v>0</v>
      </c>
      <c r="AG79" s="207">
        <f t="shared" si="164"/>
        <v>0</v>
      </c>
      <c r="AH79" s="210">
        <f t="shared" si="165"/>
        <v>0</v>
      </c>
      <c r="AI79" s="212">
        <f t="shared" si="142"/>
        <v>0</v>
      </c>
      <c r="AJ79" s="207">
        <f t="shared" si="166"/>
        <v>0</v>
      </c>
      <c r="AK79" s="210">
        <f t="shared" si="167"/>
        <v>0</v>
      </c>
      <c r="AL79" s="211">
        <f>VLOOKUP($C79,$BI$195:$CM$609,3,FALSE)</f>
        <v>0</v>
      </c>
      <c r="AM79" s="209">
        <f>VLOOKUP($C79,$BI$195:$CM$609,4,FALSE)</f>
        <v>0</v>
      </c>
      <c r="AN79" s="207">
        <f>IF($Q79&gt;0,VLOOKUP($C79,$BI$195:$CM$609,11,FALSE),0)</f>
        <v>0</v>
      </c>
      <c r="AO79" s="210">
        <f>($Q79*AL79)/1000</f>
        <v>0</v>
      </c>
      <c r="AP79" s="212">
        <f t="shared" si="145"/>
        <v>0</v>
      </c>
      <c r="AQ79" s="207">
        <f t="shared" si="146"/>
        <v>0</v>
      </c>
      <c r="AR79" s="210">
        <f t="shared" si="147"/>
        <v>0</v>
      </c>
      <c r="AS79" s="213">
        <v>0</v>
      </c>
      <c r="AT79" s="209">
        <v>0</v>
      </c>
      <c r="AU79" s="207">
        <v>0</v>
      </c>
      <c r="AV79" s="212">
        <v>0</v>
      </c>
      <c r="AW79" s="207">
        <v>0</v>
      </c>
      <c r="AX79" s="210">
        <f t="shared" si="168"/>
        <v>0</v>
      </c>
      <c r="AY79" s="213">
        <v>0</v>
      </c>
      <c r="AZ79" s="209">
        <v>0</v>
      </c>
      <c r="BA79" s="207">
        <v>0</v>
      </c>
      <c r="BB79" s="212">
        <f t="shared" si="169"/>
        <v>0</v>
      </c>
      <c r="BC79" s="212">
        <f t="shared" si="150"/>
        <v>0</v>
      </c>
      <c r="BD79" s="207">
        <v>0</v>
      </c>
      <c r="BE79" s="210">
        <f t="shared" si="170"/>
        <v>0</v>
      </c>
      <c r="BF79" s="206">
        <f t="shared" si="152"/>
        <v>0</v>
      </c>
      <c r="BG79" s="214">
        <f t="shared" si="153"/>
        <v>0</v>
      </c>
      <c r="BH79" s="160">
        <f t="shared" si="37"/>
        <v>0</v>
      </c>
      <c r="BI79" s="200"/>
      <c r="BJ79" s="462"/>
      <c r="BK79" s="462"/>
      <c r="BL79" s="462"/>
      <c r="BM79" s="463"/>
      <c r="BN79" s="463"/>
      <c r="BO79" s="463"/>
      <c r="BP79" s="462"/>
      <c r="BQ79" s="462"/>
      <c r="BR79" s="462"/>
      <c r="BS79" s="462"/>
      <c r="BT79" s="462"/>
      <c r="BU79" s="462"/>
      <c r="BV79" s="462"/>
      <c r="BW79" s="462"/>
      <c r="BX79" s="462"/>
      <c r="BY79" s="462"/>
      <c r="BZ79" s="462"/>
      <c r="CA79" s="462"/>
      <c r="CB79" s="464"/>
      <c r="CC79" s="462"/>
      <c r="CD79" s="462"/>
      <c r="CE79" s="464"/>
      <c r="CF79" s="464"/>
      <c r="CG79" s="464"/>
      <c r="CH79" s="464"/>
      <c r="CI79" s="462"/>
      <c r="CJ79" s="462"/>
      <c r="CK79" s="464"/>
      <c r="CL79" s="464"/>
      <c r="CM79" s="464"/>
      <c r="CN79" s="357"/>
      <c r="CO79" s="346"/>
      <c r="CP79" s="346"/>
      <c r="CQ79" s="171"/>
      <c r="CR79" s="171"/>
      <c r="CS79" s="171"/>
      <c r="CT79" s="171"/>
      <c r="CU79" s="171"/>
      <c r="CV79" s="171"/>
      <c r="CW79" s="171"/>
      <c r="CX79" s="171"/>
      <c r="CY79" s="171"/>
      <c r="CZ79" s="171"/>
      <c r="DA79" s="171"/>
      <c r="DB79" s="171"/>
      <c r="DC79" s="171"/>
      <c r="DD79" s="171"/>
      <c r="DE79" s="171"/>
      <c r="DF79" s="171"/>
      <c r="DG79" s="171"/>
      <c r="DH79" s="171"/>
      <c r="DI79" s="171"/>
      <c r="DJ79" s="171"/>
      <c r="DK79" s="171"/>
      <c r="DL79" s="171"/>
      <c r="DM79" s="171"/>
      <c r="DN79" s="171"/>
      <c r="DO79" s="171"/>
      <c r="DP79" s="171"/>
      <c r="DQ79" s="171"/>
      <c r="DR79" s="171"/>
      <c r="DS79" s="171"/>
      <c r="DT79" s="171"/>
      <c r="DU79" s="171"/>
      <c r="DV79" s="171"/>
      <c r="DW79" s="170"/>
      <c r="DX79" s="170"/>
      <c r="DY79" s="170"/>
      <c r="DZ79" s="170"/>
      <c r="EA79" s="170"/>
      <c r="EB79" s="170"/>
      <c r="EC79" s="170"/>
      <c r="ED79" s="170"/>
    </row>
    <row r="80" spans="1:134" s="147" customFormat="1" hidden="1" x14ac:dyDescent="0.25">
      <c r="A80" s="146"/>
      <c r="B80" s="765"/>
      <c r="C80" s="395"/>
      <c r="D80" s="205">
        <f t="shared" si="131"/>
        <v>0</v>
      </c>
      <c r="E80" s="91"/>
      <c r="F80" s="91"/>
      <c r="G80" s="91"/>
      <c r="H80" s="91"/>
      <c r="I80" s="91"/>
      <c r="J80" s="91"/>
      <c r="K80" s="91"/>
      <c r="L80" s="91"/>
      <c r="M80" s="91"/>
      <c r="N80" s="91"/>
      <c r="O80" s="91"/>
      <c r="P80" s="91"/>
      <c r="Q80" s="206">
        <f t="shared" si="155"/>
        <v>0</v>
      </c>
      <c r="R80" s="205">
        <f t="shared" si="156"/>
        <v>0</v>
      </c>
      <c r="S80" s="206">
        <f t="shared" si="157"/>
        <v>0</v>
      </c>
      <c r="T80" s="206">
        <f t="shared" si="158"/>
        <v>0</v>
      </c>
      <c r="U80" s="206">
        <f t="shared" si="135"/>
        <v>0</v>
      </c>
      <c r="V80" s="92"/>
      <c r="W80" s="207">
        <f t="shared" si="136"/>
        <v>0</v>
      </c>
      <c r="X80" s="213">
        <v>0</v>
      </c>
      <c r="Y80" s="209">
        <v>0</v>
      </c>
      <c r="Z80" s="207">
        <v>0</v>
      </c>
      <c r="AA80" s="210">
        <f t="shared" si="159"/>
        <v>0</v>
      </c>
      <c r="AB80" s="210">
        <f t="shared" si="138"/>
        <v>0</v>
      </c>
      <c r="AC80" s="207">
        <f t="shared" si="160"/>
        <v>0</v>
      </c>
      <c r="AD80" s="210">
        <f t="shared" si="161"/>
        <v>0</v>
      </c>
      <c r="AE80" s="211">
        <f t="shared" si="162"/>
        <v>0</v>
      </c>
      <c r="AF80" s="209">
        <f t="shared" si="163"/>
        <v>0</v>
      </c>
      <c r="AG80" s="207">
        <f t="shared" si="164"/>
        <v>0</v>
      </c>
      <c r="AH80" s="210">
        <f t="shared" si="165"/>
        <v>0</v>
      </c>
      <c r="AI80" s="212">
        <f t="shared" si="142"/>
        <v>0</v>
      </c>
      <c r="AJ80" s="207">
        <f t="shared" si="166"/>
        <v>0</v>
      </c>
      <c r="AK80" s="210">
        <f t="shared" si="167"/>
        <v>0</v>
      </c>
      <c r="AL80" s="211">
        <f>VLOOKUP($C80,$BI$195:$CM$609,3,FALSE)</f>
        <v>0</v>
      </c>
      <c r="AM80" s="209">
        <f>VLOOKUP($C80,$BI$195:$CM$609,4,FALSE)</f>
        <v>0</v>
      </c>
      <c r="AN80" s="207">
        <f>IF($Q80&gt;0,VLOOKUP($C80,$BI$195:$CM$609,11,FALSE),0)</f>
        <v>0</v>
      </c>
      <c r="AO80" s="210">
        <f>($Q80*AL80)/1000</f>
        <v>0</v>
      </c>
      <c r="AP80" s="212">
        <f t="shared" si="145"/>
        <v>0</v>
      </c>
      <c r="AQ80" s="207">
        <f t="shared" si="146"/>
        <v>0</v>
      </c>
      <c r="AR80" s="210">
        <f t="shared" si="147"/>
        <v>0</v>
      </c>
      <c r="AS80" s="213">
        <v>0</v>
      </c>
      <c r="AT80" s="209">
        <v>0</v>
      </c>
      <c r="AU80" s="207">
        <v>0</v>
      </c>
      <c r="AV80" s="212">
        <v>0</v>
      </c>
      <c r="AW80" s="207">
        <v>0</v>
      </c>
      <c r="AX80" s="210">
        <f t="shared" si="168"/>
        <v>0</v>
      </c>
      <c r="AY80" s="213">
        <v>0</v>
      </c>
      <c r="AZ80" s="209">
        <v>0</v>
      </c>
      <c r="BA80" s="207">
        <v>0</v>
      </c>
      <c r="BB80" s="212">
        <f t="shared" si="169"/>
        <v>0</v>
      </c>
      <c r="BC80" s="212">
        <f t="shared" si="150"/>
        <v>0</v>
      </c>
      <c r="BD80" s="207">
        <v>0</v>
      </c>
      <c r="BE80" s="210">
        <f t="shared" si="170"/>
        <v>0</v>
      </c>
      <c r="BF80" s="206">
        <f t="shared" si="152"/>
        <v>0</v>
      </c>
      <c r="BG80" s="214">
        <f t="shared" si="153"/>
        <v>0</v>
      </c>
      <c r="BH80" s="160">
        <f t="shared" si="37"/>
        <v>0</v>
      </c>
      <c r="BI80" s="200"/>
      <c r="BJ80" s="462"/>
      <c r="BK80" s="462"/>
      <c r="BL80" s="462"/>
      <c r="BM80" s="463"/>
      <c r="BN80" s="463"/>
      <c r="BO80" s="463"/>
      <c r="BP80" s="462"/>
      <c r="BQ80" s="462"/>
      <c r="BR80" s="462"/>
      <c r="BS80" s="462"/>
      <c r="BT80" s="462"/>
      <c r="BU80" s="462"/>
      <c r="BV80" s="462"/>
      <c r="BW80" s="462"/>
      <c r="BX80" s="462"/>
      <c r="BY80" s="462"/>
      <c r="BZ80" s="462"/>
      <c r="CA80" s="462"/>
      <c r="CB80" s="464"/>
      <c r="CC80" s="462"/>
      <c r="CD80" s="462"/>
      <c r="CE80" s="464"/>
      <c r="CF80" s="464"/>
      <c r="CG80" s="464"/>
      <c r="CH80" s="464"/>
      <c r="CI80" s="462"/>
      <c r="CJ80" s="462"/>
      <c r="CK80" s="464"/>
      <c r="CL80" s="464"/>
      <c r="CM80" s="464"/>
      <c r="CN80" s="357"/>
      <c r="CO80" s="346"/>
      <c r="CP80" s="346"/>
      <c r="CQ80" s="171"/>
      <c r="CR80" s="171"/>
      <c r="CS80" s="171"/>
      <c r="CT80" s="171"/>
      <c r="CU80" s="171"/>
      <c r="CV80" s="171"/>
      <c r="CW80" s="171"/>
      <c r="CX80" s="171"/>
      <c r="CY80" s="171"/>
      <c r="CZ80" s="171"/>
      <c r="DA80" s="171"/>
      <c r="DB80" s="171"/>
      <c r="DC80" s="171"/>
      <c r="DD80" s="171"/>
      <c r="DE80" s="171"/>
      <c r="DF80" s="171"/>
      <c r="DG80" s="171"/>
      <c r="DH80" s="171"/>
      <c r="DI80" s="171"/>
      <c r="DJ80" s="171"/>
      <c r="DK80" s="171"/>
      <c r="DL80" s="171"/>
      <c r="DM80" s="171"/>
      <c r="DN80" s="171"/>
      <c r="DO80" s="171"/>
      <c r="DP80" s="171"/>
      <c r="DQ80" s="171"/>
      <c r="DR80" s="171"/>
      <c r="DS80" s="171"/>
      <c r="DT80" s="171"/>
      <c r="DU80" s="171"/>
      <c r="DV80" s="171"/>
      <c r="DW80" s="170"/>
      <c r="DX80" s="170"/>
      <c r="DY80" s="170"/>
      <c r="DZ80" s="170"/>
      <c r="EA80" s="170"/>
      <c r="EB80" s="170"/>
      <c r="EC80" s="170"/>
      <c r="ED80" s="170"/>
    </row>
    <row r="81" spans="1:134" s="200" customFormat="1" ht="15" hidden="1" customHeight="1" x14ac:dyDescent="0.25">
      <c r="A81" s="146"/>
      <c r="B81" s="749" t="s">
        <v>442</v>
      </c>
      <c r="C81" s="739"/>
      <c r="D81" s="739" t="s">
        <v>107</v>
      </c>
      <c r="E81" s="739"/>
      <c r="F81" s="739"/>
      <c r="G81" s="739"/>
      <c r="H81" s="739"/>
      <c r="I81" s="739"/>
      <c r="J81" s="739"/>
      <c r="K81" s="739"/>
      <c r="L81" s="739"/>
      <c r="M81" s="739"/>
      <c r="N81" s="739"/>
      <c r="O81" s="739"/>
      <c r="P81" s="739"/>
      <c r="Q81" s="739"/>
      <c r="R81" s="739"/>
      <c r="S81" s="739" t="s">
        <v>352</v>
      </c>
      <c r="T81" s="739"/>
      <c r="U81" s="739"/>
      <c r="V81" s="739"/>
      <c r="W81" s="739"/>
      <c r="X81" s="740" t="s">
        <v>360</v>
      </c>
      <c r="Y81" s="740"/>
      <c r="Z81" s="740"/>
      <c r="AA81" s="740"/>
      <c r="AB81" s="740"/>
      <c r="AC81" s="740"/>
      <c r="AD81" s="740"/>
      <c r="AE81" s="740" t="s">
        <v>359</v>
      </c>
      <c r="AF81" s="740"/>
      <c r="AG81" s="740"/>
      <c r="AH81" s="740"/>
      <c r="AI81" s="740"/>
      <c r="AJ81" s="740"/>
      <c r="AK81" s="740"/>
      <c r="AL81" s="740" t="s">
        <v>358</v>
      </c>
      <c r="AM81" s="740"/>
      <c r="AN81" s="740"/>
      <c r="AO81" s="740"/>
      <c r="AP81" s="740"/>
      <c r="AQ81" s="740"/>
      <c r="AR81" s="740"/>
      <c r="AS81" s="740" t="s">
        <v>543</v>
      </c>
      <c r="AT81" s="740"/>
      <c r="AU81" s="740"/>
      <c r="AV81" s="740"/>
      <c r="AW81" s="740"/>
      <c r="AX81" s="740"/>
      <c r="AY81" s="740" t="s">
        <v>357</v>
      </c>
      <c r="AZ81" s="740"/>
      <c r="BA81" s="740"/>
      <c r="BB81" s="740"/>
      <c r="BC81" s="740"/>
      <c r="BD81" s="740"/>
      <c r="BE81" s="740"/>
      <c r="BF81" s="744" t="s">
        <v>794</v>
      </c>
      <c r="BG81" s="748" t="s">
        <v>109</v>
      </c>
      <c r="BH81" s="160"/>
      <c r="BJ81" s="462"/>
      <c r="BK81" s="462"/>
      <c r="BL81" s="462"/>
      <c r="BM81" s="463"/>
      <c r="BN81" s="463"/>
      <c r="BO81" s="463"/>
      <c r="BP81" s="462"/>
      <c r="BQ81" s="462"/>
      <c r="BR81" s="462"/>
      <c r="BS81" s="462"/>
      <c r="BT81" s="462"/>
      <c r="BU81" s="462"/>
      <c r="BV81" s="462"/>
      <c r="BW81" s="462"/>
      <c r="BX81" s="462"/>
      <c r="BY81" s="462"/>
      <c r="BZ81" s="462"/>
      <c r="CA81" s="462"/>
      <c r="CB81" s="464"/>
      <c r="CC81" s="462"/>
      <c r="CD81" s="462"/>
      <c r="CE81" s="464"/>
      <c r="CF81" s="464"/>
      <c r="CG81" s="464"/>
      <c r="CH81" s="464"/>
      <c r="CI81" s="462"/>
      <c r="CJ81" s="462"/>
      <c r="CK81" s="464"/>
      <c r="CL81" s="464"/>
      <c r="CM81" s="464"/>
      <c r="CN81" s="357"/>
      <c r="CO81" s="346"/>
      <c r="CP81" s="346"/>
      <c r="CQ81" s="171"/>
      <c r="CR81" s="171"/>
      <c r="CS81" s="171"/>
      <c r="CT81" s="171"/>
      <c r="CU81" s="171"/>
      <c r="CV81" s="171"/>
      <c r="CW81" s="171"/>
      <c r="CX81" s="171"/>
      <c r="CY81" s="171"/>
      <c r="CZ81" s="171"/>
      <c r="DA81" s="171"/>
      <c r="DB81" s="171"/>
      <c r="DC81" s="171"/>
      <c r="DD81" s="171"/>
      <c r="DE81" s="171"/>
      <c r="DF81" s="171"/>
      <c r="DG81" s="171"/>
      <c r="DH81" s="171"/>
      <c r="DI81" s="171"/>
      <c r="DJ81" s="171"/>
      <c r="DK81" s="171"/>
      <c r="DL81" s="171"/>
      <c r="DM81" s="171"/>
      <c r="DN81" s="171"/>
      <c r="DO81" s="171"/>
      <c r="DP81" s="171"/>
      <c r="DQ81" s="171"/>
      <c r="DR81" s="171"/>
      <c r="DS81" s="171"/>
      <c r="DT81" s="171"/>
      <c r="DU81" s="171"/>
      <c r="DV81" s="171"/>
      <c r="DW81" s="170"/>
      <c r="DX81" s="170"/>
      <c r="DY81" s="170"/>
      <c r="DZ81" s="170"/>
      <c r="EA81" s="170"/>
      <c r="EB81" s="170"/>
      <c r="EC81" s="170"/>
      <c r="ED81" s="170"/>
    </row>
    <row r="82" spans="1:134" s="200" customFormat="1" ht="75" hidden="1" x14ac:dyDescent="0.25">
      <c r="A82" s="146"/>
      <c r="B82" s="750"/>
      <c r="C82" s="739"/>
      <c r="D82" s="201" t="s">
        <v>110</v>
      </c>
      <c r="E82" s="201" t="s">
        <v>111</v>
      </c>
      <c r="F82" s="201" t="s">
        <v>112</v>
      </c>
      <c r="G82" s="201" t="s">
        <v>113</v>
      </c>
      <c r="H82" s="201" t="s">
        <v>114</v>
      </c>
      <c r="I82" s="201" t="s">
        <v>115</v>
      </c>
      <c r="J82" s="201" t="s">
        <v>116</v>
      </c>
      <c r="K82" s="201" t="s">
        <v>117</v>
      </c>
      <c r="L82" s="201" t="s">
        <v>118</v>
      </c>
      <c r="M82" s="201" t="s">
        <v>119</v>
      </c>
      <c r="N82" s="201" t="s">
        <v>120</v>
      </c>
      <c r="O82" s="201" t="s">
        <v>121</v>
      </c>
      <c r="P82" s="201" t="s">
        <v>122</v>
      </c>
      <c r="Q82" s="201" t="s">
        <v>123</v>
      </c>
      <c r="R82" s="201" t="s">
        <v>124</v>
      </c>
      <c r="S82" s="201" t="s">
        <v>125</v>
      </c>
      <c r="T82" s="201" t="s">
        <v>126</v>
      </c>
      <c r="U82" s="201" t="s">
        <v>127</v>
      </c>
      <c r="V82" s="202" t="s">
        <v>369</v>
      </c>
      <c r="W82" s="201" t="s">
        <v>352</v>
      </c>
      <c r="X82" s="744" t="s">
        <v>353</v>
      </c>
      <c r="Y82" s="744"/>
      <c r="Z82" s="201" t="s">
        <v>361</v>
      </c>
      <c r="AA82" s="203" t="s">
        <v>793</v>
      </c>
      <c r="AB82" s="203" t="s">
        <v>806</v>
      </c>
      <c r="AC82" s="571" t="s">
        <v>362</v>
      </c>
      <c r="AD82" s="203" t="s">
        <v>453</v>
      </c>
      <c r="AE82" s="744" t="s">
        <v>354</v>
      </c>
      <c r="AF82" s="744"/>
      <c r="AG82" s="201" t="s">
        <v>363</v>
      </c>
      <c r="AH82" s="204" t="s">
        <v>807</v>
      </c>
      <c r="AI82" s="204" t="s">
        <v>808</v>
      </c>
      <c r="AJ82" s="201" t="s">
        <v>364</v>
      </c>
      <c r="AK82" s="203" t="s">
        <v>453</v>
      </c>
      <c r="AL82" s="744" t="s">
        <v>355</v>
      </c>
      <c r="AM82" s="744"/>
      <c r="AN82" s="201" t="s">
        <v>365</v>
      </c>
      <c r="AO82" s="201" t="s">
        <v>809</v>
      </c>
      <c r="AP82" s="201" t="s">
        <v>810</v>
      </c>
      <c r="AQ82" s="201" t="s">
        <v>366</v>
      </c>
      <c r="AR82" s="203" t="s">
        <v>453</v>
      </c>
      <c r="AS82" s="744" t="s">
        <v>811</v>
      </c>
      <c r="AT82" s="744"/>
      <c r="AU82" s="201" t="s">
        <v>546</v>
      </c>
      <c r="AV82" s="203" t="s">
        <v>812</v>
      </c>
      <c r="AW82" s="201" t="s">
        <v>545</v>
      </c>
      <c r="AX82" s="203" t="s">
        <v>453</v>
      </c>
      <c r="AY82" s="744" t="s">
        <v>356</v>
      </c>
      <c r="AZ82" s="744"/>
      <c r="BA82" s="201" t="s">
        <v>367</v>
      </c>
      <c r="BB82" s="203" t="s">
        <v>813</v>
      </c>
      <c r="BC82" s="203" t="s">
        <v>814</v>
      </c>
      <c r="BD82" s="201" t="s">
        <v>368</v>
      </c>
      <c r="BE82" s="203" t="s">
        <v>453</v>
      </c>
      <c r="BF82" s="744"/>
      <c r="BG82" s="748"/>
      <c r="BH82" s="160"/>
      <c r="BJ82" s="462"/>
      <c r="BK82" s="462"/>
      <c r="BL82" s="462"/>
      <c r="BM82" s="463"/>
      <c r="BN82" s="463"/>
      <c r="BO82" s="463"/>
      <c r="BP82" s="462"/>
      <c r="BQ82" s="462"/>
      <c r="BR82" s="462"/>
      <c r="BS82" s="462"/>
      <c r="BT82" s="462"/>
      <c r="BU82" s="462"/>
      <c r="BV82" s="462"/>
      <c r="BW82" s="462"/>
      <c r="BX82" s="462"/>
      <c r="BY82" s="462"/>
      <c r="BZ82" s="462"/>
      <c r="CA82" s="462"/>
      <c r="CB82" s="464"/>
      <c r="CC82" s="462"/>
      <c r="CD82" s="462"/>
      <c r="CE82" s="464"/>
      <c r="CF82" s="464"/>
      <c r="CG82" s="464"/>
      <c r="CH82" s="464"/>
      <c r="CI82" s="462"/>
      <c r="CJ82" s="462"/>
      <c r="CK82" s="464"/>
      <c r="CL82" s="464"/>
      <c r="CM82" s="464"/>
      <c r="CN82" s="357"/>
      <c r="CO82" s="346"/>
      <c r="CP82" s="346"/>
      <c r="CQ82" s="171"/>
      <c r="CR82" s="171"/>
      <c r="CS82" s="171"/>
      <c r="CT82" s="171"/>
      <c r="CU82" s="171"/>
      <c r="CV82" s="171"/>
      <c r="CW82" s="171"/>
      <c r="CX82" s="171"/>
      <c r="CY82" s="171"/>
      <c r="CZ82" s="171"/>
      <c r="DA82" s="171"/>
      <c r="DB82" s="171"/>
      <c r="DC82" s="171"/>
      <c r="DD82" s="171"/>
      <c r="DE82" s="171"/>
      <c r="DF82" s="171"/>
      <c r="DG82" s="171"/>
      <c r="DH82" s="171"/>
      <c r="DI82" s="171"/>
      <c r="DJ82" s="171"/>
      <c r="DK82" s="171"/>
      <c r="DL82" s="171"/>
      <c r="DM82" s="171"/>
      <c r="DN82" s="171"/>
      <c r="DO82" s="171"/>
      <c r="DP82" s="171"/>
      <c r="DQ82" s="171"/>
      <c r="DR82" s="171"/>
      <c r="DS82" s="171"/>
      <c r="DT82" s="171"/>
      <c r="DU82" s="171"/>
      <c r="DV82" s="171"/>
      <c r="DW82" s="170"/>
      <c r="DX82" s="170"/>
      <c r="DY82" s="170"/>
      <c r="DZ82" s="170"/>
      <c r="EA82" s="170"/>
      <c r="EB82" s="170"/>
      <c r="EC82" s="170"/>
      <c r="ED82" s="170"/>
    </row>
    <row r="83" spans="1:134" s="147" customFormat="1" hidden="1" x14ac:dyDescent="0.25">
      <c r="A83" s="146"/>
      <c r="B83" s="764" t="s">
        <v>566</v>
      </c>
      <c r="C83" s="395"/>
      <c r="D83" s="205">
        <f t="shared" ref="D83:D88" si="171">VLOOKUP($C83,$BI$195:$CM$609,2,FALSE)</f>
        <v>0</v>
      </c>
      <c r="E83" s="91"/>
      <c r="F83" s="91"/>
      <c r="G83" s="91"/>
      <c r="H83" s="91"/>
      <c r="I83" s="91"/>
      <c r="J83" s="91"/>
      <c r="K83" s="143"/>
      <c r="L83" s="143"/>
      <c r="M83" s="143"/>
      <c r="N83" s="143"/>
      <c r="O83" s="143"/>
      <c r="P83" s="143"/>
      <c r="Q83" s="206">
        <f t="shared" ref="Q83:Q88" si="172">SUM(E83:P83)</f>
        <v>0</v>
      </c>
      <c r="R83" s="205">
        <f t="shared" ref="R83:R88" si="173">COUNT(E83:P83)</f>
        <v>0</v>
      </c>
      <c r="S83" s="206">
        <f t="shared" ref="S83:S88" si="174">IF(R83&gt;1,AVERAGE(E83:P83),0)</f>
        <v>0</v>
      </c>
      <c r="T83" s="206">
        <f t="shared" ref="T83:T88" si="175">IF(R83&gt;1,STDEV(E83:P83),0)</f>
        <v>0</v>
      </c>
      <c r="U83" s="206">
        <f t="shared" ref="U83:U88" si="176">IF(R83&gt;1,VLOOKUP($R83,$BI$529:$BJ$541,2,FALSE),0)</f>
        <v>0</v>
      </c>
      <c r="V83" s="136"/>
      <c r="W83" s="207">
        <f t="shared" ref="W83:W88" si="177">IF(R83&gt;1,1-((S83-((T83*U83)/(SQRT(R83))))/S83),VLOOKUP($C83,$BI$195:$CP$609,34,FALSE))</f>
        <v>0</v>
      </c>
      <c r="X83" s="213">
        <v>0</v>
      </c>
      <c r="Y83" s="209">
        <v>0</v>
      </c>
      <c r="Z83" s="207">
        <v>0</v>
      </c>
      <c r="AA83" s="210">
        <f t="shared" ref="AA83:AA88" si="178">($Q83*X83)/1000</f>
        <v>0</v>
      </c>
      <c r="AB83" s="210">
        <f t="shared" ref="AB83:AB88" si="179">AA83*$BJ$547</f>
        <v>0</v>
      </c>
      <c r="AC83" s="207">
        <f t="shared" ref="AC83:AC88" si="180">IF(AA83&gt;0,SQRT(($W83*$W83)+(Z83*Z83)+($V83*$V83)),0)</f>
        <v>0</v>
      </c>
      <c r="AD83" s="210">
        <f t="shared" ref="AD83:AD88" si="181">(AB83*AC83)^2</f>
        <v>0</v>
      </c>
      <c r="AE83" s="211">
        <f>VLOOKUP($C83,$BI$195:$CM$609,3,FALSE)</f>
        <v>0</v>
      </c>
      <c r="AF83" s="209">
        <f>VLOOKUP($C83,$BI$195:$CM$609,4,FALSE)</f>
        <v>0</v>
      </c>
      <c r="AG83" s="207">
        <f>IF($Q83&gt;0,VLOOKUP($C83,$BI$195:$CM$609,6,FALSE),0)</f>
        <v>0</v>
      </c>
      <c r="AH83" s="212">
        <f t="shared" ref="AH83:AH88" si="182">($Q83*AE83)/1000</f>
        <v>0</v>
      </c>
      <c r="AI83" s="212">
        <f t="shared" ref="AI83:AI88" si="183">AH83*$BJ$548</f>
        <v>0</v>
      </c>
      <c r="AJ83" s="207">
        <f t="shared" ref="AJ83:AJ88" si="184">IF(AH83&gt;0,SQRT(($W83*$W83)+(AG83*AG83)+($V83*$V83)),0)</f>
        <v>0</v>
      </c>
      <c r="AK83" s="210">
        <f t="shared" ref="AK83:AK88" si="185">(AI83*AJ83)^2</f>
        <v>0</v>
      </c>
      <c r="AL83" s="213">
        <f>VLOOKUP($C83,$BI$195:$CM$609,8,FALSE)</f>
        <v>0</v>
      </c>
      <c r="AM83" s="209">
        <f>VLOOKUP($C83,$BI$195:$CM$609,9,FALSE)</f>
        <v>0</v>
      </c>
      <c r="AN83" s="207">
        <f>IF($Q83&gt;0,VLOOKUP($C83,$BI$195:$CM$609,11,FALSE),0)</f>
        <v>0</v>
      </c>
      <c r="AO83" s="210">
        <f t="shared" ref="AO83:AO88" si="186">($Q83*AL83)/1000</f>
        <v>0</v>
      </c>
      <c r="AP83" s="212">
        <f t="shared" ref="AP83:AP88" si="187">AO83*$BJ$549</f>
        <v>0</v>
      </c>
      <c r="AQ83" s="207">
        <f t="shared" ref="AQ83:AQ88" si="188">IF(AO83&gt;0,SQRT(($W83*$W83)+(AN83*AN83)+($V83*$V83)),0)</f>
        <v>0</v>
      </c>
      <c r="AR83" s="210">
        <f t="shared" ref="AR83:AR88" si="189">(AP83*AQ83)^2</f>
        <v>0</v>
      </c>
      <c r="AS83" s="213">
        <v>0</v>
      </c>
      <c r="AT83" s="209">
        <v>0</v>
      </c>
      <c r="AU83" s="207">
        <v>0</v>
      </c>
      <c r="AV83" s="212">
        <v>0</v>
      </c>
      <c r="AW83" s="207">
        <v>0</v>
      </c>
      <c r="AX83" s="210">
        <f t="shared" ref="AX83:AX88" si="190">(AV83*AW83)^2</f>
        <v>0</v>
      </c>
      <c r="AY83" s="213">
        <v>0</v>
      </c>
      <c r="AZ83" s="209">
        <v>0</v>
      </c>
      <c r="BA83" s="207">
        <v>0</v>
      </c>
      <c r="BB83" s="212">
        <f t="shared" ref="BB83:BB88" si="191">($Q83*AY83)/1000</f>
        <v>0</v>
      </c>
      <c r="BC83" s="212">
        <f t="shared" ref="BC83:BC88" si="192">BB83*$BJ$550</f>
        <v>0</v>
      </c>
      <c r="BD83" s="207">
        <v>0</v>
      </c>
      <c r="BE83" s="210">
        <f t="shared" ref="BE83:BE88" si="193">(BC83*BD83)^2</f>
        <v>0</v>
      </c>
      <c r="BF83" s="206">
        <f t="shared" ref="BF83:BF88" si="194">AB83+AI83+AP83+AV83+BC83</f>
        <v>0</v>
      </c>
      <c r="BG83" s="214">
        <f t="shared" ref="BG83:BG88" si="195">IF(BF83&gt;0,SQRT(AD83+AK83+AR83+AX83+BE83)/BF83,0)</f>
        <v>0</v>
      </c>
      <c r="BH83" s="160">
        <f t="shared" si="37"/>
        <v>0</v>
      </c>
      <c r="BI83" s="200"/>
      <c r="BJ83" s="462"/>
      <c r="BK83" s="462"/>
      <c r="BL83" s="462"/>
      <c r="BM83" s="463"/>
      <c r="BN83" s="463"/>
      <c r="BO83" s="463"/>
      <c r="BP83" s="462"/>
      <c r="BQ83" s="462"/>
      <c r="BR83" s="462"/>
      <c r="BS83" s="462"/>
      <c r="BT83" s="462"/>
      <c r="BU83" s="462"/>
      <c r="BV83" s="462"/>
      <c r="BW83" s="462"/>
      <c r="BX83" s="462"/>
      <c r="BY83" s="462"/>
      <c r="BZ83" s="462"/>
      <c r="CA83" s="462"/>
      <c r="CB83" s="464"/>
      <c r="CC83" s="462"/>
      <c r="CD83" s="462"/>
      <c r="CE83" s="464"/>
      <c r="CF83" s="464"/>
      <c r="CG83" s="464"/>
      <c r="CH83" s="464"/>
      <c r="CI83" s="462"/>
      <c r="CJ83" s="462"/>
      <c r="CK83" s="464"/>
      <c r="CL83" s="464"/>
      <c r="CM83" s="464"/>
      <c r="CN83" s="357"/>
      <c r="CO83" s="346"/>
      <c r="CP83" s="346"/>
      <c r="CQ83" s="171"/>
      <c r="CR83" s="171"/>
      <c r="CS83" s="171"/>
      <c r="CT83" s="171"/>
      <c r="CU83" s="171"/>
      <c r="CV83" s="171"/>
      <c r="CW83" s="171"/>
      <c r="CX83" s="171"/>
      <c r="CY83" s="171"/>
      <c r="CZ83" s="171"/>
      <c r="DA83" s="171"/>
      <c r="DB83" s="171"/>
      <c r="DC83" s="171"/>
      <c r="DD83" s="171"/>
      <c r="DE83" s="171"/>
      <c r="DF83" s="171"/>
      <c r="DG83" s="171"/>
      <c r="DH83" s="171"/>
      <c r="DI83" s="171"/>
      <c r="DJ83" s="171"/>
      <c r="DK83" s="171"/>
      <c r="DL83" s="171"/>
      <c r="DM83" s="171"/>
      <c r="DN83" s="171"/>
      <c r="DO83" s="171"/>
      <c r="DP83" s="171"/>
      <c r="DQ83" s="171"/>
      <c r="DR83" s="171"/>
      <c r="DS83" s="171"/>
      <c r="DT83" s="171"/>
      <c r="DU83" s="171"/>
      <c r="DV83" s="171"/>
      <c r="DW83" s="170"/>
      <c r="DX83" s="170"/>
      <c r="DY83" s="170"/>
      <c r="DZ83" s="170"/>
      <c r="EA83" s="170"/>
      <c r="EB83" s="170"/>
      <c r="EC83" s="170"/>
      <c r="ED83" s="170"/>
    </row>
    <row r="84" spans="1:134" s="147" customFormat="1" hidden="1" x14ac:dyDescent="0.25">
      <c r="A84" s="146"/>
      <c r="B84" s="765"/>
      <c r="C84" s="111"/>
      <c r="D84" s="205">
        <f t="shared" si="171"/>
        <v>0</v>
      </c>
      <c r="E84" s="91"/>
      <c r="F84" s="91"/>
      <c r="G84" s="91"/>
      <c r="H84" s="91"/>
      <c r="I84" s="91"/>
      <c r="J84" s="91"/>
      <c r="K84" s="143"/>
      <c r="L84" s="143"/>
      <c r="M84" s="143"/>
      <c r="N84" s="143"/>
      <c r="O84" s="143"/>
      <c r="P84" s="143"/>
      <c r="Q84" s="206">
        <f>SUM(E84:P84)</f>
        <v>0</v>
      </c>
      <c r="R84" s="205">
        <f>COUNT(E84:P84)</f>
        <v>0</v>
      </c>
      <c r="S84" s="206">
        <f>IF(R84&gt;1,AVERAGE(E84:P84),0)</f>
        <v>0</v>
      </c>
      <c r="T84" s="206">
        <f>IF(R84&gt;1,STDEV(E84:P84),0)</f>
        <v>0</v>
      </c>
      <c r="U84" s="206">
        <f t="shared" si="176"/>
        <v>0</v>
      </c>
      <c r="V84" s="136"/>
      <c r="W84" s="207">
        <f t="shared" si="177"/>
        <v>0</v>
      </c>
      <c r="X84" s="213">
        <v>0</v>
      </c>
      <c r="Y84" s="209">
        <v>0</v>
      </c>
      <c r="Z84" s="207">
        <v>0</v>
      </c>
      <c r="AA84" s="210">
        <f>($Q84*X84)/1000</f>
        <v>0</v>
      </c>
      <c r="AB84" s="210">
        <f t="shared" si="179"/>
        <v>0</v>
      </c>
      <c r="AC84" s="207">
        <f>IF(AA84&gt;0,SQRT(($W84*$W84)+(Z84*Z84)+($V84*$V84)),0)</f>
        <v>0</v>
      </c>
      <c r="AD84" s="210">
        <f>(AB84*AC84)^2</f>
        <v>0</v>
      </c>
      <c r="AE84" s="211">
        <f>VLOOKUP($C84,$BI$195:$CM$609,3,FALSE)</f>
        <v>0</v>
      </c>
      <c r="AF84" s="209">
        <f>VLOOKUP($C84,$BI$195:$CM$609,4,FALSE)</f>
        <v>0</v>
      </c>
      <c r="AG84" s="207">
        <f>IF($Q84&gt;0,VLOOKUP($C84,$BI$195:$CM$609,6,FALSE),0)</f>
        <v>0</v>
      </c>
      <c r="AH84" s="212">
        <f>($Q84*AE84)/1000</f>
        <v>0</v>
      </c>
      <c r="AI84" s="212">
        <f t="shared" si="183"/>
        <v>0</v>
      </c>
      <c r="AJ84" s="207">
        <f>IF(AH84&gt;0,SQRT(($W84*$W84)+(AG84*AG84)+($V84*$V84)),0)</f>
        <v>0</v>
      </c>
      <c r="AK84" s="210">
        <f>(AI84*AJ84)^2</f>
        <v>0</v>
      </c>
      <c r="AL84" s="213">
        <f>VLOOKUP($C84,$BI$195:$CM$609,8,FALSE)</f>
        <v>0</v>
      </c>
      <c r="AM84" s="209">
        <f>VLOOKUP($C84,$BI$195:$CM$609,9,FALSE)</f>
        <v>0</v>
      </c>
      <c r="AN84" s="207">
        <f>IF($Q84&gt;0,VLOOKUP($C84,$BI$195:$CM$609,11,FALSE),0)</f>
        <v>0</v>
      </c>
      <c r="AO84" s="210">
        <f t="shared" si="186"/>
        <v>0</v>
      </c>
      <c r="AP84" s="212">
        <f t="shared" si="187"/>
        <v>0</v>
      </c>
      <c r="AQ84" s="207">
        <f t="shared" si="188"/>
        <v>0</v>
      </c>
      <c r="AR84" s="210">
        <f t="shared" si="189"/>
        <v>0</v>
      </c>
      <c r="AS84" s="213">
        <v>0</v>
      </c>
      <c r="AT84" s="209">
        <v>0</v>
      </c>
      <c r="AU84" s="207">
        <v>0</v>
      </c>
      <c r="AV84" s="212">
        <v>0</v>
      </c>
      <c r="AW84" s="207">
        <v>0</v>
      </c>
      <c r="AX84" s="210">
        <f>(AV84*AW84)^2</f>
        <v>0</v>
      </c>
      <c r="AY84" s="213">
        <v>0</v>
      </c>
      <c r="AZ84" s="209">
        <v>0</v>
      </c>
      <c r="BA84" s="207">
        <v>0</v>
      </c>
      <c r="BB84" s="212">
        <f>($Q84*AY84)/1000</f>
        <v>0</v>
      </c>
      <c r="BC84" s="212">
        <f t="shared" si="192"/>
        <v>0</v>
      </c>
      <c r="BD84" s="207">
        <v>0</v>
      </c>
      <c r="BE84" s="210">
        <f>(BC84*BD84)^2</f>
        <v>0</v>
      </c>
      <c r="BF84" s="206">
        <f t="shared" si="194"/>
        <v>0</v>
      </c>
      <c r="BG84" s="214">
        <f t="shared" si="195"/>
        <v>0</v>
      </c>
      <c r="BH84" s="160">
        <f>(BF84*BG84)^2</f>
        <v>0</v>
      </c>
      <c r="BI84" s="200"/>
      <c r="BJ84" s="462"/>
      <c r="BK84" s="462"/>
      <c r="BL84" s="462"/>
      <c r="BM84" s="463"/>
      <c r="BN84" s="463"/>
      <c r="BO84" s="463"/>
      <c r="BP84" s="462"/>
      <c r="BQ84" s="462"/>
      <c r="BR84" s="462"/>
      <c r="BS84" s="462"/>
      <c r="BT84" s="462"/>
      <c r="BU84" s="462"/>
      <c r="BV84" s="462"/>
      <c r="BW84" s="462"/>
      <c r="BX84" s="462"/>
      <c r="BY84" s="462"/>
      <c r="BZ84" s="462"/>
      <c r="CA84" s="462"/>
      <c r="CB84" s="464"/>
      <c r="CC84" s="462"/>
      <c r="CD84" s="462"/>
      <c r="CE84" s="464"/>
      <c r="CF84" s="464"/>
      <c r="CG84" s="464"/>
      <c r="CH84" s="464"/>
      <c r="CI84" s="462"/>
      <c r="CJ84" s="462"/>
      <c r="CK84" s="464"/>
      <c r="CL84" s="464"/>
      <c r="CM84" s="464"/>
      <c r="CN84" s="357"/>
      <c r="CO84" s="346"/>
      <c r="CP84" s="346"/>
      <c r="CQ84" s="171"/>
      <c r="CR84" s="171"/>
      <c r="CS84" s="171"/>
      <c r="CT84" s="171"/>
      <c r="CU84" s="171"/>
      <c r="CV84" s="171"/>
      <c r="CW84" s="171"/>
      <c r="CX84" s="171"/>
      <c r="CY84" s="171"/>
      <c r="CZ84" s="171"/>
      <c r="DA84" s="171"/>
      <c r="DB84" s="171"/>
      <c r="DC84" s="171"/>
      <c r="DD84" s="171"/>
      <c r="DE84" s="171"/>
      <c r="DF84" s="171"/>
      <c r="DG84" s="171"/>
      <c r="DH84" s="171"/>
      <c r="DI84" s="171"/>
      <c r="DJ84" s="171"/>
      <c r="DK84" s="171"/>
      <c r="DL84" s="171"/>
      <c r="DM84" s="171"/>
      <c r="DN84" s="171"/>
      <c r="DO84" s="171"/>
      <c r="DP84" s="171"/>
      <c r="DQ84" s="171"/>
      <c r="DR84" s="171"/>
      <c r="DS84" s="171"/>
      <c r="DT84" s="171"/>
      <c r="DU84" s="171"/>
      <c r="DV84" s="171"/>
      <c r="DW84" s="170"/>
      <c r="DX84" s="170"/>
      <c r="DY84" s="170"/>
      <c r="DZ84" s="170"/>
      <c r="EA84" s="170"/>
      <c r="EB84" s="170"/>
      <c r="EC84" s="170"/>
      <c r="ED84" s="170"/>
    </row>
    <row r="85" spans="1:134" s="147" customFormat="1" hidden="1" x14ac:dyDescent="0.25">
      <c r="A85" s="146"/>
      <c r="B85" s="764" t="s">
        <v>452</v>
      </c>
      <c r="C85" s="111"/>
      <c r="D85" s="205">
        <f t="shared" si="171"/>
        <v>0</v>
      </c>
      <c r="E85" s="91"/>
      <c r="F85" s="91"/>
      <c r="G85" s="91"/>
      <c r="H85" s="91"/>
      <c r="I85" s="91"/>
      <c r="J85" s="91"/>
      <c r="K85" s="143"/>
      <c r="L85" s="143"/>
      <c r="M85" s="143"/>
      <c r="N85" s="143"/>
      <c r="O85" s="143"/>
      <c r="P85" s="143"/>
      <c r="Q85" s="206">
        <f t="shared" si="172"/>
        <v>0</v>
      </c>
      <c r="R85" s="205">
        <f t="shared" si="173"/>
        <v>0</v>
      </c>
      <c r="S85" s="206">
        <f t="shared" si="174"/>
        <v>0</v>
      </c>
      <c r="T85" s="206">
        <f t="shared" si="175"/>
        <v>0</v>
      </c>
      <c r="U85" s="206">
        <f t="shared" si="176"/>
        <v>0</v>
      </c>
      <c r="V85" s="136"/>
      <c r="W85" s="207">
        <f t="shared" si="177"/>
        <v>0</v>
      </c>
      <c r="X85" s="213">
        <v>0</v>
      </c>
      <c r="Y85" s="209">
        <v>0</v>
      </c>
      <c r="Z85" s="207">
        <v>0</v>
      </c>
      <c r="AA85" s="210">
        <f t="shared" si="178"/>
        <v>0</v>
      </c>
      <c r="AB85" s="210">
        <f t="shared" si="179"/>
        <v>0</v>
      </c>
      <c r="AC85" s="207">
        <f t="shared" si="180"/>
        <v>0</v>
      </c>
      <c r="AD85" s="210">
        <f t="shared" si="181"/>
        <v>0</v>
      </c>
      <c r="AE85" s="211">
        <v>0</v>
      </c>
      <c r="AF85" s="209">
        <v>0</v>
      </c>
      <c r="AG85" s="207">
        <v>0</v>
      </c>
      <c r="AH85" s="212">
        <f t="shared" si="182"/>
        <v>0</v>
      </c>
      <c r="AI85" s="212">
        <f t="shared" si="183"/>
        <v>0</v>
      </c>
      <c r="AJ85" s="207">
        <f t="shared" si="184"/>
        <v>0</v>
      </c>
      <c r="AK85" s="210">
        <f t="shared" si="185"/>
        <v>0</v>
      </c>
      <c r="AL85" s="213">
        <f>VLOOKUP($C85,$BI$195:$CM$609,3,FALSE)</f>
        <v>0</v>
      </c>
      <c r="AM85" s="209">
        <f>VLOOKUP($C85,$BI$195:$CM$609,4,FALSE)</f>
        <v>0</v>
      </c>
      <c r="AN85" s="207">
        <f>IF($Q85&gt;0,VLOOKUP($C85,$BI$195:$CM$609,6,FALSE),0)</f>
        <v>0</v>
      </c>
      <c r="AO85" s="210">
        <f t="shared" si="186"/>
        <v>0</v>
      </c>
      <c r="AP85" s="212">
        <f t="shared" si="187"/>
        <v>0</v>
      </c>
      <c r="AQ85" s="207">
        <f t="shared" si="188"/>
        <v>0</v>
      </c>
      <c r="AR85" s="210">
        <f t="shared" si="189"/>
        <v>0</v>
      </c>
      <c r="AS85" s="213">
        <v>0</v>
      </c>
      <c r="AT85" s="209">
        <v>0</v>
      </c>
      <c r="AU85" s="207">
        <v>0</v>
      </c>
      <c r="AV85" s="212">
        <v>0</v>
      </c>
      <c r="AW85" s="207">
        <v>0</v>
      </c>
      <c r="AX85" s="210">
        <f t="shared" si="190"/>
        <v>0</v>
      </c>
      <c r="AY85" s="213">
        <v>0</v>
      </c>
      <c r="AZ85" s="209">
        <v>0</v>
      </c>
      <c r="BA85" s="207">
        <v>0</v>
      </c>
      <c r="BB85" s="212">
        <f t="shared" si="191"/>
        <v>0</v>
      </c>
      <c r="BC85" s="212">
        <f t="shared" si="192"/>
        <v>0</v>
      </c>
      <c r="BD85" s="207">
        <v>0</v>
      </c>
      <c r="BE85" s="210">
        <f t="shared" si="193"/>
        <v>0</v>
      </c>
      <c r="BF85" s="206">
        <f t="shared" si="194"/>
        <v>0</v>
      </c>
      <c r="BG85" s="214">
        <f t="shared" si="195"/>
        <v>0</v>
      </c>
      <c r="BH85" s="160">
        <f t="shared" si="37"/>
        <v>0</v>
      </c>
      <c r="BI85" s="200"/>
      <c r="BJ85" s="462"/>
      <c r="BK85" s="462"/>
      <c r="BL85" s="462"/>
      <c r="BM85" s="463"/>
      <c r="BN85" s="463"/>
      <c r="BO85" s="463"/>
      <c r="BP85" s="462"/>
      <c r="BQ85" s="462"/>
      <c r="BR85" s="462"/>
      <c r="BS85" s="462"/>
      <c r="BT85" s="462"/>
      <c r="BU85" s="462"/>
      <c r="BV85" s="462"/>
      <c r="BW85" s="462"/>
      <c r="BX85" s="462"/>
      <c r="BY85" s="462"/>
      <c r="BZ85" s="462"/>
      <c r="CA85" s="462"/>
      <c r="CB85" s="464"/>
      <c r="CC85" s="462"/>
      <c r="CD85" s="462"/>
      <c r="CE85" s="464"/>
      <c r="CF85" s="464"/>
      <c r="CG85" s="464"/>
      <c r="CH85" s="464"/>
      <c r="CI85" s="462"/>
      <c r="CJ85" s="462"/>
      <c r="CK85" s="464"/>
      <c r="CL85" s="464"/>
      <c r="CM85" s="464"/>
      <c r="CN85" s="357"/>
      <c r="CO85" s="346"/>
      <c r="CP85" s="346"/>
      <c r="CQ85" s="171"/>
      <c r="CR85" s="171"/>
      <c r="CS85" s="171"/>
      <c r="CT85" s="171"/>
      <c r="CU85" s="171"/>
      <c r="CV85" s="171"/>
      <c r="CW85" s="171"/>
      <c r="CX85" s="171"/>
      <c r="CY85" s="171"/>
      <c r="CZ85" s="171"/>
      <c r="DA85" s="171"/>
      <c r="DB85" s="171"/>
      <c r="DC85" s="171"/>
      <c r="DD85" s="171"/>
      <c r="DE85" s="171"/>
      <c r="DF85" s="171"/>
      <c r="DG85" s="171"/>
      <c r="DH85" s="171"/>
      <c r="DI85" s="171"/>
      <c r="DJ85" s="171"/>
      <c r="DK85" s="171"/>
      <c r="DL85" s="171"/>
      <c r="DM85" s="171"/>
      <c r="DN85" s="171"/>
      <c r="DO85" s="171"/>
      <c r="DP85" s="171"/>
      <c r="DQ85" s="171"/>
      <c r="DR85" s="171"/>
      <c r="DS85" s="171"/>
      <c r="DT85" s="171"/>
      <c r="DU85" s="171"/>
      <c r="DV85" s="171"/>
      <c r="DW85" s="170"/>
      <c r="DX85" s="170"/>
      <c r="DY85" s="170"/>
      <c r="DZ85" s="170"/>
      <c r="EA85" s="170"/>
      <c r="EB85" s="170"/>
      <c r="EC85" s="170"/>
      <c r="ED85" s="170"/>
    </row>
    <row r="86" spans="1:134" s="147" customFormat="1" hidden="1" x14ac:dyDescent="0.25">
      <c r="A86" s="146"/>
      <c r="B86" s="766"/>
      <c r="C86" s="111"/>
      <c r="D86" s="205">
        <f t="shared" si="171"/>
        <v>0</v>
      </c>
      <c r="E86" s="91"/>
      <c r="F86" s="91"/>
      <c r="G86" s="91"/>
      <c r="H86" s="91"/>
      <c r="I86" s="91"/>
      <c r="J86" s="91"/>
      <c r="K86" s="143"/>
      <c r="L86" s="143"/>
      <c r="M86" s="143"/>
      <c r="N86" s="143"/>
      <c r="O86" s="143"/>
      <c r="P86" s="143"/>
      <c r="Q86" s="206">
        <f t="shared" si="172"/>
        <v>0</v>
      </c>
      <c r="R86" s="205">
        <f t="shared" si="173"/>
        <v>0</v>
      </c>
      <c r="S86" s="206">
        <f t="shared" si="174"/>
        <v>0</v>
      </c>
      <c r="T86" s="206">
        <f t="shared" si="175"/>
        <v>0</v>
      </c>
      <c r="U86" s="206">
        <f t="shared" si="176"/>
        <v>0</v>
      </c>
      <c r="V86" s="136"/>
      <c r="W86" s="207">
        <f t="shared" si="177"/>
        <v>0</v>
      </c>
      <c r="X86" s="213">
        <v>0</v>
      </c>
      <c r="Y86" s="209">
        <v>0</v>
      </c>
      <c r="Z86" s="207">
        <v>0</v>
      </c>
      <c r="AA86" s="210">
        <f t="shared" si="178"/>
        <v>0</v>
      </c>
      <c r="AB86" s="210">
        <f t="shared" si="179"/>
        <v>0</v>
      </c>
      <c r="AC86" s="207">
        <f t="shared" si="180"/>
        <v>0</v>
      </c>
      <c r="AD86" s="210">
        <f t="shared" si="181"/>
        <v>0</v>
      </c>
      <c r="AE86" s="211">
        <v>0</v>
      </c>
      <c r="AF86" s="209">
        <v>0</v>
      </c>
      <c r="AG86" s="207">
        <v>0</v>
      </c>
      <c r="AH86" s="212">
        <f t="shared" si="182"/>
        <v>0</v>
      </c>
      <c r="AI86" s="212">
        <f t="shared" si="183"/>
        <v>0</v>
      </c>
      <c r="AJ86" s="207">
        <f t="shared" si="184"/>
        <v>0</v>
      </c>
      <c r="AK86" s="210">
        <f t="shared" si="185"/>
        <v>0</v>
      </c>
      <c r="AL86" s="213">
        <f>VLOOKUP($C86,$BI$195:$CM$609,3,FALSE)</f>
        <v>0</v>
      </c>
      <c r="AM86" s="209">
        <f>VLOOKUP($C86,$BI$195:$CM$609,4,FALSE)</f>
        <v>0</v>
      </c>
      <c r="AN86" s="207">
        <f>IF($Q86&gt;0,VLOOKUP($C86,$BI$195:$CM$609,6,FALSE),0)</f>
        <v>0</v>
      </c>
      <c r="AO86" s="210">
        <f t="shared" si="186"/>
        <v>0</v>
      </c>
      <c r="AP86" s="212">
        <f t="shared" si="187"/>
        <v>0</v>
      </c>
      <c r="AQ86" s="207">
        <f t="shared" si="188"/>
        <v>0</v>
      </c>
      <c r="AR86" s="210">
        <f t="shared" si="189"/>
        <v>0</v>
      </c>
      <c r="AS86" s="213">
        <v>0</v>
      </c>
      <c r="AT86" s="209">
        <v>0</v>
      </c>
      <c r="AU86" s="207">
        <v>0</v>
      </c>
      <c r="AV86" s="212">
        <v>0</v>
      </c>
      <c r="AW86" s="207">
        <v>0</v>
      </c>
      <c r="AX86" s="210">
        <f t="shared" si="190"/>
        <v>0</v>
      </c>
      <c r="AY86" s="213">
        <v>0</v>
      </c>
      <c r="AZ86" s="209">
        <v>0</v>
      </c>
      <c r="BA86" s="207">
        <v>0</v>
      </c>
      <c r="BB86" s="212">
        <f t="shared" si="191"/>
        <v>0</v>
      </c>
      <c r="BC86" s="212">
        <f t="shared" si="192"/>
        <v>0</v>
      </c>
      <c r="BD86" s="207">
        <v>0</v>
      </c>
      <c r="BE86" s="210">
        <f t="shared" si="193"/>
        <v>0</v>
      </c>
      <c r="BF86" s="206">
        <f t="shared" si="194"/>
        <v>0</v>
      </c>
      <c r="BG86" s="214">
        <f t="shared" si="195"/>
        <v>0</v>
      </c>
      <c r="BH86" s="160">
        <f t="shared" si="37"/>
        <v>0</v>
      </c>
      <c r="BI86" s="200"/>
      <c r="BJ86" s="462"/>
      <c r="BK86" s="462"/>
      <c r="BL86" s="462"/>
      <c r="BM86" s="463"/>
      <c r="BN86" s="463"/>
      <c r="BO86" s="463"/>
      <c r="BP86" s="462"/>
      <c r="BQ86" s="462"/>
      <c r="BR86" s="462"/>
      <c r="BS86" s="462"/>
      <c r="BT86" s="462"/>
      <c r="BU86" s="462"/>
      <c r="BV86" s="462"/>
      <c r="BW86" s="462"/>
      <c r="BX86" s="462"/>
      <c r="BY86" s="462"/>
      <c r="BZ86" s="462"/>
      <c r="CA86" s="462"/>
      <c r="CB86" s="464"/>
      <c r="CC86" s="462"/>
      <c r="CD86" s="462"/>
      <c r="CE86" s="464"/>
      <c r="CF86" s="464"/>
      <c r="CG86" s="464"/>
      <c r="CH86" s="464"/>
      <c r="CI86" s="462"/>
      <c r="CJ86" s="462"/>
      <c r="CK86" s="464"/>
      <c r="CL86" s="464"/>
      <c r="CM86" s="464"/>
      <c r="CN86" s="357"/>
      <c r="CO86" s="346"/>
      <c r="CP86" s="346"/>
      <c r="CQ86" s="171"/>
      <c r="CR86" s="171"/>
      <c r="CS86" s="171"/>
      <c r="CT86" s="171"/>
      <c r="CU86" s="171"/>
      <c r="CV86" s="171"/>
      <c r="CW86" s="171"/>
      <c r="CX86" s="171"/>
      <c r="CY86" s="171"/>
      <c r="CZ86" s="171"/>
      <c r="DA86" s="171"/>
      <c r="DB86" s="171"/>
      <c r="DC86" s="171"/>
      <c r="DD86" s="171"/>
      <c r="DE86" s="171"/>
      <c r="DF86" s="171"/>
      <c r="DG86" s="171"/>
      <c r="DH86" s="171"/>
      <c r="DI86" s="171"/>
      <c r="DJ86" s="171"/>
      <c r="DK86" s="171"/>
      <c r="DL86" s="171"/>
      <c r="DM86" s="171"/>
      <c r="DN86" s="171"/>
      <c r="DO86" s="171"/>
      <c r="DP86" s="171"/>
      <c r="DQ86" s="171"/>
      <c r="DR86" s="171"/>
      <c r="DS86" s="171"/>
      <c r="DT86" s="171"/>
      <c r="DU86" s="171"/>
      <c r="DV86" s="171"/>
      <c r="DW86" s="170"/>
      <c r="DX86" s="170"/>
      <c r="DY86" s="170"/>
      <c r="DZ86" s="170"/>
      <c r="EA86" s="170"/>
      <c r="EB86" s="170"/>
      <c r="EC86" s="170"/>
      <c r="ED86" s="170"/>
    </row>
    <row r="87" spans="1:134" s="147" customFormat="1" hidden="1" x14ac:dyDescent="0.25">
      <c r="A87" s="146"/>
      <c r="B87" s="765"/>
      <c r="C87" s="111"/>
      <c r="D87" s="205">
        <f t="shared" si="171"/>
        <v>0</v>
      </c>
      <c r="E87" s="91"/>
      <c r="F87" s="91"/>
      <c r="G87" s="91"/>
      <c r="H87" s="91"/>
      <c r="I87" s="91"/>
      <c r="J87" s="91"/>
      <c r="K87" s="143"/>
      <c r="L87" s="143"/>
      <c r="M87" s="143"/>
      <c r="N87" s="143"/>
      <c r="O87" s="143"/>
      <c r="P87" s="143"/>
      <c r="Q87" s="206">
        <f t="shared" si="172"/>
        <v>0</v>
      </c>
      <c r="R87" s="205">
        <f t="shared" si="173"/>
        <v>0</v>
      </c>
      <c r="S87" s="206">
        <f t="shared" si="174"/>
        <v>0</v>
      </c>
      <c r="T87" s="206">
        <f t="shared" si="175"/>
        <v>0</v>
      </c>
      <c r="U87" s="206">
        <f t="shared" si="176"/>
        <v>0</v>
      </c>
      <c r="V87" s="136"/>
      <c r="W87" s="207">
        <f t="shared" si="177"/>
        <v>0</v>
      </c>
      <c r="X87" s="213">
        <v>0</v>
      </c>
      <c r="Y87" s="209">
        <v>0</v>
      </c>
      <c r="Z87" s="207">
        <v>0</v>
      </c>
      <c r="AA87" s="210">
        <f t="shared" si="178"/>
        <v>0</v>
      </c>
      <c r="AB87" s="210">
        <f t="shared" si="179"/>
        <v>0</v>
      </c>
      <c r="AC87" s="207">
        <f t="shared" si="180"/>
        <v>0</v>
      </c>
      <c r="AD87" s="210">
        <f t="shared" si="181"/>
        <v>0</v>
      </c>
      <c r="AE87" s="211">
        <v>0</v>
      </c>
      <c r="AF87" s="209">
        <v>0</v>
      </c>
      <c r="AG87" s="207">
        <v>0</v>
      </c>
      <c r="AH87" s="212">
        <f t="shared" si="182"/>
        <v>0</v>
      </c>
      <c r="AI87" s="212">
        <f t="shared" si="183"/>
        <v>0</v>
      </c>
      <c r="AJ87" s="207">
        <f t="shared" si="184"/>
        <v>0</v>
      </c>
      <c r="AK87" s="210">
        <f t="shared" si="185"/>
        <v>0</v>
      </c>
      <c r="AL87" s="213">
        <f>VLOOKUP($C87,$BI$195:$CM$609,3,FALSE)</f>
        <v>0</v>
      </c>
      <c r="AM87" s="209">
        <f>VLOOKUP($C87,$BI$195:$CM$609,4,FALSE)</f>
        <v>0</v>
      </c>
      <c r="AN87" s="207">
        <f>IF($Q87&gt;0,VLOOKUP($C87,$BI$195:$CM$609,6,FALSE),0)</f>
        <v>0</v>
      </c>
      <c r="AO87" s="210">
        <f t="shared" si="186"/>
        <v>0</v>
      </c>
      <c r="AP87" s="212">
        <f t="shared" si="187"/>
        <v>0</v>
      </c>
      <c r="AQ87" s="207">
        <f t="shared" si="188"/>
        <v>0</v>
      </c>
      <c r="AR87" s="210">
        <f t="shared" si="189"/>
        <v>0</v>
      </c>
      <c r="AS87" s="213">
        <v>0</v>
      </c>
      <c r="AT87" s="209">
        <v>0</v>
      </c>
      <c r="AU87" s="207">
        <v>0</v>
      </c>
      <c r="AV87" s="212">
        <v>0</v>
      </c>
      <c r="AW87" s="207">
        <v>0</v>
      </c>
      <c r="AX87" s="210">
        <f t="shared" si="190"/>
        <v>0</v>
      </c>
      <c r="AY87" s="213">
        <v>0</v>
      </c>
      <c r="AZ87" s="209">
        <v>0</v>
      </c>
      <c r="BA87" s="207">
        <v>0</v>
      </c>
      <c r="BB87" s="212">
        <f t="shared" si="191"/>
        <v>0</v>
      </c>
      <c r="BC87" s="212">
        <f t="shared" si="192"/>
        <v>0</v>
      </c>
      <c r="BD87" s="207">
        <v>0</v>
      </c>
      <c r="BE87" s="210">
        <f t="shared" si="193"/>
        <v>0</v>
      </c>
      <c r="BF87" s="206">
        <f t="shared" si="194"/>
        <v>0</v>
      </c>
      <c r="BG87" s="214">
        <f t="shared" si="195"/>
        <v>0</v>
      </c>
      <c r="BH87" s="160">
        <f t="shared" si="37"/>
        <v>0</v>
      </c>
      <c r="BI87" s="200"/>
      <c r="BJ87" s="462"/>
      <c r="BK87" s="462"/>
      <c r="BL87" s="462"/>
      <c r="BM87" s="463"/>
      <c r="BN87" s="463"/>
      <c r="BO87" s="463"/>
      <c r="BP87" s="462"/>
      <c r="BQ87" s="462"/>
      <c r="BR87" s="462"/>
      <c r="BS87" s="462"/>
      <c r="BT87" s="462"/>
      <c r="BU87" s="462"/>
      <c r="BV87" s="462"/>
      <c r="BW87" s="462"/>
      <c r="BX87" s="462"/>
      <c r="BY87" s="462"/>
      <c r="BZ87" s="462"/>
      <c r="CA87" s="462"/>
      <c r="CB87" s="464"/>
      <c r="CC87" s="462"/>
      <c r="CD87" s="462"/>
      <c r="CE87" s="464"/>
      <c r="CF87" s="464"/>
      <c r="CG87" s="464"/>
      <c r="CH87" s="464"/>
      <c r="CI87" s="462"/>
      <c r="CJ87" s="462"/>
      <c r="CK87" s="464"/>
      <c r="CL87" s="464"/>
      <c r="CM87" s="464"/>
      <c r="CN87" s="357"/>
      <c r="CO87" s="346"/>
      <c r="CP87" s="346"/>
      <c r="CQ87" s="171"/>
      <c r="CR87" s="171"/>
      <c r="CS87" s="171"/>
      <c r="CT87" s="171"/>
      <c r="CU87" s="171"/>
      <c r="CV87" s="171"/>
      <c r="CW87" s="171"/>
      <c r="CX87" s="171"/>
      <c r="CY87" s="171"/>
      <c r="CZ87" s="171"/>
      <c r="DA87" s="171"/>
      <c r="DB87" s="171"/>
      <c r="DC87" s="171"/>
      <c r="DD87" s="171"/>
      <c r="DE87" s="171"/>
      <c r="DF87" s="171"/>
      <c r="DG87" s="171"/>
      <c r="DH87" s="171"/>
      <c r="DI87" s="171"/>
      <c r="DJ87" s="171"/>
      <c r="DK87" s="171"/>
      <c r="DL87" s="171"/>
      <c r="DM87" s="171"/>
      <c r="DN87" s="171"/>
      <c r="DO87" s="171"/>
      <c r="DP87" s="171"/>
      <c r="DQ87" s="171"/>
      <c r="DR87" s="171"/>
      <c r="DS87" s="171"/>
      <c r="DT87" s="171"/>
      <c r="DU87" s="171"/>
      <c r="DV87" s="171"/>
      <c r="DW87" s="170"/>
      <c r="DX87" s="170"/>
      <c r="DY87" s="170"/>
      <c r="DZ87" s="170"/>
      <c r="EA87" s="170"/>
      <c r="EB87" s="170"/>
      <c r="EC87" s="170"/>
      <c r="ED87" s="170"/>
    </row>
    <row r="88" spans="1:134" s="147" customFormat="1" hidden="1" x14ac:dyDescent="0.25">
      <c r="A88" s="146"/>
      <c r="B88" s="572" t="s">
        <v>656</v>
      </c>
      <c r="C88" s="111"/>
      <c r="D88" s="205">
        <f t="shared" si="171"/>
        <v>0</v>
      </c>
      <c r="E88" s="91"/>
      <c r="F88" s="91"/>
      <c r="G88" s="91"/>
      <c r="H88" s="91"/>
      <c r="I88" s="91"/>
      <c r="J88" s="91"/>
      <c r="K88" s="143"/>
      <c r="L88" s="143"/>
      <c r="M88" s="143"/>
      <c r="N88" s="143"/>
      <c r="O88" s="143"/>
      <c r="P88" s="143"/>
      <c r="Q88" s="206">
        <f t="shared" si="172"/>
        <v>0</v>
      </c>
      <c r="R88" s="205">
        <f t="shared" si="173"/>
        <v>0</v>
      </c>
      <c r="S88" s="206">
        <f t="shared" si="174"/>
        <v>0</v>
      </c>
      <c r="T88" s="206">
        <f t="shared" si="175"/>
        <v>0</v>
      </c>
      <c r="U88" s="206">
        <f t="shared" si="176"/>
        <v>0</v>
      </c>
      <c r="V88" s="136"/>
      <c r="W88" s="207">
        <f t="shared" si="177"/>
        <v>0</v>
      </c>
      <c r="X88" s="213">
        <f>VLOOKUP($C88,$BI$195:$CM$609,3,FALSE)</f>
        <v>0</v>
      </c>
      <c r="Y88" s="209">
        <f>VLOOKUP($C88,$BI$195:$CM$609,4,FALSE)</f>
        <v>0</v>
      </c>
      <c r="Z88" s="207">
        <f>IF($Q88&gt;0,VLOOKUP($C88,$BI$195:$CM$609,6,FALSE),0)</f>
        <v>0</v>
      </c>
      <c r="AA88" s="210">
        <f t="shared" si="178"/>
        <v>0</v>
      </c>
      <c r="AB88" s="210">
        <f t="shared" si="179"/>
        <v>0</v>
      </c>
      <c r="AC88" s="207">
        <f t="shared" si="180"/>
        <v>0</v>
      </c>
      <c r="AD88" s="210">
        <f t="shared" si="181"/>
        <v>0</v>
      </c>
      <c r="AE88" s="211">
        <v>0</v>
      </c>
      <c r="AF88" s="209">
        <v>0</v>
      </c>
      <c r="AG88" s="207">
        <v>0</v>
      </c>
      <c r="AH88" s="212">
        <f t="shared" si="182"/>
        <v>0</v>
      </c>
      <c r="AI88" s="212">
        <f t="shared" si="183"/>
        <v>0</v>
      </c>
      <c r="AJ88" s="207">
        <f t="shared" si="184"/>
        <v>0</v>
      </c>
      <c r="AK88" s="210">
        <f t="shared" si="185"/>
        <v>0</v>
      </c>
      <c r="AL88" s="213">
        <v>0</v>
      </c>
      <c r="AM88" s="209">
        <v>0</v>
      </c>
      <c r="AN88" s="207">
        <v>0</v>
      </c>
      <c r="AO88" s="210">
        <f t="shared" si="186"/>
        <v>0</v>
      </c>
      <c r="AP88" s="212">
        <f t="shared" si="187"/>
        <v>0</v>
      </c>
      <c r="AQ88" s="207">
        <f t="shared" si="188"/>
        <v>0</v>
      </c>
      <c r="AR88" s="210">
        <f t="shared" si="189"/>
        <v>0</v>
      </c>
      <c r="AS88" s="213">
        <v>0</v>
      </c>
      <c r="AT88" s="209">
        <v>0</v>
      </c>
      <c r="AU88" s="207">
        <v>0</v>
      </c>
      <c r="AV88" s="212">
        <v>0</v>
      </c>
      <c r="AW88" s="207">
        <v>0</v>
      </c>
      <c r="AX88" s="210">
        <f t="shared" si="190"/>
        <v>0</v>
      </c>
      <c r="AY88" s="213">
        <v>0</v>
      </c>
      <c r="AZ88" s="209">
        <v>0</v>
      </c>
      <c r="BA88" s="207">
        <v>0</v>
      </c>
      <c r="BB88" s="212">
        <f t="shared" si="191"/>
        <v>0</v>
      </c>
      <c r="BC88" s="212">
        <f t="shared" si="192"/>
        <v>0</v>
      </c>
      <c r="BD88" s="207">
        <v>0</v>
      </c>
      <c r="BE88" s="210">
        <f t="shared" si="193"/>
        <v>0</v>
      </c>
      <c r="BF88" s="206">
        <f t="shared" si="194"/>
        <v>0</v>
      </c>
      <c r="BG88" s="214">
        <f t="shared" si="195"/>
        <v>0</v>
      </c>
      <c r="BH88" s="160">
        <f t="shared" si="37"/>
        <v>0</v>
      </c>
      <c r="BI88" s="200"/>
      <c r="BJ88" s="462"/>
      <c r="BK88" s="462"/>
      <c r="BL88" s="462"/>
      <c r="BM88" s="463"/>
      <c r="BN88" s="463"/>
      <c r="BO88" s="463"/>
      <c r="BP88" s="462"/>
      <c r="BQ88" s="462"/>
      <c r="BR88" s="462"/>
      <c r="BS88" s="462"/>
      <c r="BT88" s="462"/>
      <c r="BU88" s="462"/>
      <c r="BV88" s="462"/>
      <c r="BW88" s="462"/>
      <c r="BX88" s="462"/>
      <c r="BY88" s="462"/>
      <c r="BZ88" s="462"/>
      <c r="CA88" s="462"/>
      <c r="CB88" s="464"/>
      <c r="CC88" s="462"/>
      <c r="CD88" s="462"/>
      <c r="CE88" s="464"/>
      <c r="CF88" s="464"/>
      <c r="CG88" s="464"/>
      <c r="CH88" s="464"/>
      <c r="CI88" s="462"/>
      <c r="CJ88" s="462"/>
      <c r="CK88" s="464"/>
      <c r="CL88" s="464"/>
      <c r="CM88" s="464"/>
      <c r="CN88" s="357"/>
      <c r="CO88" s="346"/>
      <c r="CP88" s="346"/>
      <c r="CQ88" s="171"/>
      <c r="CR88" s="171"/>
      <c r="CS88" s="171"/>
      <c r="CT88" s="171"/>
      <c r="CU88" s="171"/>
      <c r="CV88" s="171"/>
      <c r="CW88" s="171"/>
      <c r="CX88" s="171"/>
      <c r="CY88" s="171"/>
      <c r="CZ88" s="171"/>
      <c r="DA88" s="171"/>
      <c r="DB88" s="171"/>
      <c r="DC88" s="171"/>
      <c r="DD88" s="171"/>
      <c r="DE88" s="171"/>
      <c r="DF88" s="171"/>
      <c r="DG88" s="171"/>
      <c r="DH88" s="171"/>
      <c r="DI88" s="171"/>
      <c r="DJ88" s="171"/>
      <c r="DK88" s="171"/>
      <c r="DL88" s="171"/>
      <c r="DM88" s="171"/>
      <c r="DN88" s="171"/>
      <c r="DO88" s="171"/>
      <c r="DP88" s="171"/>
      <c r="DQ88" s="171"/>
      <c r="DR88" s="171"/>
      <c r="DS88" s="171"/>
      <c r="DT88" s="171"/>
      <c r="DU88" s="171"/>
      <c r="DV88" s="171"/>
      <c r="DW88" s="170"/>
      <c r="DX88" s="170"/>
      <c r="DY88" s="170"/>
      <c r="DZ88" s="170"/>
      <c r="EA88" s="170"/>
      <c r="EB88" s="170"/>
      <c r="EC88" s="170"/>
      <c r="ED88" s="170"/>
    </row>
    <row r="89" spans="1:134" s="200" customFormat="1" ht="15" customHeight="1" x14ac:dyDescent="0.25">
      <c r="A89" s="146"/>
      <c r="B89" s="749" t="s">
        <v>442</v>
      </c>
      <c r="C89" s="739" t="s">
        <v>446</v>
      </c>
      <c r="D89" s="739" t="s">
        <v>107</v>
      </c>
      <c r="E89" s="739"/>
      <c r="F89" s="739"/>
      <c r="G89" s="739"/>
      <c r="H89" s="739"/>
      <c r="I89" s="739"/>
      <c r="J89" s="739"/>
      <c r="K89" s="739"/>
      <c r="L89" s="739"/>
      <c r="M89" s="739"/>
      <c r="N89" s="739"/>
      <c r="O89" s="739"/>
      <c r="P89" s="739"/>
      <c r="Q89" s="739"/>
      <c r="R89" s="739"/>
      <c r="S89" s="739" t="s">
        <v>352</v>
      </c>
      <c r="T89" s="739"/>
      <c r="U89" s="739"/>
      <c r="V89" s="739"/>
      <c r="W89" s="739"/>
      <c r="X89" s="740" t="s">
        <v>360</v>
      </c>
      <c r="Y89" s="740"/>
      <c r="Z89" s="740"/>
      <c r="AA89" s="740"/>
      <c r="AB89" s="740"/>
      <c r="AC89" s="740"/>
      <c r="AD89" s="740"/>
      <c r="AE89" s="740" t="s">
        <v>359</v>
      </c>
      <c r="AF89" s="740"/>
      <c r="AG89" s="740"/>
      <c r="AH89" s="740"/>
      <c r="AI89" s="740"/>
      <c r="AJ89" s="740"/>
      <c r="AK89" s="740"/>
      <c r="AL89" s="740" t="s">
        <v>358</v>
      </c>
      <c r="AM89" s="740"/>
      <c r="AN89" s="740"/>
      <c r="AO89" s="740"/>
      <c r="AP89" s="740"/>
      <c r="AQ89" s="740"/>
      <c r="AR89" s="740"/>
      <c r="AS89" s="740" t="s">
        <v>543</v>
      </c>
      <c r="AT89" s="740"/>
      <c r="AU89" s="740"/>
      <c r="AV89" s="740"/>
      <c r="AW89" s="740"/>
      <c r="AX89" s="740"/>
      <c r="AY89" s="740" t="s">
        <v>357</v>
      </c>
      <c r="AZ89" s="740"/>
      <c r="BA89" s="740"/>
      <c r="BB89" s="740"/>
      <c r="BC89" s="740"/>
      <c r="BD89" s="740"/>
      <c r="BE89" s="740"/>
      <c r="BF89" s="744" t="s">
        <v>794</v>
      </c>
      <c r="BG89" s="748" t="s">
        <v>109</v>
      </c>
      <c r="BH89" s="160"/>
      <c r="BJ89" s="462"/>
      <c r="BK89" s="462"/>
      <c r="BL89" s="462"/>
      <c r="BM89" s="463"/>
      <c r="BN89" s="463"/>
      <c r="BO89" s="463"/>
      <c r="BP89" s="462"/>
      <c r="BQ89" s="462"/>
      <c r="BR89" s="462"/>
      <c r="BS89" s="462"/>
      <c r="BT89" s="462"/>
      <c r="BU89" s="462"/>
      <c r="BV89" s="462"/>
      <c r="BW89" s="462"/>
      <c r="BX89" s="462"/>
      <c r="BY89" s="462"/>
      <c r="BZ89" s="462"/>
      <c r="CA89" s="462"/>
      <c r="CB89" s="464"/>
      <c r="CC89" s="462"/>
      <c r="CD89" s="462"/>
      <c r="CE89" s="464"/>
      <c r="CF89" s="464"/>
      <c r="CG89" s="464"/>
      <c r="CH89" s="464"/>
      <c r="CI89" s="462"/>
      <c r="CJ89" s="462"/>
      <c r="CK89" s="464"/>
      <c r="CL89" s="464"/>
      <c r="CM89" s="464"/>
      <c r="CN89" s="357"/>
      <c r="CO89" s="346"/>
      <c r="CP89" s="346"/>
      <c r="CQ89" s="171"/>
      <c r="CR89" s="171"/>
      <c r="CS89" s="171"/>
      <c r="CT89" s="171"/>
      <c r="CU89" s="171"/>
      <c r="CV89" s="171"/>
      <c r="CW89" s="171"/>
      <c r="CX89" s="171"/>
      <c r="CY89" s="171"/>
      <c r="CZ89" s="171"/>
      <c r="DA89" s="171"/>
      <c r="DB89" s="171"/>
      <c r="DC89" s="171"/>
      <c r="DD89" s="171"/>
      <c r="DE89" s="171"/>
      <c r="DF89" s="171"/>
      <c r="DG89" s="171"/>
      <c r="DH89" s="171"/>
      <c r="DI89" s="171"/>
      <c r="DJ89" s="171"/>
      <c r="DK89" s="171"/>
      <c r="DL89" s="171"/>
      <c r="DM89" s="171"/>
      <c r="DN89" s="171"/>
      <c r="DO89" s="171"/>
      <c r="DP89" s="171"/>
      <c r="DQ89" s="171"/>
      <c r="DR89" s="171"/>
      <c r="DS89" s="171"/>
      <c r="DT89" s="171"/>
      <c r="DU89" s="171"/>
      <c r="DV89" s="171"/>
      <c r="DW89" s="170"/>
      <c r="DX89" s="170"/>
      <c r="DY89" s="170"/>
      <c r="DZ89" s="170"/>
      <c r="EA89" s="170"/>
      <c r="EB89" s="170"/>
      <c r="EC89" s="170"/>
      <c r="ED89" s="170"/>
    </row>
    <row r="90" spans="1:134" s="200" customFormat="1" ht="75" x14ac:dyDescent="0.25">
      <c r="A90" s="146"/>
      <c r="B90" s="750"/>
      <c r="C90" s="739"/>
      <c r="D90" s="201" t="s">
        <v>110</v>
      </c>
      <c r="E90" s="201" t="s">
        <v>111</v>
      </c>
      <c r="F90" s="201" t="s">
        <v>112</v>
      </c>
      <c r="G90" s="201" t="s">
        <v>113</v>
      </c>
      <c r="H90" s="201" t="s">
        <v>114</v>
      </c>
      <c r="I90" s="201" t="s">
        <v>115</v>
      </c>
      <c r="J90" s="201" t="s">
        <v>116</v>
      </c>
      <c r="K90" s="201" t="s">
        <v>117</v>
      </c>
      <c r="L90" s="201" t="s">
        <v>118</v>
      </c>
      <c r="M90" s="201" t="s">
        <v>119</v>
      </c>
      <c r="N90" s="201" t="s">
        <v>120</v>
      </c>
      <c r="O90" s="201" t="s">
        <v>121</v>
      </c>
      <c r="P90" s="201" t="s">
        <v>122</v>
      </c>
      <c r="Q90" s="201" t="s">
        <v>123</v>
      </c>
      <c r="R90" s="201" t="s">
        <v>124</v>
      </c>
      <c r="S90" s="201" t="s">
        <v>125</v>
      </c>
      <c r="T90" s="201" t="s">
        <v>126</v>
      </c>
      <c r="U90" s="201" t="s">
        <v>127</v>
      </c>
      <c r="V90" s="202" t="s">
        <v>369</v>
      </c>
      <c r="W90" s="201" t="s">
        <v>352</v>
      </c>
      <c r="X90" s="744" t="s">
        <v>353</v>
      </c>
      <c r="Y90" s="744"/>
      <c r="Z90" s="201" t="s">
        <v>361</v>
      </c>
      <c r="AA90" s="203" t="s">
        <v>793</v>
      </c>
      <c r="AB90" s="203" t="s">
        <v>806</v>
      </c>
      <c r="AC90" s="571" t="s">
        <v>362</v>
      </c>
      <c r="AD90" s="203" t="s">
        <v>453</v>
      </c>
      <c r="AE90" s="744" t="s">
        <v>354</v>
      </c>
      <c r="AF90" s="744"/>
      <c r="AG90" s="571" t="s">
        <v>363</v>
      </c>
      <c r="AH90" s="204" t="s">
        <v>807</v>
      </c>
      <c r="AI90" s="204" t="s">
        <v>808</v>
      </c>
      <c r="AJ90" s="201" t="s">
        <v>364</v>
      </c>
      <c r="AK90" s="203" t="s">
        <v>453</v>
      </c>
      <c r="AL90" s="744" t="s">
        <v>355</v>
      </c>
      <c r="AM90" s="744"/>
      <c r="AN90" s="201" t="s">
        <v>365</v>
      </c>
      <c r="AO90" s="201" t="s">
        <v>809</v>
      </c>
      <c r="AP90" s="201" t="s">
        <v>810</v>
      </c>
      <c r="AQ90" s="201" t="s">
        <v>366</v>
      </c>
      <c r="AR90" s="203" t="s">
        <v>453</v>
      </c>
      <c r="AS90" s="744" t="s">
        <v>811</v>
      </c>
      <c r="AT90" s="744"/>
      <c r="AU90" s="201" t="s">
        <v>546</v>
      </c>
      <c r="AV90" s="203" t="s">
        <v>812</v>
      </c>
      <c r="AW90" s="201" t="s">
        <v>545</v>
      </c>
      <c r="AX90" s="203" t="s">
        <v>453</v>
      </c>
      <c r="AY90" s="744" t="s">
        <v>356</v>
      </c>
      <c r="AZ90" s="744"/>
      <c r="BA90" s="201" t="s">
        <v>367</v>
      </c>
      <c r="BB90" s="203" t="s">
        <v>813</v>
      </c>
      <c r="BC90" s="203" t="s">
        <v>814</v>
      </c>
      <c r="BD90" s="201" t="s">
        <v>368</v>
      </c>
      <c r="BE90" s="203" t="s">
        <v>453</v>
      </c>
      <c r="BF90" s="744"/>
      <c r="BG90" s="748"/>
      <c r="BH90" s="160"/>
      <c r="BJ90" s="462"/>
      <c r="BK90" s="462"/>
      <c r="BL90" s="462"/>
      <c r="BM90" s="463"/>
      <c r="BN90" s="463"/>
      <c r="BO90" s="463"/>
      <c r="BP90" s="462"/>
      <c r="BQ90" s="462"/>
      <c r="BR90" s="462"/>
      <c r="BS90" s="462"/>
      <c r="BT90" s="462"/>
      <c r="BU90" s="462"/>
      <c r="BV90" s="462"/>
      <c r="BW90" s="462"/>
      <c r="BX90" s="462"/>
      <c r="BY90" s="462"/>
      <c r="BZ90" s="462"/>
      <c r="CA90" s="462"/>
      <c r="CB90" s="464"/>
      <c r="CC90" s="462"/>
      <c r="CD90" s="462"/>
      <c r="CE90" s="464"/>
      <c r="CF90" s="464"/>
      <c r="CG90" s="464"/>
      <c r="CH90" s="464"/>
      <c r="CI90" s="462"/>
      <c r="CJ90" s="462"/>
      <c r="CK90" s="464"/>
      <c r="CL90" s="464"/>
      <c r="CM90" s="464"/>
      <c r="CN90" s="357"/>
      <c r="CO90" s="346"/>
      <c r="CP90" s="346"/>
      <c r="CQ90" s="171"/>
      <c r="CR90" s="171"/>
      <c r="CS90" s="171"/>
      <c r="CT90" s="171"/>
      <c r="CU90" s="171"/>
      <c r="CV90" s="171"/>
      <c r="CW90" s="171"/>
      <c r="CX90" s="171"/>
      <c r="CY90" s="171"/>
      <c r="CZ90" s="171"/>
      <c r="DA90" s="171"/>
      <c r="DB90" s="171"/>
      <c r="DC90" s="171"/>
      <c r="DD90" s="171"/>
      <c r="DE90" s="171"/>
      <c r="DF90" s="171"/>
      <c r="DG90" s="171"/>
      <c r="DH90" s="171"/>
      <c r="DI90" s="171"/>
      <c r="DJ90" s="171"/>
      <c r="DK90" s="171"/>
      <c r="DL90" s="171"/>
      <c r="DM90" s="171"/>
      <c r="DN90" s="171"/>
      <c r="DO90" s="171"/>
      <c r="DP90" s="171"/>
      <c r="DQ90" s="171"/>
      <c r="DR90" s="171"/>
      <c r="DS90" s="171"/>
      <c r="DT90" s="171"/>
      <c r="DU90" s="171"/>
      <c r="DV90" s="171"/>
      <c r="DW90" s="170"/>
      <c r="DX90" s="170"/>
      <c r="DY90" s="170"/>
      <c r="DZ90" s="170"/>
      <c r="EA90" s="170"/>
      <c r="EB90" s="170"/>
      <c r="EC90" s="170"/>
      <c r="ED90" s="170"/>
    </row>
    <row r="91" spans="1:134" s="147" customFormat="1" x14ac:dyDescent="0.25">
      <c r="A91" s="146"/>
      <c r="B91" s="762" t="s">
        <v>626</v>
      </c>
      <c r="C91" s="111" t="s">
        <v>766</v>
      </c>
      <c r="D91" s="205" t="str">
        <f>VLOOKUP($C91,$BI$195:$CM$609,2,FALSE)</f>
        <v>kg DQO</v>
      </c>
      <c r="E91" s="641">
        <v>10638.5134375</v>
      </c>
      <c r="F91" s="641">
        <v>14743.439587499999</v>
      </c>
      <c r="G91" s="641">
        <v>5167.0152624999992</v>
      </c>
      <c r="H91" s="641"/>
      <c r="I91" s="641"/>
      <c r="J91" s="641"/>
      <c r="K91" s="641"/>
      <c r="L91" s="641"/>
      <c r="M91" s="641"/>
      <c r="N91" s="641"/>
      <c r="O91" s="641"/>
      <c r="P91" s="641"/>
      <c r="Q91" s="206">
        <f>SUM(E91:P91)</f>
        <v>30548.9682875</v>
      </c>
      <c r="R91" s="205">
        <f>COUNT(E91:P91)</f>
        <v>3</v>
      </c>
      <c r="S91" s="206">
        <f>IF(R91&gt;1,AVERAGE(E91:P91),0)</f>
        <v>10182.989429166666</v>
      </c>
      <c r="T91" s="206">
        <f>IF(R91&gt;1,STDEV(E91:P91),0)</f>
        <v>4804.4356905612722</v>
      </c>
      <c r="U91" s="206">
        <f>IF(R91&gt;1,VLOOKUP($R91,$BI$529:$BJ$541,2,FALSE),0)</f>
        <v>4.3</v>
      </c>
      <c r="V91" s="92"/>
      <c r="W91" s="207">
        <f>IF(R91&gt;1,1-((S91-((T91*U91)/(SQRT(R91))))/S91),VLOOKUP($C91,$BI$195:$CP$609,34,FALSE))</f>
        <v>1.1713182765967207</v>
      </c>
      <c r="X91" s="213">
        <v>0</v>
      </c>
      <c r="Y91" s="209">
        <v>0</v>
      </c>
      <c r="Z91" s="207">
        <v>0</v>
      </c>
      <c r="AA91" s="210">
        <f>($Q91*X91)/1000</f>
        <v>0</v>
      </c>
      <c r="AB91" s="210">
        <f>AA91*$BJ$547</f>
        <v>0</v>
      </c>
      <c r="AC91" s="207">
        <f>IF(AA91&gt;0,SQRT(($W91*$W91)+(Z91*Z91)+($V91*$V91)),0)</f>
        <v>0</v>
      </c>
      <c r="AD91" s="210">
        <f>(AB91*AC91)^2</f>
        <v>0</v>
      </c>
      <c r="AE91" s="533">
        <f>VLOOKUP($C91,$BI$195:$CM$609,3,FALSE)</f>
        <v>0.2</v>
      </c>
      <c r="AF91" s="209" t="str">
        <f>VLOOKUP($C91,$BI$195:$CM$609,4,FALSE)</f>
        <v>kgCH4/kg DQO</v>
      </c>
      <c r="AG91" s="207">
        <f>IF($Q91&gt;0,VLOOKUP($C91,$BI$195:$CM$609,6,FALSE),0)</f>
        <v>0.39</v>
      </c>
      <c r="AH91" s="210">
        <f>($Q91*AE91)/1000</f>
        <v>6.1097936575</v>
      </c>
      <c r="AI91" s="212">
        <f>AH91*$BJ$548</f>
        <v>171.07422241</v>
      </c>
      <c r="AJ91" s="207">
        <f>IF(AH91&gt;0,SQRT(($W91*$W91)+(AG91*AG91)+($V91*$V91)),0)</f>
        <v>1.2345389848398924</v>
      </c>
      <c r="AK91" s="210">
        <f>(AI91*AJ91)^2</f>
        <v>44604.509401185409</v>
      </c>
      <c r="AL91" s="211">
        <f>VLOOKUP($C91,$BI$195:$CM$609,9,FALSE)</f>
        <v>0</v>
      </c>
      <c r="AM91" s="209">
        <f>VLOOKUP($C91,$BI$195:$CM$609,10,FALSE)</f>
        <v>0</v>
      </c>
      <c r="AN91" s="207">
        <f>IF($Q91&gt;0,VLOOKUP($C91,$BI$195:$CM$609,12,FALSE),0)</f>
        <v>0</v>
      </c>
      <c r="AO91" s="212">
        <f>(W91*AL91)/1000</f>
        <v>0</v>
      </c>
      <c r="AP91" s="212">
        <f>AO91*$BJ$549</f>
        <v>0</v>
      </c>
      <c r="AQ91" s="207">
        <f>IF(AO91&gt;0,SQRT(($W91*$W91)+(AN91*AN91)+($V91*$V91)),0)</f>
        <v>0</v>
      </c>
      <c r="AR91" s="210">
        <f>(AP91*AQ91)^2</f>
        <v>0</v>
      </c>
      <c r="AS91" s="213">
        <v>0</v>
      </c>
      <c r="AT91" s="209">
        <v>0</v>
      </c>
      <c r="AU91" s="207">
        <v>0</v>
      </c>
      <c r="AV91" s="212">
        <v>0</v>
      </c>
      <c r="AW91" s="207">
        <v>0</v>
      </c>
      <c r="AX91" s="210">
        <f>(AV91*AW91)^2</f>
        <v>0</v>
      </c>
      <c r="AY91" s="213">
        <v>0</v>
      </c>
      <c r="AZ91" s="209">
        <v>0</v>
      </c>
      <c r="BA91" s="207">
        <v>0</v>
      </c>
      <c r="BB91" s="212">
        <f>($Q91*AY91)/1000</f>
        <v>0</v>
      </c>
      <c r="BC91" s="212">
        <f>BB91*$BJ$550</f>
        <v>0</v>
      </c>
      <c r="BD91" s="207">
        <v>0</v>
      </c>
      <c r="BE91" s="210">
        <f>(BC91*BD91)^2</f>
        <v>0</v>
      </c>
      <c r="BF91" s="206">
        <f>AB91+AI91+AP91+AV91+BC91</f>
        <v>171.07422241</v>
      </c>
      <c r="BG91" s="214">
        <f>IF(BF91&gt;0,SQRT(AD91+AK91+AR91+AX91+BE91)/BF91,0)</f>
        <v>1.2345389848398924</v>
      </c>
      <c r="BH91" s="160">
        <f>(BF91*BG91)^2</f>
        <v>44604.509401185409</v>
      </c>
      <c r="BI91" s="200"/>
      <c r="BJ91" s="462"/>
      <c r="BK91" s="462"/>
      <c r="BL91" s="462"/>
      <c r="BM91" s="463"/>
      <c r="BN91" s="463"/>
      <c r="BO91" s="463"/>
      <c r="BP91" s="462"/>
      <c r="BQ91" s="462"/>
      <c r="BR91" s="462"/>
      <c r="BS91" s="462"/>
      <c r="BT91" s="462"/>
      <c r="BU91" s="462"/>
      <c r="BV91" s="462"/>
      <c r="BW91" s="462"/>
      <c r="BX91" s="462"/>
      <c r="BY91" s="462"/>
      <c r="BZ91" s="462"/>
      <c r="CA91" s="462"/>
      <c r="CB91" s="464"/>
      <c r="CC91" s="462"/>
      <c r="CD91" s="462"/>
      <c r="CE91" s="464"/>
      <c r="CF91" s="464"/>
      <c r="CG91" s="464"/>
      <c r="CH91" s="464"/>
      <c r="CI91" s="462"/>
      <c r="CJ91" s="462"/>
      <c r="CK91" s="464"/>
      <c r="CL91" s="464"/>
      <c r="CM91" s="464"/>
      <c r="CN91" s="357"/>
      <c r="CO91" s="346"/>
      <c r="CP91" s="346"/>
      <c r="CQ91" s="171"/>
      <c r="CR91" s="171"/>
      <c r="CS91" s="171"/>
      <c r="CT91" s="171"/>
      <c r="CU91" s="171"/>
      <c r="CV91" s="171"/>
      <c r="CW91" s="171"/>
      <c r="CX91" s="171"/>
      <c r="CY91" s="171"/>
      <c r="CZ91" s="171"/>
      <c r="DA91" s="171"/>
      <c r="DB91" s="171"/>
      <c r="DC91" s="171"/>
      <c r="DD91" s="171"/>
      <c r="DE91" s="171"/>
      <c r="DF91" s="171"/>
      <c r="DG91" s="171"/>
      <c r="DH91" s="171"/>
      <c r="DI91" s="171"/>
      <c r="DJ91" s="171"/>
      <c r="DK91" s="171"/>
      <c r="DL91" s="171"/>
      <c r="DM91" s="171"/>
      <c r="DN91" s="171"/>
      <c r="DO91" s="171"/>
      <c r="DP91" s="171"/>
      <c r="DQ91" s="171"/>
      <c r="DR91" s="171"/>
      <c r="DS91" s="171"/>
      <c r="DT91" s="171"/>
      <c r="DU91" s="171"/>
      <c r="DV91" s="171"/>
      <c r="DW91" s="170"/>
      <c r="DX91" s="170"/>
      <c r="DY91" s="170"/>
      <c r="DZ91" s="170"/>
      <c r="EA91" s="170"/>
      <c r="EB91" s="170"/>
      <c r="EC91" s="170"/>
      <c r="ED91" s="170"/>
    </row>
    <row r="92" spans="1:134" s="147" customFormat="1" hidden="1" x14ac:dyDescent="0.25">
      <c r="A92" s="146"/>
      <c r="B92" s="763"/>
      <c r="C92" s="111"/>
      <c r="D92" s="205">
        <f>VLOOKUP($C92,$BI$195:$CM$609,2,FALSE)</f>
        <v>0</v>
      </c>
      <c r="E92" s="91"/>
      <c r="F92" s="91"/>
      <c r="G92" s="91"/>
      <c r="H92" s="143"/>
      <c r="I92" s="143"/>
      <c r="J92" s="143"/>
      <c r="K92" s="143"/>
      <c r="L92" s="143"/>
      <c r="M92" s="143"/>
      <c r="N92" s="143"/>
      <c r="O92" s="143"/>
      <c r="P92" s="143"/>
      <c r="Q92" s="206">
        <f>SUM(E92:P92)</f>
        <v>0</v>
      </c>
      <c r="R92" s="205">
        <f>COUNT(E92:P92)</f>
        <v>0</v>
      </c>
      <c r="S92" s="206">
        <f>IF(R92&gt;1,AVERAGE(E92:P92),0)</f>
        <v>0</v>
      </c>
      <c r="T92" s="206">
        <f>IF(R92&gt;1,STDEV(E92:P92),0)</f>
        <v>0</v>
      </c>
      <c r="U92" s="206">
        <f>IF(R92&gt;1,VLOOKUP($R92,$BI$529:$BJ$541,2,FALSE),0)</f>
        <v>0</v>
      </c>
      <c r="V92" s="92"/>
      <c r="W92" s="207">
        <f>IF(R92&gt;1,1-((S92-((T92*U92)/(SQRT(R92))))/S92),VLOOKUP($C92,$BI$195:$CP$609,34,FALSE))</f>
        <v>0</v>
      </c>
      <c r="X92" s="213">
        <v>0</v>
      </c>
      <c r="Y92" s="209">
        <v>0</v>
      </c>
      <c r="Z92" s="207">
        <v>0</v>
      </c>
      <c r="AA92" s="210">
        <f>($Q92*X92)/1000</f>
        <v>0</v>
      </c>
      <c r="AB92" s="210">
        <f>AA92*$BJ$547</f>
        <v>0</v>
      </c>
      <c r="AC92" s="207">
        <f>IF(AA92&gt;0,SQRT(($W92*$W92)+(Z92*Z92)+($V92*$V92)),0)</f>
        <v>0</v>
      </c>
      <c r="AD92" s="210">
        <f>(AB92*AC92)^2</f>
        <v>0</v>
      </c>
      <c r="AE92" s="533">
        <f>VLOOKUP($C92,$BI$195:$CM$609,3,FALSE)</f>
        <v>0</v>
      </c>
      <c r="AF92" s="209">
        <f>VLOOKUP($C92,$BI$195:$CM$609,4,FALSE)</f>
        <v>0</v>
      </c>
      <c r="AG92" s="207">
        <f>IF($Q92&gt;0,VLOOKUP($C92,$BI$195:$CM$609,6,FALSE),0)</f>
        <v>0</v>
      </c>
      <c r="AH92" s="210">
        <f>($Q92*AE92)/1000</f>
        <v>0</v>
      </c>
      <c r="AI92" s="212">
        <f>AH92*$BJ$548</f>
        <v>0</v>
      </c>
      <c r="AJ92" s="207">
        <f>IF(AH92&gt;0,SQRT(($W92*$W92)+(AG92*AG92)+($V92*$V92)),0)</f>
        <v>0</v>
      </c>
      <c r="AK92" s="210">
        <f>(AI92*AJ92)^2</f>
        <v>0</v>
      </c>
      <c r="AL92" s="211">
        <v>0</v>
      </c>
      <c r="AM92" s="209">
        <v>0</v>
      </c>
      <c r="AN92" s="207">
        <v>0</v>
      </c>
      <c r="AO92" s="212">
        <f>(W92*AL92)/1000</f>
        <v>0</v>
      </c>
      <c r="AP92" s="212">
        <f>AO92*$BJ$549</f>
        <v>0</v>
      </c>
      <c r="AQ92" s="207">
        <f>IF(AO92&gt;0,SQRT(($W92*$W92)+(AN92*AN92)+($V92*$V92)),0)</f>
        <v>0</v>
      </c>
      <c r="AR92" s="210">
        <f>(AP92*AQ92)^2</f>
        <v>0</v>
      </c>
      <c r="AS92" s="213">
        <v>0</v>
      </c>
      <c r="AT92" s="209">
        <v>0</v>
      </c>
      <c r="AU92" s="207">
        <v>0</v>
      </c>
      <c r="AV92" s="212">
        <v>0</v>
      </c>
      <c r="AW92" s="207">
        <v>0</v>
      </c>
      <c r="AX92" s="210">
        <f>(AV92*AW92)^2</f>
        <v>0</v>
      </c>
      <c r="AY92" s="213">
        <v>0</v>
      </c>
      <c r="AZ92" s="209">
        <v>0</v>
      </c>
      <c r="BA92" s="207">
        <v>0</v>
      </c>
      <c r="BB92" s="212">
        <f>($Q92*AY92)/1000</f>
        <v>0</v>
      </c>
      <c r="BC92" s="212">
        <f>BB92*$BJ$550</f>
        <v>0</v>
      </c>
      <c r="BD92" s="207">
        <v>0</v>
      </c>
      <c r="BE92" s="210">
        <f>(BC92*BD92)^2</f>
        <v>0</v>
      </c>
      <c r="BF92" s="206">
        <f>AB92+AI92+AP92+AV92+BC92</f>
        <v>0</v>
      </c>
      <c r="BG92" s="214">
        <f>IF(BF92&gt;0,SQRT(AD92+AK92+AR92+AX92+BE92)/BF92,0)</f>
        <v>0</v>
      </c>
      <c r="BH92" s="160">
        <f>(BF92*BG92)^2</f>
        <v>0</v>
      </c>
      <c r="BI92" s="200"/>
      <c r="BJ92" s="462"/>
      <c r="BK92" s="462"/>
      <c r="BL92" s="462"/>
      <c r="BM92" s="463"/>
      <c r="BN92" s="463"/>
      <c r="BO92" s="463"/>
      <c r="BP92" s="462"/>
      <c r="BQ92" s="462"/>
      <c r="BR92" s="462"/>
      <c r="BS92" s="462"/>
      <c r="BT92" s="462"/>
      <c r="BU92" s="462"/>
      <c r="BV92" s="462"/>
      <c r="BW92" s="462"/>
      <c r="BX92" s="462"/>
      <c r="BY92" s="462"/>
      <c r="BZ92" s="462"/>
      <c r="CA92" s="462"/>
      <c r="CB92" s="464"/>
      <c r="CC92" s="462"/>
      <c r="CD92" s="462"/>
      <c r="CE92" s="464"/>
      <c r="CF92" s="464"/>
      <c r="CG92" s="464"/>
      <c r="CH92" s="464"/>
      <c r="CI92" s="462"/>
      <c r="CJ92" s="462"/>
      <c r="CK92" s="464"/>
      <c r="CL92" s="464"/>
      <c r="CM92" s="464"/>
      <c r="CN92" s="357"/>
      <c r="CO92" s="346"/>
      <c r="CP92" s="346"/>
      <c r="CQ92" s="171"/>
      <c r="CR92" s="171"/>
      <c r="CS92" s="171"/>
      <c r="CT92" s="171"/>
      <c r="CU92" s="171"/>
      <c r="CV92" s="171"/>
      <c r="CW92" s="171"/>
      <c r="CX92" s="171"/>
      <c r="CY92" s="171"/>
      <c r="CZ92" s="171"/>
      <c r="DA92" s="171"/>
      <c r="DB92" s="171"/>
      <c r="DC92" s="171"/>
      <c r="DD92" s="171"/>
      <c r="DE92" s="171"/>
      <c r="DF92" s="171"/>
      <c r="DG92" s="171"/>
      <c r="DH92" s="171"/>
      <c r="DI92" s="171"/>
      <c r="DJ92" s="171"/>
      <c r="DK92" s="171"/>
      <c r="DL92" s="171"/>
      <c r="DM92" s="171"/>
      <c r="DN92" s="171"/>
      <c r="DO92" s="171"/>
      <c r="DP92" s="171"/>
      <c r="DQ92" s="171"/>
      <c r="DR92" s="171"/>
      <c r="DS92" s="171"/>
      <c r="DT92" s="171"/>
      <c r="DU92" s="171"/>
      <c r="DV92" s="171"/>
      <c r="DW92" s="170"/>
      <c r="DX92" s="170"/>
      <c r="DY92" s="170"/>
      <c r="DZ92" s="170"/>
      <c r="EA92" s="170"/>
      <c r="EB92" s="170"/>
      <c r="EC92" s="170"/>
      <c r="ED92" s="170"/>
    </row>
    <row r="93" spans="1:134" s="147" customFormat="1" ht="15.75" customHeight="1" x14ac:dyDescent="0.25">
      <c r="A93" s="146"/>
      <c r="B93" s="226" t="s">
        <v>146</v>
      </c>
      <c r="C93" s="227"/>
      <c r="D93" s="227"/>
      <c r="E93" s="227"/>
      <c r="F93" s="227"/>
      <c r="G93" s="227"/>
      <c r="H93" s="227"/>
      <c r="I93" s="227"/>
      <c r="J93" s="227"/>
      <c r="K93" s="227"/>
      <c r="L93" s="227"/>
      <c r="M93" s="227"/>
      <c r="N93" s="227"/>
      <c r="O93" s="227"/>
      <c r="P93" s="227"/>
      <c r="Q93" s="227"/>
      <c r="R93" s="227"/>
      <c r="S93" s="227"/>
      <c r="T93" s="227"/>
      <c r="U93" s="227"/>
      <c r="V93" s="227"/>
      <c r="W93" s="227"/>
      <c r="X93" s="227"/>
      <c r="Y93" s="227"/>
      <c r="Z93" s="227"/>
      <c r="AA93" s="228"/>
      <c r="AB93" s="229">
        <f>SUM(AB69:AB92)</f>
        <v>0</v>
      </c>
      <c r="AC93" s="230">
        <f>IF(AB93&gt;0,SQRT(SUM(AD69:AD92))/AB93,0)</f>
        <v>0</v>
      </c>
      <c r="AD93" s="229">
        <f>(AB93*AC93)^2</f>
        <v>0</v>
      </c>
      <c r="AE93" s="231"/>
      <c r="AF93" s="227"/>
      <c r="AG93" s="227"/>
      <c r="AH93" s="232"/>
      <c r="AI93" s="229">
        <f>SUM(AI69:AI92)</f>
        <v>732.05481212982363</v>
      </c>
      <c r="AJ93" s="230">
        <f>IF(AI93&gt;0,SQRT(SUM(AK69:AK92))/AI93,0)</f>
        <v>0.86357541712546726</v>
      </c>
      <c r="AK93" s="229">
        <f>(AI93*AJ93)^2</f>
        <v>399657.29229097656</v>
      </c>
      <c r="AL93" s="227"/>
      <c r="AM93" s="227"/>
      <c r="AN93" s="227"/>
      <c r="AO93" s="227"/>
      <c r="AP93" s="229">
        <f>SUM(AP69:AP92)</f>
        <v>0</v>
      </c>
      <c r="AQ93" s="230">
        <f>IF(AP93&gt;0,SQRT(SUM(AR69:AR92))/AP93,0)</f>
        <v>0</v>
      </c>
      <c r="AR93" s="229">
        <f>(AP93*AQ93)^2</f>
        <v>0</v>
      </c>
      <c r="AS93" s="227"/>
      <c r="AT93" s="227"/>
      <c r="AU93" s="227"/>
      <c r="AV93" s="229">
        <f>SUM(AV69:AV92)</f>
        <v>0</v>
      </c>
      <c r="AW93" s="230">
        <f>IF(AV93&gt;0,SQRT(SUM(AX69:AX92))/AV93,0)</f>
        <v>0</v>
      </c>
      <c r="AX93" s="229">
        <f>(AV93*AW93)^2</f>
        <v>0</v>
      </c>
      <c r="AY93" s="227"/>
      <c r="AZ93" s="227"/>
      <c r="BA93" s="233"/>
      <c r="BB93" s="234"/>
      <c r="BC93" s="229">
        <f>SUM(BC69:BC92)</f>
        <v>0</v>
      </c>
      <c r="BD93" s="230">
        <f>IF(BC93&gt;0,SQRT(SUM(BE69:BE92))/BC93,0)</f>
        <v>0</v>
      </c>
      <c r="BE93" s="229">
        <f>(BC93*BD93)^2</f>
        <v>0</v>
      </c>
      <c r="BF93" s="229">
        <f>SUM(BF69:BF92)</f>
        <v>732.05481212982363</v>
      </c>
      <c r="BG93" s="235">
        <f>IF(BF93&gt;0,SQRT(SUM(BH69:BH92))/BF93,0)</f>
        <v>0.86357541712546726</v>
      </c>
      <c r="BH93" s="160">
        <f>(BF93*BG93)^2</f>
        <v>399657.29229097656</v>
      </c>
      <c r="BI93" s="200"/>
      <c r="BJ93" s="462"/>
      <c r="BK93" s="462"/>
      <c r="BL93" s="462"/>
      <c r="BM93" s="463"/>
      <c r="BN93" s="463"/>
      <c r="BO93" s="463"/>
      <c r="BP93" s="462"/>
      <c r="BQ93" s="462"/>
      <c r="BR93" s="462"/>
      <c r="BS93" s="462"/>
      <c r="BT93" s="462"/>
      <c r="BU93" s="462"/>
      <c r="BV93" s="462"/>
      <c r="BW93" s="462"/>
      <c r="BX93" s="462"/>
      <c r="BY93" s="462"/>
      <c r="BZ93" s="462"/>
      <c r="CA93" s="462"/>
      <c r="CB93" s="464"/>
      <c r="CC93" s="462"/>
      <c r="CD93" s="462"/>
      <c r="CE93" s="464"/>
      <c r="CF93" s="464"/>
      <c r="CG93" s="464"/>
      <c r="CH93" s="464"/>
      <c r="CI93" s="462"/>
      <c r="CJ93" s="462"/>
      <c r="CK93" s="464"/>
      <c r="CL93" s="464"/>
      <c r="CM93" s="464"/>
      <c r="CN93" s="357"/>
      <c r="CO93" s="346"/>
      <c r="CP93" s="346"/>
      <c r="CQ93" s="171"/>
      <c r="CR93" s="171"/>
      <c r="CS93" s="171"/>
      <c r="CT93" s="171"/>
      <c r="CU93" s="171"/>
      <c r="CV93" s="171"/>
      <c r="CW93" s="171"/>
      <c r="CX93" s="171"/>
      <c r="CY93" s="171"/>
      <c r="CZ93" s="171"/>
      <c r="DA93" s="171"/>
      <c r="DB93" s="171"/>
      <c r="DC93" s="171"/>
      <c r="DD93" s="171"/>
      <c r="DE93" s="171"/>
      <c r="DF93" s="171"/>
      <c r="DG93" s="171"/>
      <c r="DH93" s="171"/>
      <c r="DI93" s="171"/>
      <c r="DJ93" s="171"/>
      <c r="DK93" s="171"/>
      <c r="DL93" s="171"/>
      <c r="DM93" s="171"/>
      <c r="DN93" s="171"/>
      <c r="DO93" s="171"/>
      <c r="DP93" s="171"/>
      <c r="DQ93" s="171"/>
      <c r="DR93" s="171"/>
      <c r="DS93" s="171"/>
      <c r="DT93" s="171"/>
      <c r="DU93" s="171"/>
      <c r="DV93" s="171"/>
      <c r="DW93" s="170"/>
      <c r="DX93" s="170"/>
      <c r="DY93" s="170"/>
      <c r="DZ93" s="170"/>
      <c r="EA93" s="170"/>
      <c r="EB93" s="170"/>
      <c r="EC93" s="170"/>
      <c r="ED93" s="170"/>
    </row>
    <row r="94" spans="1:134" s="147" customFormat="1" ht="15.75" customHeight="1" x14ac:dyDescent="0.25">
      <c r="A94" s="146"/>
      <c r="B94" s="249"/>
      <c r="C94" s="250"/>
      <c r="D94" s="250"/>
      <c r="E94" s="250"/>
      <c r="F94" s="250"/>
      <c r="G94" s="250"/>
      <c r="H94" s="250"/>
      <c r="I94" s="250"/>
      <c r="J94" s="250"/>
      <c r="K94" s="250"/>
      <c r="L94" s="250"/>
      <c r="M94" s="250"/>
      <c r="N94" s="250"/>
      <c r="O94" s="250"/>
      <c r="P94" s="250"/>
      <c r="Q94" s="250"/>
      <c r="R94" s="250"/>
      <c r="S94" s="250"/>
      <c r="T94" s="250"/>
      <c r="U94" s="250"/>
      <c r="V94" s="250"/>
      <c r="W94" s="250"/>
      <c r="X94" s="250"/>
      <c r="Y94" s="250"/>
      <c r="Z94" s="250"/>
      <c r="AA94" s="251"/>
      <c r="AB94" s="252"/>
      <c r="AC94" s="253"/>
      <c r="AD94" s="252"/>
      <c r="AE94" s="254"/>
      <c r="AF94" s="250"/>
      <c r="AG94" s="250"/>
      <c r="AH94" s="255"/>
      <c r="AI94" s="252"/>
      <c r="AJ94" s="253"/>
      <c r="AK94" s="252"/>
      <c r="AL94" s="250"/>
      <c r="AM94" s="250"/>
      <c r="AN94" s="250"/>
      <c r="AO94" s="250"/>
      <c r="AP94" s="252"/>
      <c r="AQ94" s="253"/>
      <c r="AR94" s="252"/>
      <c r="AS94" s="250"/>
      <c r="AT94" s="250"/>
      <c r="AU94" s="250"/>
      <c r="AV94" s="252"/>
      <c r="AW94" s="253"/>
      <c r="AX94" s="252"/>
      <c r="AY94" s="250"/>
      <c r="AZ94" s="250"/>
      <c r="BA94" s="256"/>
      <c r="BB94" s="257"/>
      <c r="BC94" s="252"/>
      <c r="BD94" s="253"/>
      <c r="BE94" s="252"/>
      <c r="BF94" s="252"/>
      <c r="BG94" s="258"/>
      <c r="BH94" s="160"/>
      <c r="BI94" s="200"/>
      <c r="BJ94" s="462"/>
      <c r="BK94" s="462"/>
      <c r="BL94" s="462"/>
      <c r="BM94" s="463"/>
      <c r="BN94" s="463"/>
      <c r="BO94" s="463"/>
      <c r="BP94" s="462"/>
      <c r="BQ94" s="462"/>
      <c r="BR94" s="462"/>
      <c r="BS94" s="462"/>
      <c r="BT94" s="462"/>
      <c r="BU94" s="462"/>
      <c r="BV94" s="462"/>
      <c r="BW94" s="462"/>
      <c r="BX94" s="462"/>
      <c r="BY94" s="462"/>
      <c r="BZ94" s="462"/>
      <c r="CA94" s="462"/>
      <c r="CB94" s="464"/>
      <c r="CC94" s="462"/>
      <c r="CD94" s="462"/>
      <c r="CE94" s="464"/>
      <c r="CF94" s="464"/>
      <c r="CG94" s="464"/>
      <c r="CH94" s="464"/>
      <c r="CI94" s="462"/>
      <c r="CJ94" s="462"/>
      <c r="CK94" s="464"/>
      <c r="CL94" s="464"/>
      <c r="CM94" s="464"/>
      <c r="CN94" s="357"/>
      <c r="CO94" s="346"/>
      <c r="CP94" s="346"/>
      <c r="CQ94" s="171"/>
      <c r="CR94" s="171"/>
      <c r="CS94" s="171"/>
      <c r="CT94" s="171"/>
      <c r="CU94" s="171"/>
      <c r="CV94" s="171"/>
      <c r="CW94" s="171"/>
      <c r="CX94" s="171"/>
      <c r="CY94" s="171"/>
      <c r="CZ94" s="171"/>
      <c r="DA94" s="171"/>
      <c r="DB94" s="171"/>
      <c r="DC94" s="171"/>
      <c r="DD94" s="171"/>
      <c r="DE94" s="171"/>
      <c r="DF94" s="171"/>
      <c r="DG94" s="171"/>
      <c r="DH94" s="171"/>
      <c r="DI94" s="171"/>
      <c r="DJ94" s="171"/>
      <c r="DK94" s="171"/>
      <c r="DL94" s="171"/>
      <c r="DM94" s="171"/>
      <c r="DN94" s="171"/>
      <c r="DO94" s="171"/>
      <c r="DP94" s="171"/>
      <c r="DQ94" s="171"/>
      <c r="DR94" s="171"/>
      <c r="DS94" s="171"/>
      <c r="DT94" s="171"/>
      <c r="DU94" s="171"/>
      <c r="DV94" s="171"/>
      <c r="DW94" s="170"/>
      <c r="DX94" s="170"/>
      <c r="DY94" s="170"/>
      <c r="DZ94" s="170"/>
      <c r="EA94" s="170"/>
      <c r="EB94" s="170"/>
      <c r="EC94" s="170"/>
      <c r="ED94" s="170"/>
    </row>
    <row r="95" spans="1:134" s="272" customFormat="1" ht="30.75" customHeight="1" thickBot="1" x14ac:dyDescent="0.3">
      <c r="A95" s="146"/>
      <c r="B95" s="259" t="s">
        <v>147</v>
      </c>
      <c r="C95" s="260"/>
      <c r="D95" s="260"/>
      <c r="E95" s="260"/>
      <c r="F95" s="260"/>
      <c r="G95" s="260"/>
      <c r="H95" s="260"/>
      <c r="I95" s="260"/>
      <c r="J95" s="260"/>
      <c r="K95" s="260"/>
      <c r="L95" s="260"/>
      <c r="M95" s="260"/>
      <c r="N95" s="260"/>
      <c r="O95" s="260"/>
      <c r="P95" s="260"/>
      <c r="Q95" s="260"/>
      <c r="R95" s="260"/>
      <c r="S95" s="260"/>
      <c r="T95" s="260"/>
      <c r="U95" s="260"/>
      <c r="V95" s="260"/>
      <c r="W95" s="260"/>
      <c r="X95" s="260"/>
      <c r="Y95" s="260"/>
      <c r="Z95" s="260"/>
      <c r="AA95" s="261"/>
      <c r="AB95" s="262">
        <f>+AB34+AB64+AB93</f>
        <v>3716.0847565225718</v>
      </c>
      <c r="AC95" s="263">
        <f>IF(AB95&gt;0,(SQRT(AD34+AD64+AD93))/AB95,0)</f>
        <v>4.0496350953327737E-2</v>
      </c>
      <c r="AD95" s="262">
        <f>(AB95*AC95)^2</f>
        <v>22646.599761284226</v>
      </c>
      <c r="AE95" s="264"/>
      <c r="AF95" s="260"/>
      <c r="AG95" s="260"/>
      <c r="AH95" s="265"/>
      <c r="AI95" s="262">
        <f>+AI34+AI64+AI93</f>
        <v>738.10957601807183</v>
      </c>
      <c r="AJ95" s="263">
        <f>IF(AI95&gt;0,(SQRT(AK34+AK64+AK93))/AI95,0)</f>
        <v>0.85649399744892707</v>
      </c>
      <c r="AK95" s="262">
        <f>(AI95*AJ95)^2</f>
        <v>399659.67130018875</v>
      </c>
      <c r="AL95" s="260"/>
      <c r="AM95" s="260"/>
      <c r="AN95" s="260"/>
      <c r="AO95" s="260"/>
      <c r="AP95" s="262">
        <f>+AP34+AP64+AP93</f>
        <v>8.490944802460703</v>
      </c>
      <c r="AQ95" s="263">
        <f>IF(AP95&gt;0,(SQRT(AR34+AR64+AR93))/AP95,0)</f>
        <v>0.12033394676657677</v>
      </c>
      <c r="AR95" s="262">
        <f>(AP95*AQ95)^2</f>
        <v>1.0439708143594963</v>
      </c>
      <c r="AS95" s="260"/>
      <c r="AT95" s="260"/>
      <c r="AU95" s="260"/>
      <c r="AV95" s="262">
        <f>+AV34+AV64+AV93</f>
        <v>94.563600000000037</v>
      </c>
      <c r="AW95" s="263">
        <f>IF(AV95&gt;0,(SQRT(AX34+AX64+AX93))/AV95,0)</f>
        <v>0.50183457096061412</v>
      </c>
      <c r="AX95" s="262">
        <f>(AV95*AW95)^2</f>
        <v>2252.0039448300031</v>
      </c>
      <c r="AY95" s="260"/>
      <c r="AZ95" s="260"/>
      <c r="BA95" s="266"/>
      <c r="BB95" s="267"/>
      <c r="BC95" s="262">
        <f>+BC34+BC64+BC93</f>
        <v>0</v>
      </c>
      <c r="BD95" s="263">
        <f>IF(BC95&gt;0,(SQRT(BE34+BE64+BE93))/BC95,0)</f>
        <v>0</v>
      </c>
      <c r="BE95" s="262">
        <f>(BC95*BD95)^2</f>
        <v>0</v>
      </c>
      <c r="BF95" s="268">
        <f>+BF34+BF64+BF93</f>
        <v>4557.2488773431051</v>
      </c>
      <c r="BG95" s="269">
        <f>IF(BF95&gt;0,(SQRT(BH34+BH64+BH93))/BF95,0)</f>
        <v>0.14298063021731786</v>
      </c>
      <c r="BH95" s="160">
        <f t="shared" ref="BH95:BH101" si="196">(BF95*BG95)^2</f>
        <v>424580.36611734697</v>
      </c>
      <c r="BI95" s="469"/>
      <c r="BJ95" s="470"/>
      <c r="BK95" s="470"/>
      <c r="BL95" s="470"/>
      <c r="BM95" s="471"/>
      <c r="BN95" s="471"/>
      <c r="BO95" s="471"/>
      <c r="BP95" s="470"/>
      <c r="BQ95" s="470"/>
      <c r="BR95" s="470"/>
      <c r="BS95" s="470"/>
      <c r="BT95" s="470"/>
      <c r="BU95" s="470"/>
      <c r="BV95" s="470"/>
      <c r="BW95" s="470"/>
      <c r="BX95" s="470"/>
      <c r="BY95" s="470"/>
      <c r="BZ95" s="470"/>
      <c r="CA95" s="470"/>
      <c r="CB95" s="472"/>
      <c r="CC95" s="470"/>
      <c r="CD95" s="470"/>
      <c r="CE95" s="472"/>
      <c r="CF95" s="472"/>
      <c r="CG95" s="472"/>
      <c r="CH95" s="472"/>
      <c r="CI95" s="470"/>
      <c r="CJ95" s="470"/>
      <c r="CK95" s="472"/>
      <c r="CL95" s="472"/>
      <c r="CM95" s="472"/>
      <c r="CN95" s="358"/>
      <c r="CO95" s="580"/>
      <c r="CP95" s="580"/>
      <c r="CQ95" s="271"/>
      <c r="CR95" s="271"/>
      <c r="CS95" s="271"/>
      <c r="CT95" s="271"/>
      <c r="CU95" s="271"/>
      <c r="CV95" s="271"/>
      <c r="CW95" s="271"/>
      <c r="CX95" s="271"/>
      <c r="CY95" s="271"/>
      <c r="CZ95" s="271"/>
      <c r="DA95" s="271"/>
      <c r="DB95" s="271"/>
      <c r="DC95" s="271"/>
      <c r="DD95" s="271"/>
      <c r="DE95" s="271"/>
      <c r="DF95" s="271"/>
      <c r="DG95" s="271"/>
      <c r="DH95" s="271"/>
      <c r="DI95" s="271"/>
      <c r="DJ95" s="271"/>
      <c r="DK95" s="271"/>
      <c r="DL95" s="271"/>
      <c r="DM95" s="271"/>
      <c r="DN95" s="271"/>
      <c r="DO95" s="271"/>
      <c r="DP95" s="271"/>
      <c r="DQ95" s="271"/>
      <c r="DR95" s="271"/>
      <c r="DS95" s="271"/>
      <c r="DT95" s="271"/>
      <c r="DU95" s="271"/>
      <c r="DV95" s="271"/>
      <c r="DW95" s="270"/>
      <c r="DX95" s="270"/>
      <c r="DY95" s="270"/>
      <c r="DZ95" s="270"/>
      <c r="EA95" s="270"/>
      <c r="EB95" s="270"/>
      <c r="EC95" s="270"/>
      <c r="ED95" s="270"/>
    </row>
    <row r="96" spans="1:134" s="146" customFormat="1" ht="21.75" thickBot="1" x14ac:dyDescent="0.3">
      <c r="B96" s="273"/>
      <c r="C96" s="273"/>
      <c r="D96" s="273"/>
      <c r="E96" s="274"/>
      <c r="F96" s="274"/>
      <c r="G96" s="274"/>
      <c r="H96" s="274"/>
      <c r="I96" s="274"/>
      <c r="J96" s="274"/>
      <c r="K96" s="274"/>
      <c r="L96" s="274"/>
      <c r="M96" s="274"/>
      <c r="N96" s="274"/>
      <c r="O96" s="274"/>
      <c r="P96" s="274"/>
      <c r="Q96" s="274"/>
      <c r="R96" s="275"/>
      <c r="S96" s="274"/>
      <c r="T96" s="274"/>
      <c r="U96" s="274"/>
      <c r="V96" s="276"/>
      <c r="W96" s="276"/>
      <c r="X96" s="273"/>
      <c r="Y96" s="273"/>
      <c r="Z96" s="276"/>
      <c r="AA96" s="277"/>
      <c r="AB96" s="277"/>
      <c r="AC96" s="276"/>
      <c r="AD96" s="277"/>
      <c r="AE96" s="278"/>
      <c r="AF96" s="273"/>
      <c r="AG96" s="276"/>
      <c r="AH96" s="279"/>
      <c r="AI96" s="279"/>
      <c r="AJ96" s="276"/>
      <c r="AK96" s="277"/>
      <c r="AL96" s="273"/>
      <c r="AM96" s="273"/>
      <c r="AN96" s="276"/>
      <c r="AO96" s="276"/>
      <c r="AP96" s="276"/>
      <c r="AQ96" s="276"/>
      <c r="AR96" s="277"/>
      <c r="AS96" s="273"/>
      <c r="AT96" s="273"/>
      <c r="AU96" s="276"/>
      <c r="AV96" s="277"/>
      <c r="AW96" s="276"/>
      <c r="AX96" s="277"/>
      <c r="AY96" s="273"/>
      <c r="AZ96" s="273"/>
      <c r="BA96" s="276"/>
      <c r="BB96" s="277"/>
      <c r="BC96" s="277"/>
      <c r="BD96" s="276"/>
      <c r="BE96" s="277"/>
      <c r="BF96" s="274"/>
      <c r="BG96" s="276"/>
      <c r="BH96" s="160">
        <f t="shared" si="196"/>
        <v>0</v>
      </c>
      <c r="BI96" s="458"/>
      <c r="BJ96" s="459"/>
      <c r="BK96" s="459"/>
      <c r="BL96" s="459"/>
      <c r="BM96" s="460"/>
      <c r="BN96" s="460"/>
      <c r="BO96" s="460"/>
      <c r="BP96" s="459"/>
      <c r="BQ96" s="459"/>
      <c r="BR96" s="459"/>
      <c r="BS96" s="459"/>
      <c r="BT96" s="459"/>
      <c r="BU96" s="459"/>
      <c r="BV96" s="459"/>
      <c r="BW96" s="459"/>
      <c r="BX96" s="459"/>
      <c r="BY96" s="459"/>
      <c r="BZ96" s="459"/>
      <c r="CA96" s="459"/>
      <c r="CB96" s="461"/>
      <c r="CC96" s="459"/>
      <c r="CD96" s="459"/>
      <c r="CE96" s="461"/>
      <c r="CF96" s="461"/>
      <c r="CG96" s="461"/>
      <c r="CH96" s="461"/>
      <c r="CI96" s="459"/>
      <c r="CJ96" s="459"/>
      <c r="CK96" s="461"/>
      <c r="CL96" s="461"/>
      <c r="CM96" s="461"/>
      <c r="CN96" s="355"/>
      <c r="CO96" s="396"/>
      <c r="CP96" s="396"/>
      <c r="CQ96" s="160"/>
      <c r="CR96" s="160"/>
      <c r="CS96" s="160"/>
      <c r="CT96" s="160"/>
      <c r="CU96" s="160"/>
      <c r="CV96" s="160"/>
      <c r="CW96" s="160"/>
      <c r="CX96" s="160"/>
      <c r="CY96" s="160"/>
      <c r="CZ96" s="160"/>
      <c r="DA96" s="160"/>
      <c r="DB96" s="160"/>
      <c r="DC96" s="160"/>
      <c r="DD96" s="160"/>
      <c r="DE96" s="160"/>
      <c r="DF96" s="160"/>
      <c r="DG96" s="160"/>
      <c r="DH96" s="160"/>
      <c r="DI96" s="160"/>
      <c r="DJ96" s="160"/>
      <c r="DK96" s="160"/>
      <c r="DL96" s="160"/>
      <c r="DM96" s="160"/>
      <c r="DN96" s="160"/>
      <c r="DO96" s="160"/>
      <c r="DP96" s="160"/>
      <c r="DQ96" s="160"/>
      <c r="DR96" s="160"/>
      <c r="DS96" s="160"/>
      <c r="DT96" s="160"/>
      <c r="DU96" s="160"/>
      <c r="DV96" s="160"/>
      <c r="DW96" s="161"/>
      <c r="DX96" s="161"/>
      <c r="DY96" s="161"/>
      <c r="DZ96" s="161"/>
      <c r="EA96" s="161"/>
      <c r="EB96" s="161"/>
      <c r="EC96" s="161"/>
      <c r="ED96" s="161"/>
    </row>
    <row r="97" spans="1:134" s="147" customFormat="1" ht="31.5" customHeight="1" x14ac:dyDescent="0.25">
      <c r="A97" s="146"/>
      <c r="B97" s="753" t="s">
        <v>148</v>
      </c>
      <c r="C97" s="754"/>
      <c r="D97" s="754"/>
      <c r="E97" s="754"/>
      <c r="F97" s="754"/>
      <c r="G97" s="754"/>
      <c r="H97" s="754"/>
      <c r="I97" s="754"/>
      <c r="J97" s="754"/>
      <c r="K97" s="754"/>
      <c r="L97" s="754"/>
      <c r="M97" s="754"/>
      <c r="N97" s="754"/>
      <c r="O97" s="754"/>
      <c r="P97" s="754"/>
      <c r="Q97" s="754"/>
      <c r="R97" s="754"/>
      <c r="S97" s="754"/>
      <c r="T97" s="754"/>
      <c r="U97" s="754"/>
      <c r="V97" s="754"/>
      <c r="W97" s="754"/>
      <c r="X97" s="754"/>
      <c r="Y97" s="754"/>
      <c r="Z97" s="754"/>
      <c r="AA97" s="754"/>
      <c r="AB97" s="754"/>
      <c r="AC97" s="754"/>
      <c r="AD97" s="754"/>
      <c r="AE97" s="754"/>
      <c r="AF97" s="754"/>
      <c r="AG97" s="754"/>
      <c r="AH97" s="754"/>
      <c r="AI97" s="754"/>
      <c r="AJ97" s="754"/>
      <c r="AK97" s="754"/>
      <c r="AL97" s="754"/>
      <c r="AM97" s="754"/>
      <c r="AN97" s="754"/>
      <c r="AO97" s="754"/>
      <c r="AP97" s="754"/>
      <c r="AQ97" s="754"/>
      <c r="AR97" s="754"/>
      <c r="AS97" s="754"/>
      <c r="AT97" s="754"/>
      <c r="AU97" s="754"/>
      <c r="AV97" s="754"/>
      <c r="AW97" s="754"/>
      <c r="AX97" s="754"/>
      <c r="AY97" s="754"/>
      <c r="AZ97" s="754"/>
      <c r="BA97" s="754"/>
      <c r="BB97" s="754"/>
      <c r="BC97" s="754"/>
      <c r="BD97" s="754"/>
      <c r="BE97" s="754"/>
      <c r="BF97" s="754"/>
      <c r="BG97" s="755"/>
      <c r="BH97" s="160">
        <f t="shared" si="196"/>
        <v>0</v>
      </c>
      <c r="BI97" s="200"/>
      <c r="BJ97" s="462"/>
      <c r="BK97" s="462"/>
      <c r="BL97" s="462"/>
      <c r="BM97" s="463"/>
      <c r="BN97" s="463"/>
      <c r="BO97" s="463"/>
      <c r="BP97" s="462"/>
      <c r="BQ97" s="462"/>
      <c r="BR97" s="462"/>
      <c r="BS97" s="462"/>
      <c r="BT97" s="462"/>
      <c r="BU97" s="462"/>
      <c r="BV97" s="462"/>
      <c r="BW97" s="462"/>
      <c r="BX97" s="462"/>
      <c r="BY97" s="462"/>
      <c r="BZ97" s="462"/>
      <c r="CA97" s="462"/>
      <c r="CB97" s="464"/>
      <c r="CC97" s="462"/>
      <c r="CD97" s="462"/>
      <c r="CE97" s="464"/>
      <c r="CF97" s="464"/>
      <c r="CG97" s="464"/>
      <c r="CH97" s="464"/>
      <c r="CI97" s="462"/>
      <c r="CJ97" s="462"/>
      <c r="CK97" s="464"/>
      <c r="CL97" s="464"/>
      <c r="CM97" s="464"/>
      <c r="CN97" s="357"/>
      <c r="CO97" s="346"/>
      <c r="CP97" s="346"/>
      <c r="CQ97" s="171"/>
      <c r="CR97" s="171"/>
      <c r="CS97" s="171"/>
      <c r="CT97" s="171"/>
      <c r="CU97" s="171"/>
      <c r="CV97" s="171"/>
      <c r="CW97" s="171"/>
      <c r="CX97" s="171"/>
      <c r="CY97" s="171"/>
      <c r="CZ97" s="171"/>
      <c r="DA97" s="171"/>
      <c r="DB97" s="171"/>
      <c r="DC97" s="171"/>
      <c r="DD97" s="171"/>
      <c r="DE97" s="171"/>
      <c r="DF97" s="171"/>
      <c r="DG97" s="171"/>
      <c r="DH97" s="171"/>
      <c r="DI97" s="171"/>
      <c r="DJ97" s="171"/>
      <c r="DK97" s="171"/>
      <c r="DL97" s="171"/>
      <c r="DM97" s="171"/>
      <c r="DN97" s="171"/>
      <c r="DO97" s="171"/>
      <c r="DP97" s="171"/>
      <c r="DQ97" s="171"/>
      <c r="DR97" s="171"/>
      <c r="DS97" s="171"/>
      <c r="DT97" s="171"/>
      <c r="DU97" s="171"/>
      <c r="DV97" s="171"/>
      <c r="DW97" s="170"/>
      <c r="DX97" s="170"/>
      <c r="DY97" s="170"/>
      <c r="DZ97" s="170"/>
      <c r="EA97" s="170"/>
      <c r="EB97" s="170"/>
      <c r="EC97" s="170"/>
      <c r="ED97" s="170"/>
    </row>
    <row r="98" spans="1:134" s="147" customFormat="1" ht="15" customHeight="1" x14ac:dyDescent="0.25">
      <c r="A98" s="146"/>
      <c r="B98" s="280" t="s">
        <v>149</v>
      </c>
      <c r="C98" s="111" t="s">
        <v>977</v>
      </c>
      <c r="D98" s="205" t="str">
        <f>VLOOKUP($C98,$BI$195:$CM$609,2,FALSE)</f>
        <v>KWh</v>
      </c>
      <c r="E98" s="650">
        <v>13716332.83</v>
      </c>
      <c r="F98" s="650">
        <v>15969547.330000004</v>
      </c>
      <c r="G98" s="650">
        <v>17765426.02</v>
      </c>
      <c r="H98" s="650">
        <v>13271280.400000002</v>
      </c>
      <c r="I98" s="650">
        <v>8691239.0500000007</v>
      </c>
      <c r="J98" s="650">
        <v>9335696.4899999984</v>
      </c>
      <c r="K98" s="650">
        <v>9609367.4199999999</v>
      </c>
      <c r="L98" s="650">
        <v>9777071.4719999991</v>
      </c>
      <c r="M98" s="650">
        <v>10947008.65</v>
      </c>
      <c r="N98" s="650">
        <v>8919622.5300000012</v>
      </c>
      <c r="O98" s="650">
        <v>9180987.0199999996</v>
      </c>
      <c r="P98" s="650">
        <v>10214773.969999999</v>
      </c>
      <c r="Q98" s="206">
        <f>SUM(E98:P98)</f>
        <v>137398353.18200001</v>
      </c>
      <c r="R98" s="205">
        <f>COUNT(E98:P98)</f>
        <v>12</v>
      </c>
      <c r="S98" s="206">
        <f>IF(R98&gt;1,AVERAGE(E98:P98),0)</f>
        <v>11449862.765166668</v>
      </c>
      <c r="T98" s="206">
        <f>IF(R98&gt;1,STDEV(E98:P98),0)</f>
        <v>3020564.570970369</v>
      </c>
      <c r="U98" s="206">
        <f>IF(R98&gt;1,VLOOKUP($R98,$BI$529:$BJ$541,2,FALSE),0)</f>
        <v>2.2000000000000002</v>
      </c>
      <c r="V98" s="92"/>
      <c r="W98" s="207">
        <f>IF(R98&gt;1,1-((S98-((T98*U98)/(SQRT(R98))))/S98),VLOOKUP($C98,$BI$195:$CP$609,34,FALSE))</f>
        <v>0.16754053601461705</v>
      </c>
      <c r="X98" s="211">
        <f>VLOOKUP($C98,$BI$195:$CM$609,3,FALSE)</f>
        <v>0.21</v>
      </c>
      <c r="Y98" s="209" t="str">
        <f>VLOOKUP($C98,$BI$195:$CM$609,4,FALSE)</f>
        <v>kgCO2 e/KWh</v>
      </c>
      <c r="Z98" s="207">
        <f>IF($Q98&gt;0,VLOOKUP($C98,$BI$195:$CM$609,6,FALSE),0)</f>
        <v>0.1</v>
      </c>
      <c r="AA98" s="210">
        <f>($Q98*X98)/1000</f>
        <v>28853.65416822</v>
      </c>
      <c r="AB98" s="552">
        <f>AA98*$BJ$547</f>
        <v>28853.65416822</v>
      </c>
      <c r="AC98" s="207">
        <f>IF(AA98&gt;0,SQRT(($W98*$W98)+(Z98*Z98)+($V98*$V98)),0)</f>
        <v>0.19511491795366442</v>
      </c>
      <c r="AD98" s="210">
        <f>(AB98*AC98)^2</f>
        <v>31694404.446854815</v>
      </c>
      <c r="AE98" s="211">
        <v>0</v>
      </c>
      <c r="AF98" s="209">
        <v>0</v>
      </c>
      <c r="AG98" s="207">
        <v>0</v>
      </c>
      <c r="AH98" s="212">
        <f>($Q98*AE98)/1000</f>
        <v>0</v>
      </c>
      <c r="AI98" s="212">
        <f>AH98*$BJ$548</f>
        <v>0</v>
      </c>
      <c r="AJ98" s="207">
        <f>IF(AH98&gt;0,SQRT(($W98*$W98)+(AG98*AG98)+($V98*$V98)),0)</f>
        <v>0</v>
      </c>
      <c r="AK98" s="210">
        <f>(AI98*AJ98)^2</f>
        <v>0</v>
      </c>
      <c r="AL98" s="211">
        <v>0</v>
      </c>
      <c r="AM98" s="209">
        <v>0</v>
      </c>
      <c r="AN98" s="207">
        <v>0</v>
      </c>
      <c r="AO98" s="212">
        <f>(W98*AL98)/1000</f>
        <v>0</v>
      </c>
      <c r="AP98" s="212">
        <f>AO98*$BJ$549</f>
        <v>0</v>
      </c>
      <c r="AQ98" s="207">
        <f>IF(AO98&gt;0,SQRT(($W98*$W98)+(AN98*AN98)+($V98*$V98)),0)</f>
        <v>0</v>
      </c>
      <c r="AR98" s="210">
        <f>(AP98*AQ98)^2</f>
        <v>0</v>
      </c>
      <c r="AS98" s="213">
        <v>0</v>
      </c>
      <c r="AT98" s="209">
        <v>0</v>
      </c>
      <c r="AU98" s="207">
        <v>0</v>
      </c>
      <c r="AV98" s="212">
        <v>0</v>
      </c>
      <c r="AW98" s="207">
        <v>0</v>
      </c>
      <c r="AX98" s="210">
        <f>(AV98*AW98)^2</f>
        <v>0</v>
      </c>
      <c r="AY98" s="213">
        <v>0</v>
      </c>
      <c r="AZ98" s="209">
        <v>0</v>
      </c>
      <c r="BA98" s="207">
        <v>0</v>
      </c>
      <c r="BB98" s="212">
        <f>($Q98*AY98)/1000</f>
        <v>0</v>
      </c>
      <c r="BC98" s="212">
        <f>BB98*$BJ$550</f>
        <v>0</v>
      </c>
      <c r="BD98" s="207">
        <v>0</v>
      </c>
      <c r="BE98" s="210">
        <f>(BC98*BD98)^2</f>
        <v>0</v>
      </c>
      <c r="BF98" s="206">
        <f>AB98+AI98+AP98+AV98+BC98</f>
        <v>28853.65416822</v>
      </c>
      <c r="BG98" s="214">
        <f>IF(BF98&gt;0,SQRT(AD98+AK98+AR98+AX98+BE98)/BF98,0)</f>
        <v>0.19511491795366442</v>
      </c>
      <c r="BH98" s="160">
        <f t="shared" si="196"/>
        <v>31694404.446854815</v>
      </c>
      <c r="BI98" s="200"/>
      <c r="BJ98" s="462"/>
      <c r="BK98" s="462"/>
      <c r="BL98" s="462"/>
      <c r="BM98" s="463"/>
      <c r="BN98" s="463"/>
      <c r="BO98" s="463"/>
      <c r="BP98" s="462"/>
      <c r="BQ98" s="462"/>
      <c r="BR98" s="462"/>
      <c r="BS98" s="462"/>
      <c r="BT98" s="462"/>
      <c r="BU98" s="462"/>
      <c r="BV98" s="462"/>
      <c r="BW98" s="462"/>
      <c r="BX98" s="462"/>
      <c r="BY98" s="462"/>
      <c r="BZ98" s="462"/>
      <c r="CA98" s="462"/>
      <c r="CB98" s="464"/>
      <c r="CC98" s="462"/>
      <c r="CD98" s="462"/>
      <c r="CE98" s="464"/>
      <c r="CF98" s="464"/>
      <c r="CG98" s="464"/>
      <c r="CH98" s="464"/>
      <c r="CI98" s="462"/>
      <c r="CJ98" s="462"/>
      <c r="CK98" s="464"/>
      <c r="CL98" s="464"/>
      <c r="CM98" s="464"/>
      <c r="CN98" s="357"/>
      <c r="CO98" s="346"/>
      <c r="CP98" s="346"/>
      <c r="CQ98" s="171"/>
      <c r="CR98" s="171"/>
      <c r="CS98" s="171"/>
      <c r="CT98" s="171"/>
      <c r="CU98" s="171"/>
      <c r="CV98" s="171"/>
      <c r="CW98" s="171"/>
      <c r="CX98" s="171"/>
      <c r="CY98" s="171"/>
      <c r="CZ98" s="171"/>
      <c r="DA98" s="171"/>
      <c r="DB98" s="171"/>
      <c r="DC98" s="171"/>
      <c r="DD98" s="171"/>
      <c r="DE98" s="171"/>
      <c r="DF98" s="171"/>
      <c r="DG98" s="171"/>
      <c r="DH98" s="171"/>
      <c r="DI98" s="171"/>
      <c r="DJ98" s="171"/>
      <c r="DK98" s="171"/>
      <c r="DL98" s="171"/>
      <c r="DM98" s="171"/>
      <c r="DN98" s="171"/>
      <c r="DO98" s="171"/>
      <c r="DP98" s="171"/>
      <c r="DQ98" s="171"/>
      <c r="DR98" s="171"/>
      <c r="DS98" s="171"/>
      <c r="DT98" s="171"/>
      <c r="DU98" s="171"/>
      <c r="DV98" s="171"/>
      <c r="DW98" s="170"/>
      <c r="DX98" s="170"/>
      <c r="DY98" s="170"/>
      <c r="DZ98" s="170"/>
      <c r="EA98" s="170"/>
      <c r="EB98" s="170"/>
      <c r="EC98" s="170"/>
      <c r="ED98" s="170"/>
    </row>
    <row r="99" spans="1:134" s="147" customFormat="1" ht="31.5" customHeight="1" thickBot="1" x14ac:dyDescent="0.3">
      <c r="A99" s="146"/>
      <c r="B99" s="281"/>
      <c r="C99" s="260"/>
      <c r="D99" s="260"/>
      <c r="E99" s="260"/>
      <c r="F99" s="260"/>
      <c r="G99" s="260"/>
      <c r="H99" s="260"/>
      <c r="I99" s="260"/>
      <c r="J99" s="260"/>
      <c r="K99" s="260"/>
      <c r="L99" s="260"/>
      <c r="M99" s="260"/>
      <c r="N99" s="260"/>
      <c r="O99" s="260"/>
      <c r="P99" s="260"/>
      <c r="Q99" s="260"/>
      <c r="R99" s="260"/>
      <c r="S99" s="260"/>
      <c r="T99" s="260"/>
      <c r="U99" s="260"/>
      <c r="V99" s="260"/>
      <c r="W99" s="260"/>
      <c r="X99" s="260"/>
      <c r="Y99" s="260"/>
      <c r="Z99" s="260"/>
      <c r="AA99" s="260"/>
      <c r="AB99" s="282">
        <f>AB98</f>
        <v>28853.65416822</v>
      </c>
      <c r="AC99" s="283">
        <f>AC98</f>
        <v>0.19511491795366442</v>
      </c>
      <c r="AD99" s="282">
        <f>AD98</f>
        <v>31694404.446854815</v>
      </c>
      <c r="AE99" s="284"/>
      <c r="AF99" s="284"/>
      <c r="AG99" s="284"/>
      <c r="AH99" s="284"/>
      <c r="AI99" s="282">
        <f>AI98</f>
        <v>0</v>
      </c>
      <c r="AJ99" s="283">
        <f>AJ98</f>
        <v>0</v>
      </c>
      <c r="AK99" s="285">
        <f>AK98</f>
        <v>0</v>
      </c>
      <c r="AL99" s="284"/>
      <c r="AM99" s="284"/>
      <c r="AN99" s="284"/>
      <c r="AO99" s="284"/>
      <c r="AP99" s="282">
        <f>AP98</f>
        <v>0</v>
      </c>
      <c r="AQ99" s="283">
        <f>AQ98</f>
        <v>0</v>
      </c>
      <c r="AR99" s="285">
        <f>AR98</f>
        <v>0</v>
      </c>
      <c r="AS99" s="284"/>
      <c r="AT99" s="284"/>
      <c r="AU99" s="284"/>
      <c r="AV99" s="282">
        <f>AV98</f>
        <v>0</v>
      </c>
      <c r="AW99" s="283">
        <f>AW98</f>
        <v>0</v>
      </c>
      <c r="AX99" s="285">
        <f>AX98</f>
        <v>0</v>
      </c>
      <c r="AY99" s="284"/>
      <c r="AZ99" s="284"/>
      <c r="BA99" s="283"/>
      <c r="BB99" s="282"/>
      <c r="BC99" s="282">
        <f>BC98</f>
        <v>0</v>
      </c>
      <c r="BD99" s="283">
        <f>BD98</f>
        <v>0</v>
      </c>
      <c r="BE99" s="282">
        <f>BE98</f>
        <v>0</v>
      </c>
      <c r="BF99" s="268">
        <f>SUM(BF98)</f>
        <v>28853.65416822</v>
      </c>
      <c r="BG99" s="269">
        <f>IF(BF99&gt;0,(SQRT(BH98))/BF99,0)</f>
        <v>0.19511491795366442</v>
      </c>
      <c r="BH99" s="160">
        <f t="shared" si="196"/>
        <v>31694404.446854815</v>
      </c>
      <c r="BI99" s="200"/>
      <c r="BJ99" s="462"/>
      <c r="BK99" s="462"/>
      <c r="BL99" s="462"/>
      <c r="BM99" s="463"/>
      <c r="BN99" s="463"/>
      <c r="BO99" s="463"/>
      <c r="BP99" s="462"/>
      <c r="BQ99" s="462"/>
      <c r="BR99" s="462"/>
      <c r="BS99" s="462"/>
      <c r="BT99" s="462"/>
      <c r="BU99" s="462"/>
      <c r="BV99" s="462"/>
      <c r="BW99" s="462"/>
      <c r="BX99" s="462"/>
      <c r="BY99" s="462"/>
      <c r="BZ99" s="462"/>
      <c r="CA99" s="462"/>
      <c r="CB99" s="464"/>
      <c r="CC99" s="462"/>
      <c r="CD99" s="462"/>
      <c r="CE99" s="464"/>
      <c r="CF99" s="464"/>
      <c r="CG99" s="464"/>
      <c r="CH99" s="464"/>
      <c r="CI99" s="462"/>
      <c r="CJ99" s="462"/>
      <c r="CK99" s="464"/>
      <c r="CL99" s="464"/>
      <c r="CM99" s="464"/>
      <c r="CN99" s="357"/>
      <c r="CO99" s="346"/>
      <c r="CP99" s="346"/>
      <c r="CQ99" s="171"/>
      <c r="CR99" s="171"/>
      <c r="CS99" s="171"/>
      <c r="CT99" s="171"/>
      <c r="CU99" s="171"/>
      <c r="CV99" s="171"/>
      <c r="CW99" s="171"/>
      <c r="CX99" s="171"/>
      <c r="CY99" s="171"/>
      <c r="CZ99" s="171"/>
      <c r="DA99" s="171"/>
      <c r="DB99" s="171"/>
      <c r="DC99" s="171"/>
      <c r="DD99" s="171"/>
      <c r="DE99" s="171"/>
      <c r="DF99" s="171"/>
      <c r="DG99" s="171"/>
      <c r="DH99" s="171"/>
      <c r="DI99" s="171"/>
      <c r="DJ99" s="171"/>
      <c r="DK99" s="171"/>
      <c r="DL99" s="171"/>
      <c r="DM99" s="171"/>
      <c r="DN99" s="171"/>
      <c r="DO99" s="171"/>
      <c r="DP99" s="171"/>
      <c r="DQ99" s="171"/>
      <c r="DR99" s="171"/>
      <c r="DS99" s="171"/>
      <c r="DT99" s="171"/>
      <c r="DU99" s="171"/>
      <c r="DV99" s="171"/>
      <c r="DW99" s="170"/>
      <c r="DX99" s="170"/>
      <c r="DY99" s="170"/>
      <c r="DZ99" s="170"/>
      <c r="EA99" s="170"/>
      <c r="EB99" s="170"/>
      <c r="EC99" s="170"/>
      <c r="ED99" s="170"/>
    </row>
    <row r="100" spans="1:134" s="146" customFormat="1" ht="15.75" thickBot="1" x14ac:dyDescent="0.3">
      <c r="B100" s="286"/>
      <c r="C100" s="286"/>
      <c r="D100" s="286"/>
      <c r="E100" s="287"/>
      <c r="F100" s="287"/>
      <c r="G100" s="287"/>
      <c r="H100" s="287"/>
      <c r="I100" s="287"/>
      <c r="J100" s="287"/>
      <c r="K100" s="287"/>
      <c r="L100" s="287"/>
      <c r="M100" s="287"/>
      <c r="N100" s="287"/>
      <c r="O100" s="287"/>
      <c r="P100" s="287"/>
      <c r="Q100" s="287"/>
      <c r="R100" s="288"/>
      <c r="S100" s="287"/>
      <c r="T100" s="287"/>
      <c r="U100" s="287"/>
      <c r="V100" s="289"/>
      <c r="W100" s="289"/>
      <c r="X100" s="286"/>
      <c r="Y100" s="286"/>
      <c r="Z100" s="289"/>
      <c r="AA100" s="290"/>
      <c r="AB100" s="290"/>
      <c r="AC100" s="289"/>
      <c r="AD100" s="290"/>
      <c r="AE100" s="291"/>
      <c r="AF100" s="286"/>
      <c r="AG100" s="289"/>
      <c r="AH100" s="292"/>
      <c r="AI100" s="292"/>
      <c r="AJ100" s="289"/>
      <c r="AK100" s="290"/>
      <c r="AL100" s="286"/>
      <c r="AM100" s="286"/>
      <c r="AN100" s="289"/>
      <c r="AO100" s="289"/>
      <c r="AP100" s="289"/>
      <c r="AQ100" s="289"/>
      <c r="AR100" s="290"/>
      <c r="AS100" s="286"/>
      <c r="AT100" s="286"/>
      <c r="AU100" s="289"/>
      <c r="AV100" s="290"/>
      <c r="AW100" s="289"/>
      <c r="AX100" s="290"/>
      <c r="AY100" s="286"/>
      <c r="AZ100" s="286"/>
      <c r="BA100" s="289"/>
      <c r="BB100" s="290"/>
      <c r="BC100" s="290"/>
      <c r="BD100" s="289"/>
      <c r="BE100" s="290"/>
      <c r="BF100" s="287"/>
      <c r="BG100" s="289"/>
      <c r="BH100" s="160">
        <f t="shared" si="196"/>
        <v>0</v>
      </c>
      <c r="BI100" s="458"/>
      <c r="BJ100" s="459"/>
      <c r="BK100" s="459"/>
      <c r="BL100" s="459"/>
      <c r="BM100" s="460"/>
      <c r="BN100" s="460"/>
      <c r="BO100" s="460"/>
      <c r="BP100" s="459"/>
      <c r="BQ100" s="459"/>
      <c r="BR100" s="459"/>
      <c r="BS100" s="459"/>
      <c r="BT100" s="459"/>
      <c r="BU100" s="459"/>
      <c r="BV100" s="459"/>
      <c r="BW100" s="459"/>
      <c r="BX100" s="459"/>
      <c r="BY100" s="459"/>
      <c r="BZ100" s="459"/>
      <c r="CA100" s="459"/>
      <c r="CB100" s="461"/>
      <c r="CC100" s="459"/>
      <c r="CD100" s="459"/>
      <c r="CE100" s="461"/>
      <c r="CF100" s="461"/>
      <c r="CG100" s="461"/>
      <c r="CH100" s="461"/>
      <c r="CI100" s="459"/>
      <c r="CJ100" s="459"/>
      <c r="CK100" s="461"/>
      <c r="CL100" s="461"/>
      <c r="CM100" s="461"/>
      <c r="CN100" s="355"/>
      <c r="CO100" s="396"/>
      <c r="CP100" s="396"/>
      <c r="CQ100" s="160"/>
      <c r="CR100" s="160"/>
      <c r="CS100" s="160"/>
      <c r="CT100" s="160"/>
      <c r="CU100" s="160"/>
      <c r="CV100" s="160"/>
      <c r="CW100" s="160"/>
      <c r="CX100" s="160"/>
      <c r="CY100" s="160"/>
      <c r="CZ100" s="160"/>
      <c r="DA100" s="160"/>
      <c r="DB100" s="160"/>
      <c r="DC100" s="160"/>
      <c r="DD100" s="160"/>
      <c r="DE100" s="160"/>
      <c r="DF100" s="160"/>
      <c r="DG100" s="160"/>
      <c r="DH100" s="160"/>
      <c r="DI100" s="160"/>
      <c r="DJ100" s="160"/>
      <c r="DK100" s="160"/>
      <c r="DL100" s="160"/>
      <c r="DM100" s="160"/>
      <c r="DN100" s="160"/>
      <c r="DO100" s="160"/>
      <c r="DP100" s="160"/>
      <c r="DQ100" s="160"/>
      <c r="DR100" s="160"/>
      <c r="DS100" s="160"/>
      <c r="DT100" s="160"/>
      <c r="DU100" s="160"/>
      <c r="DV100" s="160"/>
      <c r="DW100" s="161"/>
      <c r="DX100" s="161"/>
      <c r="DY100" s="161"/>
      <c r="DZ100" s="161"/>
      <c r="EA100" s="161"/>
      <c r="EB100" s="161"/>
      <c r="EC100" s="161"/>
      <c r="ED100" s="161"/>
    </row>
    <row r="101" spans="1:134" s="147" customFormat="1" ht="31.5" customHeight="1" x14ac:dyDescent="0.25">
      <c r="A101" s="146"/>
      <c r="B101" s="753" t="s">
        <v>150</v>
      </c>
      <c r="C101" s="754"/>
      <c r="D101" s="754"/>
      <c r="E101" s="754"/>
      <c r="F101" s="754"/>
      <c r="G101" s="754"/>
      <c r="H101" s="754"/>
      <c r="I101" s="754"/>
      <c r="J101" s="754"/>
      <c r="K101" s="754"/>
      <c r="L101" s="754"/>
      <c r="M101" s="754"/>
      <c r="N101" s="754"/>
      <c r="O101" s="754"/>
      <c r="P101" s="754"/>
      <c r="Q101" s="754"/>
      <c r="R101" s="754"/>
      <c r="S101" s="754"/>
      <c r="T101" s="754"/>
      <c r="U101" s="754"/>
      <c r="V101" s="754"/>
      <c r="W101" s="754"/>
      <c r="X101" s="754"/>
      <c r="Y101" s="754"/>
      <c r="Z101" s="754"/>
      <c r="AA101" s="754"/>
      <c r="AB101" s="754"/>
      <c r="AC101" s="754"/>
      <c r="AD101" s="754"/>
      <c r="AE101" s="754"/>
      <c r="AF101" s="754"/>
      <c r="AG101" s="754"/>
      <c r="AH101" s="754"/>
      <c r="AI101" s="754"/>
      <c r="AJ101" s="754"/>
      <c r="AK101" s="754"/>
      <c r="AL101" s="754"/>
      <c r="AM101" s="754"/>
      <c r="AN101" s="754"/>
      <c r="AO101" s="754"/>
      <c r="AP101" s="754"/>
      <c r="AQ101" s="754"/>
      <c r="AR101" s="754"/>
      <c r="AS101" s="754"/>
      <c r="AT101" s="754"/>
      <c r="AU101" s="754"/>
      <c r="AV101" s="754"/>
      <c r="AW101" s="754"/>
      <c r="AX101" s="754"/>
      <c r="AY101" s="754"/>
      <c r="AZ101" s="754"/>
      <c r="BA101" s="754"/>
      <c r="BB101" s="754"/>
      <c r="BC101" s="754"/>
      <c r="BD101" s="754"/>
      <c r="BE101" s="754"/>
      <c r="BF101" s="754"/>
      <c r="BG101" s="755"/>
      <c r="BH101" s="160">
        <f t="shared" si="196"/>
        <v>0</v>
      </c>
      <c r="BI101" s="200"/>
      <c r="BJ101" s="462"/>
      <c r="BK101" s="462"/>
      <c r="BL101" s="462"/>
      <c r="BM101" s="463"/>
      <c r="BN101" s="463"/>
      <c r="BO101" s="463"/>
      <c r="BP101" s="462"/>
      <c r="BQ101" s="462"/>
      <c r="BR101" s="462"/>
      <c r="BS101" s="462"/>
      <c r="BT101" s="462"/>
      <c r="BU101" s="462"/>
      <c r="BV101" s="462"/>
      <c r="BW101" s="462"/>
      <c r="BX101" s="462"/>
      <c r="BY101" s="462"/>
      <c r="BZ101" s="462"/>
      <c r="CA101" s="462"/>
      <c r="CB101" s="464"/>
      <c r="CC101" s="462"/>
      <c r="CD101" s="462"/>
      <c r="CE101" s="464"/>
      <c r="CF101" s="464"/>
      <c r="CG101" s="464"/>
      <c r="CH101" s="464"/>
      <c r="CI101" s="462"/>
      <c r="CJ101" s="462"/>
      <c r="CK101" s="464"/>
      <c r="CL101" s="464"/>
      <c r="CM101" s="464"/>
      <c r="CN101" s="357"/>
      <c r="CO101" s="346"/>
      <c r="CP101" s="346"/>
      <c r="CQ101" s="171"/>
      <c r="CR101" s="171"/>
      <c r="CS101" s="171"/>
      <c r="CT101" s="171"/>
      <c r="CU101" s="171"/>
      <c r="CV101" s="171"/>
      <c r="CW101" s="171"/>
      <c r="CX101" s="171"/>
      <c r="CY101" s="171"/>
      <c r="CZ101" s="171"/>
      <c r="DA101" s="171"/>
      <c r="DB101" s="171"/>
      <c r="DC101" s="171"/>
      <c r="DD101" s="171"/>
      <c r="DE101" s="171"/>
      <c r="DF101" s="171"/>
      <c r="DG101" s="171"/>
      <c r="DH101" s="171"/>
      <c r="DI101" s="171"/>
      <c r="DJ101" s="171"/>
      <c r="DK101" s="171"/>
      <c r="DL101" s="171"/>
      <c r="DM101" s="171"/>
      <c r="DN101" s="171"/>
      <c r="DO101" s="171"/>
      <c r="DP101" s="171"/>
      <c r="DQ101" s="171"/>
      <c r="DR101" s="171"/>
      <c r="DS101" s="171"/>
      <c r="DT101" s="171"/>
      <c r="DU101" s="171"/>
      <c r="DV101" s="171"/>
      <c r="DW101" s="170"/>
      <c r="DX101" s="170"/>
      <c r="DY101" s="170"/>
      <c r="DZ101" s="170"/>
      <c r="EA101" s="170"/>
      <c r="EB101" s="170"/>
      <c r="EC101" s="170"/>
      <c r="ED101" s="170"/>
    </row>
    <row r="102" spans="1:134" s="200" customFormat="1" ht="21" hidden="1" customHeight="1" x14ac:dyDescent="0.25">
      <c r="A102" s="146"/>
      <c r="B102" s="745" t="s">
        <v>106</v>
      </c>
      <c r="C102" s="746"/>
      <c r="D102" s="746"/>
      <c r="E102" s="746"/>
      <c r="F102" s="746"/>
      <c r="G102" s="746"/>
      <c r="H102" s="746"/>
      <c r="I102" s="746"/>
      <c r="J102" s="746"/>
      <c r="K102" s="746"/>
      <c r="L102" s="746"/>
      <c r="M102" s="746"/>
      <c r="N102" s="746"/>
      <c r="O102" s="746"/>
      <c r="P102" s="746"/>
      <c r="Q102" s="746"/>
      <c r="R102" s="746"/>
      <c r="S102" s="746"/>
      <c r="T102" s="746"/>
      <c r="U102" s="746"/>
      <c r="V102" s="746"/>
      <c r="W102" s="746"/>
      <c r="X102" s="746"/>
      <c r="Y102" s="746"/>
      <c r="Z102" s="746"/>
      <c r="AA102" s="746"/>
      <c r="AB102" s="746"/>
      <c r="AC102" s="746"/>
      <c r="AD102" s="746"/>
      <c r="AE102" s="746"/>
      <c r="AF102" s="746"/>
      <c r="AG102" s="746"/>
      <c r="AH102" s="746"/>
      <c r="AI102" s="746"/>
      <c r="AJ102" s="746"/>
      <c r="AK102" s="746"/>
      <c r="AL102" s="746"/>
      <c r="AM102" s="746"/>
      <c r="AN102" s="746"/>
      <c r="AO102" s="746"/>
      <c r="AP102" s="746"/>
      <c r="AQ102" s="746"/>
      <c r="AR102" s="746"/>
      <c r="AS102" s="746"/>
      <c r="AT102" s="746"/>
      <c r="AU102" s="746"/>
      <c r="AV102" s="746"/>
      <c r="AW102" s="746"/>
      <c r="AX102" s="746"/>
      <c r="AY102" s="746"/>
      <c r="AZ102" s="746"/>
      <c r="BA102" s="746"/>
      <c r="BB102" s="746"/>
      <c r="BC102" s="746"/>
      <c r="BD102" s="746"/>
      <c r="BE102" s="746"/>
      <c r="BF102" s="746"/>
      <c r="BG102" s="747"/>
      <c r="BH102" s="160"/>
      <c r="BJ102" s="462"/>
      <c r="BK102" s="462"/>
      <c r="BL102" s="462"/>
      <c r="BM102" s="463"/>
      <c r="BN102" s="463"/>
      <c r="BO102" s="463"/>
      <c r="BP102" s="462"/>
      <c r="BQ102" s="462"/>
      <c r="BR102" s="462"/>
      <c r="BS102" s="462"/>
      <c r="BT102" s="462"/>
      <c r="BU102" s="462"/>
      <c r="BV102" s="462"/>
      <c r="BW102" s="462"/>
      <c r="BX102" s="462"/>
      <c r="BY102" s="462"/>
      <c r="BZ102" s="462"/>
      <c r="CA102" s="462"/>
      <c r="CB102" s="464"/>
      <c r="CC102" s="462"/>
      <c r="CD102" s="462"/>
      <c r="CE102" s="464"/>
      <c r="CF102" s="464"/>
      <c r="CG102" s="464"/>
      <c r="CH102" s="464"/>
      <c r="CI102" s="462"/>
      <c r="CJ102" s="462"/>
      <c r="CK102" s="464"/>
      <c r="CL102" s="464"/>
      <c r="CM102" s="464"/>
      <c r="CN102" s="357"/>
      <c r="CO102" s="346"/>
      <c r="CP102" s="346"/>
      <c r="CQ102" s="171"/>
      <c r="CR102" s="171"/>
      <c r="CS102" s="171"/>
      <c r="CT102" s="171"/>
      <c r="CU102" s="171"/>
      <c r="CV102" s="171"/>
      <c r="CW102" s="171"/>
      <c r="CX102" s="171"/>
      <c r="CY102" s="171"/>
      <c r="CZ102" s="171"/>
      <c r="DA102" s="171"/>
      <c r="DB102" s="171"/>
      <c r="DC102" s="171"/>
      <c r="DD102" s="171"/>
      <c r="DE102" s="171"/>
      <c r="DF102" s="171"/>
      <c r="DG102" s="171"/>
      <c r="DH102" s="171"/>
      <c r="DI102" s="171"/>
      <c r="DJ102" s="171"/>
      <c r="DK102" s="171"/>
      <c r="DL102" s="171"/>
      <c r="DM102" s="171"/>
      <c r="DN102" s="171"/>
      <c r="DO102" s="171"/>
      <c r="DP102" s="171"/>
      <c r="DQ102" s="171"/>
      <c r="DR102" s="171"/>
      <c r="DS102" s="171"/>
      <c r="DT102" s="171"/>
      <c r="DU102" s="171"/>
      <c r="DV102" s="171"/>
      <c r="DW102" s="170"/>
      <c r="DX102" s="170"/>
      <c r="DY102" s="170"/>
      <c r="DZ102" s="170"/>
      <c r="EA102" s="170"/>
      <c r="EB102" s="170"/>
      <c r="EC102" s="170"/>
      <c r="ED102" s="170"/>
    </row>
    <row r="103" spans="1:134" s="200" customFormat="1" ht="15" hidden="1" customHeight="1" x14ac:dyDescent="0.25">
      <c r="A103" s="146"/>
      <c r="B103" s="739" t="s">
        <v>442</v>
      </c>
      <c r="C103" s="739" t="s">
        <v>446</v>
      </c>
      <c r="D103" s="739" t="s">
        <v>107</v>
      </c>
      <c r="E103" s="739"/>
      <c r="F103" s="739"/>
      <c r="G103" s="739"/>
      <c r="H103" s="739"/>
      <c r="I103" s="739"/>
      <c r="J103" s="739"/>
      <c r="K103" s="739"/>
      <c r="L103" s="739"/>
      <c r="M103" s="739"/>
      <c r="N103" s="739"/>
      <c r="O103" s="739"/>
      <c r="P103" s="739"/>
      <c r="Q103" s="739"/>
      <c r="R103" s="739"/>
      <c r="S103" s="739" t="s">
        <v>352</v>
      </c>
      <c r="T103" s="739"/>
      <c r="U103" s="739"/>
      <c r="V103" s="739"/>
      <c r="W103" s="739"/>
      <c r="X103" s="740" t="s">
        <v>360</v>
      </c>
      <c r="Y103" s="740"/>
      <c r="Z103" s="740"/>
      <c r="AA103" s="740"/>
      <c r="AB103" s="740"/>
      <c r="AC103" s="740"/>
      <c r="AD103" s="740"/>
      <c r="AE103" s="740" t="s">
        <v>359</v>
      </c>
      <c r="AF103" s="740"/>
      <c r="AG103" s="740"/>
      <c r="AH103" s="740"/>
      <c r="AI103" s="740"/>
      <c r="AJ103" s="740"/>
      <c r="AK103" s="740"/>
      <c r="AL103" s="740" t="s">
        <v>358</v>
      </c>
      <c r="AM103" s="740"/>
      <c r="AN103" s="740"/>
      <c r="AO103" s="740"/>
      <c r="AP103" s="740"/>
      <c r="AQ103" s="740"/>
      <c r="AR103" s="740"/>
      <c r="AS103" s="740" t="s">
        <v>543</v>
      </c>
      <c r="AT103" s="740"/>
      <c r="AU103" s="740"/>
      <c r="AV103" s="740"/>
      <c r="AW103" s="740"/>
      <c r="AX103" s="740"/>
      <c r="AY103" s="740" t="s">
        <v>357</v>
      </c>
      <c r="AZ103" s="740"/>
      <c r="BA103" s="740"/>
      <c r="BB103" s="740"/>
      <c r="BC103" s="740"/>
      <c r="BD103" s="740"/>
      <c r="BE103" s="740"/>
      <c r="BF103" s="744" t="s">
        <v>794</v>
      </c>
      <c r="BG103" s="744" t="s">
        <v>109</v>
      </c>
      <c r="BH103" s="160"/>
      <c r="BJ103" s="462"/>
      <c r="BK103" s="462"/>
      <c r="BL103" s="462"/>
      <c r="BM103" s="463"/>
      <c r="BN103" s="463"/>
      <c r="BO103" s="463"/>
      <c r="BP103" s="462"/>
      <c r="BQ103" s="462"/>
      <c r="BR103" s="462"/>
      <c r="BS103" s="462"/>
      <c r="BT103" s="462"/>
      <c r="BU103" s="462"/>
      <c r="BV103" s="462"/>
      <c r="BW103" s="462"/>
      <c r="BX103" s="462"/>
      <c r="BY103" s="462"/>
      <c r="BZ103" s="462"/>
      <c r="CA103" s="462"/>
      <c r="CB103" s="464"/>
      <c r="CC103" s="462"/>
      <c r="CD103" s="462"/>
      <c r="CE103" s="464"/>
      <c r="CF103" s="464"/>
      <c r="CG103" s="464"/>
      <c r="CH103" s="464"/>
      <c r="CI103" s="462"/>
      <c r="CJ103" s="462"/>
      <c r="CK103" s="464"/>
      <c r="CL103" s="464"/>
      <c r="CM103" s="464"/>
      <c r="CN103" s="357"/>
      <c r="CO103" s="346"/>
      <c r="CP103" s="346"/>
      <c r="CQ103" s="171"/>
      <c r="CR103" s="171"/>
      <c r="CS103" s="171"/>
      <c r="CT103" s="171"/>
      <c r="CU103" s="171"/>
      <c r="CV103" s="171"/>
      <c r="CW103" s="171"/>
      <c r="CX103" s="171"/>
      <c r="CY103" s="171"/>
      <c r="CZ103" s="171"/>
      <c r="DA103" s="171"/>
      <c r="DB103" s="171"/>
      <c r="DC103" s="171"/>
      <c r="DD103" s="171"/>
      <c r="DE103" s="171"/>
      <c r="DF103" s="171"/>
      <c r="DG103" s="171"/>
      <c r="DH103" s="171"/>
      <c r="DI103" s="171"/>
      <c r="DJ103" s="171"/>
      <c r="DK103" s="171"/>
      <c r="DL103" s="171"/>
      <c r="DM103" s="171"/>
      <c r="DN103" s="171"/>
      <c r="DO103" s="171"/>
      <c r="DP103" s="171"/>
      <c r="DQ103" s="171"/>
      <c r="DR103" s="171"/>
      <c r="DS103" s="171"/>
      <c r="DT103" s="171"/>
      <c r="DU103" s="171"/>
      <c r="DV103" s="171"/>
      <c r="DW103" s="170"/>
      <c r="DX103" s="170"/>
      <c r="DY103" s="170"/>
      <c r="DZ103" s="170"/>
      <c r="EA103" s="170"/>
      <c r="EB103" s="170"/>
      <c r="EC103" s="170"/>
      <c r="ED103" s="170"/>
    </row>
    <row r="104" spans="1:134" s="200" customFormat="1" ht="75" hidden="1" x14ac:dyDescent="0.25">
      <c r="A104" s="146"/>
      <c r="B104" s="740"/>
      <c r="C104" s="739"/>
      <c r="D104" s="201" t="s">
        <v>110</v>
      </c>
      <c r="E104" s="201" t="s">
        <v>111</v>
      </c>
      <c r="F104" s="201" t="s">
        <v>112</v>
      </c>
      <c r="G104" s="201" t="s">
        <v>113</v>
      </c>
      <c r="H104" s="201" t="s">
        <v>114</v>
      </c>
      <c r="I104" s="201" t="s">
        <v>115</v>
      </c>
      <c r="J104" s="201" t="s">
        <v>116</v>
      </c>
      <c r="K104" s="201" t="s">
        <v>117</v>
      </c>
      <c r="L104" s="201" t="s">
        <v>118</v>
      </c>
      <c r="M104" s="201" t="s">
        <v>119</v>
      </c>
      <c r="N104" s="201" t="s">
        <v>120</v>
      </c>
      <c r="O104" s="201" t="s">
        <v>121</v>
      </c>
      <c r="P104" s="201" t="s">
        <v>122</v>
      </c>
      <c r="Q104" s="201" t="s">
        <v>123</v>
      </c>
      <c r="R104" s="201" t="s">
        <v>124</v>
      </c>
      <c r="S104" s="201" t="s">
        <v>125</v>
      </c>
      <c r="T104" s="201" t="s">
        <v>126</v>
      </c>
      <c r="U104" s="201" t="s">
        <v>127</v>
      </c>
      <c r="V104" s="202" t="s">
        <v>369</v>
      </c>
      <c r="W104" s="201" t="s">
        <v>352</v>
      </c>
      <c r="X104" s="744" t="s">
        <v>353</v>
      </c>
      <c r="Y104" s="744"/>
      <c r="Z104" s="201" t="s">
        <v>361</v>
      </c>
      <c r="AA104" s="203" t="s">
        <v>793</v>
      </c>
      <c r="AB104" s="203" t="s">
        <v>806</v>
      </c>
      <c r="AC104" s="201" t="s">
        <v>362</v>
      </c>
      <c r="AD104" s="203" t="s">
        <v>453</v>
      </c>
      <c r="AE104" s="744" t="s">
        <v>354</v>
      </c>
      <c r="AF104" s="744"/>
      <c r="AG104" s="201" t="s">
        <v>363</v>
      </c>
      <c r="AH104" s="204" t="s">
        <v>807</v>
      </c>
      <c r="AI104" s="204" t="s">
        <v>808</v>
      </c>
      <c r="AJ104" s="201" t="s">
        <v>364</v>
      </c>
      <c r="AK104" s="203" t="s">
        <v>453</v>
      </c>
      <c r="AL104" s="744" t="s">
        <v>355</v>
      </c>
      <c r="AM104" s="744"/>
      <c r="AN104" s="201" t="s">
        <v>365</v>
      </c>
      <c r="AO104" s="201" t="s">
        <v>809</v>
      </c>
      <c r="AP104" s="201" t="s">
        <v>810</v>
      </c>
      <c r="AQ104" s="201" t="s">
        <v>366</v>
      </c>
      <c r="AR104" s="203" t="s">
        <v>453</v>
      </c>
      <c r="AS104" s="744" t="s">
        <v>544</v>
      </c>
      <c r="AT104" s="744"/>
      <c r="AU104" s="201" t="s">
        <v>546</v>
      </c>
      <c r="AV104" s="203" t="s">
        <v>812</v>
      </c>
      <c r="AW104" s="201" t="s">
        <v>545</v>
      </c>
      <c r="AX104" s="203" t="s">
        <v>453</v>
      </c>
      <c r="AY104" s="744" t="s">
        <v>356</v>
      </c>
      <c r="AZ104" s="744"/>
      <c r="BA104" s="201" t="s">
        <v>367</v>
      </c>
      <c r="BB104" s="203" t="s">
        <v>813</v>
      </c>
      <c r="BC104" s="203" t="s">
        <v>814</v>
      </c>
      <c r="BD104" s="201" t="s">
        <v>368</v>
      </c>
      <c r="BE104" s="203" t="s">
        <v>453</v>
      </c>
      <c r="BF104" s="744"/>
      <c r="BG104" s="744"/>
      <c r="BH104" s="160" t="s">
        <v>128</v>
      </c>
      <c r="BJ104" s="462"/>
      <c r="BK104" s="462"/>
      <c r="BL104" s="462"/>
      <c r="BM104" s="463"/>
      <c r="BN104" s="463"/>
      <c r="BO104" s="463"/>
      <c r="BP104" s="462"/>
      <c r="BQ104" s="462"/>
      <c r="BR104" s="462"/>
      <c r="BS104" s="462"/>
      <c r="BT104" s="462"/>
      <c r="BU104" s="462"/>
      <c r="BV104" s="462"/>
      <c r="BW104" s="462"/>
      <c r="BX104" s="462"/>
      <c r="BY104" s="462"/>
      <c r="BZ104" s="462"/>
      <c r="CA104" s="462"/>
      <c r="CB104" s="464"/>
      <c r="CC104" s="462"/>
      <c r="CD104" s="462"/>
      <c r="CE104" s="464"/>
      <c r="CF104" s="464"/>
      <c r="CG104" s="464"/>
      <c r="CH104" s="464"/>
      <c r="CI104" s="462"/>
      <c r="CJ104" s="462"/>
      <c r="CK104" s="464"/>
      <c r="CL104" s="464"/>
      <c r="CM104" s="464"/>
      <c r="CN104" s="357"/>
      <c r="CO104" s="346"/>
      <c r="CP104" s="346"/>
      <c r="CQ104" s="171"/>
      <c r="CR104" s="171"/>
      <c r="CS104" s="171"/>
      <c r="CT104" s="171"/>
      <c r="CU104" s="171"/>
      <c r="CV104" s="171"/>
      <c r="CW104" s="171"/>
      <c r="CX104" s="171"/>
      <c r="CY104" s="171"/>
      <c r="CZ104" s="171"/>
      <c r="DA104" s="171"/>
      <c r="DB104" s="171"/>
      <c r="DC104" s="171"/>
      <c r="DD104" s="171"/>
      <c r="DE104" s="171"/>
      <c r="DF104" s="171"/>
      <c r="DG104" s="171"/>
      <c r="DH104" s="171"/>
      <c r="DI104" s="171"/>
      <c r="DJ104" s="171"/>
      <c r="DK104" s="171"/>
      <c r="DL104" s="171"/>
      <c r="DM104" s="171"/>
      <c r="DN104" s="171"/>
      <c r="DO104" s="171"/>
      <c r="DP104" s="171"/>
      <c r="DQ104" s="171"/>
      <c r="DR104" s="171"/>
      <c r="DS104" s="171"/>
      <c r="DT104" s="171"/>
      <c r="DU104" s="171"/>
      <c r="DV104" s="171"/>
      <c r="DW104" s="170"/>
      <c r="DX104" s="170"/>
      <c r="DY104" s="170"/>
      <c r="DZ104" s="170"/>
      <c r="EA104" s="170"/>
      <c r="EB104" s="170"/>
      <c r="EC104" s="170"/>
      <c r="ED104" s="170"/>
    </row>
    <row r="105" spans="1:134" s="147" customFormat="1" ht="15" hidden="1" customHeight="1" x14ac:dyDescent="0.25">
      <c r="A105" s="146"/>
      <c r="B105" s="453" t="s">
        <v>600</v>
      </c>
      <c r="C105" s="111"/>
      <c r="D105" s="205">
        <f t="shared" ref="D105:D112" si="197">VLOOKUP($C105,$BI$195:$CM$609,2,FALSE)</f>
        <v>0</v>
      </c>
      <c r="E105" s="91"/>
      <c r="F105" s="91"/>
      <c r="G105" s="91"/>
      <c r="H105" s="91"/>
      <c r="I105" s="91"/>
      <c r="J105" s="91"/>
      <c r="K105" s="91"/>
      <c r="L105" s="91"/>
      <c r="M105" s="91"/>
      <c r="N105" s="91"/>
      <c r="O105" s="91"/>
      <c r="P105" s="91"/>
      <c r="Q105" s="206">
        <f>SUM(E105:P105)</f>
        <v>0</v>
      </c>
      <c r="R105" s="205">
        <f>COUNT(E105:P105)</f>
        <v>0</v>
      </c>
      <c r="S105" s="206">
        <f>IF(R105&gt;1,AVERAGE(E105:P105),0)</f>
        <v>0</v>
      </c>
      <c r="T105" s="206">
        <f>IF(R105&gt;1,STDEV(E105:P105),0)</f>
        <v>0</v>
      </c>
      <c r="U105" s="206">
        <f t="shared" ref="U105:U112" si="198">IF(R105&gt;1,VLOOKUP($R105,$BI$529:$BJ$541,2,FALSE),0)</f>
        <v>0</v>
      </c>
      <c r="V105" s="92"/>
      <c r="W105" s="207">
        <f t="shared" ref="W105:W112" si="199">IF(R105&gt;1,1-((S105-((T105*U105)/(SQRT(R105))))/S105),VLOOKUP($C105,$BI$195:$CP$609,34,FALSE))</f>
        <v>0</v>
      </c>
      <c r="X105" s="208">
        <f t="shared" ref="X105:X112" si="200">VLOOKUP($C105,$BI$195:$CM$609,3,FALSE)</f>
        <v>0</v>
      </c>
      <c r="Y105" s="209">
        <f t="shared" ref="Y105:Y112" si="201">VLOOKUP($C105,$BI$195:$CM$609,4,FALSE)</f>
        <v>0</v>
      </c>
      <c r="Z105" s="207">
        <f t="shared" ref="Z105:Z112" si="202">IF($Q105&gt;0,VLOOKUP($C105,$BI$195:$CM$609,6,FALSE),0)</f>
        <v>0</v>
      </c>
      <c r="AA105" s="210">
        <f>($Q105*X105)/1000</f>
        <v>0</v>
      </c>
      <c r="AB105" s="210">
        <f t="shared" ref="AB105:AB112" si="203">AA105*$BJ$547</f>
        <v>0</v>
      </c>
      <c r="AC105" s="207">
        <f>IF(AA105&gt;0,SQRT(($W105*$W105)+(Z105*Z105)+($V105*$V105)),0)</f>
        <v>0</v>
      </c>
      <c r="AD105" s="210">
        <f>(AB105*AC105)^2</f>
        <v>0</v>
      </c>
      <c r="AE105" s="211">
        <f t="shared" ref="AE105:AE112" si="204">VLOOKUP($C105,$BI$195:$CM$609,21,FALSE)</f>
        <v>0</v>
      </c>
      <c r="AF105" s="209">
        <f t="shared" ref="AF105:AF112" si="205">VLOOKUP($C105,$BI$195:$CM$609,22,FALSE)</f>
        <v>0</v>
      </c>
      <c r="AG105" s="207">
        <f t="shared" ref="AG105:AG112" si="206">IF($Q105&gt;0,VLOOKUP($C105,$BI$195:$CM$609,24,FALSE),0)</f>
        <v>0</v>
      </c>
      <c r="AH105" s="212">
        <f t="shared" ref="AH105:AH112" si="207">($Q105*AE105)/1000</f>
        <v>0</v>
      </c>
      <c r="AI105" s="212">
        <f t="shared" ref="AI105:AI112" si="208">AH105*$BJ$548</f>
        <v>0</v>
      </c>
      <c r="AJ105" s="207">
        <f>IF(AH105&gt;0,SQRT(($W105*$W105)+(AG105*AG105)+($V105*$V105)),0)</f>
        <v>0</v>
      </c>
      <c r="AK105" s="210">
        <f>(AI105*AJ105)^2</f>
        <v>0</v>
      </c>
      <c r="AL105" s="211">
        <f t="shared" ref="AL105:AL112" si="209">VLOOKUP($C105,$BI$195:$CM$609,27,FALSE)</f>
        <v>0</v>
      </c>
      <c r="AM105" s="209">
        <f t="shared" ref="AM105:AM112" si="210">VLOOKUP($C105,$BI$195:$CM$609,28,FALSE)</f>
        <v>0</v>
      </c>
      <c r="AN105" s="207">
        <f t="shared" ref="AN105:AN112" si="211">IF($Q105&gt;0,VLOOKUP($C105,$BI$195:$CM$609,30,FALSE),0)</f>
        <v>0</v>
      </c>
      <c r="AO105" s="212">
        <f t="shared" ref="AO105:AO112" si="212">($Q105*AL105)/1000</f>
        <v>0</v>
      </c>
      <c r="AP105" s="212">
        <f t="shared" ref="AP105:AP112" si="213">AO105*$BJ$549</f>
        <v>0</v>
      </c>
      <c r="AQ105" s="207">
        <f>IF(AO105&gt;0,SQRT(($W105*$W105)+(AN105*AN105)+($V105*$V105)),0)</f>
        <v>0</v>
      </c>
      <c r="AR105" s="210">
        <f>(AP105*AQ105)^2</f>
        <v>0</v>
      </c>
      <c r="AS105" s="213">
        <v>0</v>
      </c>
      <c r="AT105" s="209">
        <v>0</v>
      </c>
      <c r="AU105" s="207">
        <v>0</v>
      </c>
      <c r="AV105" s="212">
        <f t="shared" ref="AV105:AV112" si="214">($Q105*AS105)/1000</f>
        <v>0</v>
      </c>
      <c r="AW105" s="207">
        <f t="shared" ref="AW105:AW111" si="215">IF(AV105&gt;0,SQRT(($W105*$W105)+(AU105*AU105)+($V105*$V105)),0)</f>
        <v>0</v>
      </c>
      <c r="AX105" s="210">
        <f>(AV105*AW105)^2</f>
        <v>0</v>
      </c>
      <c r="AY105" s="213">
        <v>0</v>
      </c>
      <c r="AZ105" s="209">
        <v>0</v>
      </c>
      <c r="BA105" s="207">
        <v>0</v>
      </c>
      <c r="BB105" s="212">
        <f t="shared" ref="BB105:BB112" si="216">($Q105*AY105)/1000</f>
        <v>0</v>
      </c>
      <c r="BC105" s="212">
        <f t="shared" ref="BC105:BC112" si="217">BB105*$BJ$550</f>
        <v>0</v>
      </c>
      <c r="BD105" s="207">
        <f>IF(BB105&gt;0,SQRT(($W105*$W105)+(BA105*BA105)+($V105*$V105)),0)</f>
        <v>0</v>
      </c>
      <c r="BE105" s="210">
        <f>(BC105*BD105)^2</f>
        <v>0</v>
      </c>
      <c r="BF105" s="206">
        <f t="shared" ref="BF105:BF112" si="218">AB105+AI105+AP105+AV105+BC105</f>
        <v>0</v>
      </c>
      <c r="BG105" s="207">
        <f t="shared" ref="BG105:BG112" si="219">IF(BF105&gt;0,SQRT(AD105+AK105+AR105+AX105+BE105)/BF105,0)</f>
        <v>0</v>
      </c>
      <c r="BH105" s="160">
        <f>(BF105*BG105)^2</f>
        <v>0</v>
      </c>
      <c r="BI105" s="200"/>
      <c r="BJ105" s="462"/>
      <c r="BK105" s="462"/>
      <c r="BL105" s="462"/>
      <c r="BM105" s="463"/>
      <c r="BN105" s="463"/>
      <c r="BO105" s="463"/>
      <c r="BP105" s="462"/>
      <c r="BQ105" s="462"/>
      <c r="BR105" s="462"/>
      <c r="BS105" s="462"/>
      <c r="BT105" s="462"/>
      <c r="BU105" s="462"/>
      <c r="BV105" s="462"/>
      <c r="BW105" s="462"/>
      <c r="BX105" s="462"/>
      <c r="BY105" s="462"/>
      <c r="BZ105" s="462"/>
      <c r="CA105" s="462"/>
      <c r="CB105" s="464"/>
      <c r="CC105" s="462"/>
      <c r="CD105" s="462"/>
      <c r="CE105" s="464"/>
      <c r="CF105" s="464"/>
      <c r="CG105" s="464"/>
      <c r="CH105" s="464"/>
      <c r="CI105" s="462"/>
      <c r="CJ105" s="462"/>
      <c r="CK105" s="464"/>
      <c r="CL105" s="464"/>
      <c r="CM105" s="464"/>
      <c r="CN105" s="357"/>
      <c r="CO105" s="346"/>
      <c r="CP105" s="346"/>
      <c r="CQ105" s="171"/>
      <c r="CR105" s="171"/>
      <c r="CS105" s="171"/>
      <c r="CT105" s="171"/>
      <c r="CU105" s="171"/>
      <c r="CV105" s="171"/>
      <c r="CW105" s="171"/>
      <c r="CX105" s="171"/>
      <c r="CY105" s="171"/>
      <c r="CZ105" s="171"/>
      <c r="DA105" s="171"/>
      <c r="DB105" s="171"/>
      <c r="DC105" s="171"/>
      <c r="DD105" s="171"/>
      <c r="DE105" s="171"/>
      <c r="DF105" s="171"/>
      <c r="DG105" s="171"/>
      <c r="DH105" s="171"/>
      <c r="DI105" s="171"/>
      <c r="DJ105" s="171"/>
      <c r="DK105" s="171"/>
      <c r="DL105" s="171"/>
      <c r="DM105" s="171"/>
      <c r="DN105" s="171"/>
      <c r="DO105" s="171"/>
      <c r="DP105" s="171"/>
      <c r="DQ105" s="171"/>
      <c r="DR105" s="171"/>
      <c r="DS105" s="171"/>
      <c r="DT105" s="171"/>
      <c r="DU105" s="171"/>
      <c r="DV105" s="171"/>
      <c r="DW105" s="170"/>
      <c r="DX105" s="170"/>
      <c r="DY105" s="170"/>
      <c r="DZ105" s="170"/>
      <c r="EA105" s="170"/>
      <c r="EB105" s="170"/>
      <c r="EC105" s="170"/>
      <c r="ED105" s="170"/>
    </row>
    <row r="106" spans="1:134" s="147" customFormat="1" hidden="1" x14ac:dyDescent="0.25">
      <c r="A106" s="146"/>
      <c r="B106" s="454" t="s">
        <v>599</v>
      </c>
      <c r="C106" s="111"/>
      <c r="D106" s="205">
        <f t="shared" si="197"/>
        <v>0</v>
      </c>
      <c r="E106" s="91"/>
      <c r="F106" s="91"/>
      <c r="G106" s="91"/>
      <c r="H106" s="91"/>
      <c r="I106" s="91"/>
      <c r="J106" s="91"/>
      <c r="K106" s="91"/>
      <c r="L106" s="91"/>
      <c r="M106" s="91"/>
      <c r="N106" s="91"/>
      <c r="O106" s="91"/>
      <c r="P106" s="91"/>
      <c r="Q106" s="206">
        <f t="shared" ref="Q106:Q112" si="220">SUM(E106:P106)</f>
        <v>0</v>
      </c>
      <c r="R106" s="205">
        <f t="shared" ref="R106:R112" si="221">COUNT(E106:P106)</f>
        <v>0</v>
      </c>
      <c r="S106" s="206">
        <f t="shared" ref="S106:S112" si="222">IF(R106&gt;1,AVERAGE(E106:P106),0)</f>
        <v>0</v>
      </c>
      <c r="T106" s="206">
        <f t="shared" ref="T106:T112" si="223">IF(R106&gt;1,STDEV(E106:P106),0)</f>
        <v>0</v>
      </c>
      <c r="U106" s="206">
        <f t="shared" si="198"/>
        <v>0</v>
      </c>
      <c r="V106" s="92"/>
      <c r="W106" s="207">
        <f t="shared" si="199"/>
        <v>0</v>
      </c>
      <c r="X106" s="208">
        <f t="shared" si="200"/>
        <v>0</v>
      </c>
      <c r="Y106" s="209">
        <f t="shared" si="201"/>
        <v>0</v>
      </c>
      <c r="Z106" s="207">
        <f t="shared" si="202"/>
        <v>0</v>
      </c>
      <c r="AA106" s="210">
        <f t="shared" ref="AA106:AA112" si="224">($Q106*X106)/1000</f>
        <v>0</v>
      </c>
      <c r="AB106" s="210">
        <f t="shared" si="203"/>
        <v>0</v>
      </c>
      <c r="AC106" s="207">
        <f t="shared" ref="AC106:AC112" si="225">IF(AA106&gt;0,SQRT(($W106*$W106)+(Z106*Z106)+($V106*$V106)),0)</f>
        <v>0</v>
      </c>
      <c r="AD106" s="210">
        <f t="shared" ref="AD106:AD123" si="226">(AB106*AC106)^2</f>
        <v>0</v>
      </c>
      <c r="AE106" s="211">
        <f t="shared" si="204"/>
        <v>0</v>
      </c>
      <c r="AF106" s="209">
        <f t="shared" si="205"/>
        <v>0</v>
      </c>
      <c r="AG106" s="207">
        <f t="shared" si="206"/>
        <v>0</v>
      </c>
      <c r="AH106" s="212">
        <f t="shared" si="207"/>
        <v>0</v>
      </c>
      <c r="AI106" s="212">
        <f t="shared" si="208"/>
        <v>0</v>
      </c>
      <c r="AJ106" s="207">
        <f t="shared" ref="AJ106:AJ112" si="227">IF(AH106&gt;0,SQRT(($W106*$W106)+(AG106*AG106)+($V106*$V106)),0)</f>
        <v>0</v>
      </c>
      <c r="AK106" s="210">
        <f t="shared" ref="AK106:AK123" si="228">(AI106*AJ106)^2</f>
        <v>0</v>
      </c>
      <c r="AL106" s="211">
        <f t="shared" si="209"/>
        <v>0</v>
      </c>
      <c r="AM106" s="209">
        <f t="shared" si="210"/>
        <v>0</v>
      </c>
      <c r="AN106" s="207">
        <f t="shared" si="211"/>
        <v>0</v>
      </c>
      <c r="AO106" s="212">
        <f t="shared" si="212"/>
        <v>0</v>
      </c>
      <c r="AP106" s="212">
        <f t="shared" si="213"/>
        <v>0</v>
      </c>
      <c r="AQ106" s="207">
        <f t="shared" ref="AQ106:AQ112" si="229">IF(AO106&gt;0,SQRT(($W106*$W106)+(AN106*AN106)+($V106*$V106)),0)</f>
        <v>0</v>
      </c>
      <c r="AR106" s="210">
        <f t="shared" ref="AR106:AR123" si="230">(AP106*AQ106)^2</f>
        <v>0</v>
      </c>
      <c r="AS106" s="213">
        <v>0</v>
      </c>
      <c r="AT106" s="209">
        <v>0</v>
      </c>
      <c r="AU106" s="207">
        <v>0</v>
      </c>
      <c r="AV106" s="212">
        <f t="shared" si="214"/>
        <v>0</v>
      </c>
      <c r="AW106" s="207">
        <f t="shared" si="215"/>
        <v>0</v>
      </c>
      <c r="AX106" s="210">
        <f t="shared" ref="AX106:AX113" si="231">(AV106*AW106)^2</f>
        <v>0</v>
      </c>
      <c r="AY106" s="213">
        <v>0</v>
      </c>
      <c r="AZ106" s="209">
        <v>0</v>
      </c>
      <c r="BA106" s="207">
        <v>0</v>
      </c>
      <c r="BB106" s="212">
        <f t="shared" si="216"/>
        <v>0</v>
      </c>
      <c r="BC106" s="212">
        <f t="shared" si="217"/>
        <v>0</v>
      </c>
      <c r="BD106" s="207">
        <f t="shared" ref="BD106:BD112" si="232">IF(BB106&gt;0,SQRT(($W106*$W106)+(BA106*BA106)+($V106*$V106)),0)</f>
        <v>0</v>
      </c>
      <c r="BE106" s="210">
        <f t="shared" ref="BE106:BE123" si="233">(BC106*BD106)^2</f>
        <v>0</v>
      </c>
      <c r="BF106" s="206">
        <f t="shared" si="218"/>
        <v>0</v>
      </c>
      <c r="BG106" s="207">
        <f t="shared" si="219"/>
        <v>0</v>
      </c>
      <c r="BH106" s="160">
        <f t="shared" ref="BH106:BH123" si="234">(BF106*BG106)^2</f>
        <v>0</v>
      </c>
      <c r="BI106" s="200"/>
      <c r="BJ106" s="462"/>
      <c r="BK106" s="462"/>
      <c r="BL106" s="462"/>
      <c r="BM106" s="463"/>
      <c r="BN106" s="463"/>
      <c r="BO106" s="463"/>
      <c r="BP106" s="462"/>
      <c r="BQ106" s="462"/>
      <c r="BR106" s="462"/>
      <c r="BS106" s="462"/>
      <c r="BT106" s="462"/>
      <c r="BU106" s="462"/>
      <c r="BV106" s="462"/>
      <c r="BW106" s="462"/>
      <c r="BX106" s="462"/>
      <c r="BY106" s="462"/>
      <c r="BZ106" s="462"/>
      <c r="CA106" s="462"/>
      <c r="CB106" s="464"/>
      <c r="CC106" s="462"/>
      <c r="CD106" s="462"/>
      <c r="CE106" s="464"/>
      <c r="CF106" s="464"/>
      <c r="CG106" s="464"/>
      <c r="CH106" s="464"/>
      <c r="CI106" s="462"/>
      <c r="CJ106" s="462"/>
      <c r="CK106" s="464"/>
      <c r="CL106" s="464"/>
      <c r="CM106" s="464"/>
      <c r="CN106" s="357"/>
      <c r="CO106" s="346"/>
      <c r="CP106" s="346"/>
      <c r="CQ106" s="171"/>
      <c r="CR106" s="171"/>
      <c r="CS106" s="171"/>
      <c r="CT106" s="171"/>
      <c r="CU106" s="171"/>
      <c r="CV106" s="171"/>
      <c r="CW106" s="171"/>
      <c r="CX106" s="171"/>
      <c r="CY106" s="171"/>
      <c r="CZ106" s="171"/>
      <c r="DA106" s="171"/>
      <c r="DB106" s="171"/>
      <c r="DC106" s="171"/>
      <c r="DD106" s="171"/>
      <c r="DE106" s="171"/>
      <c r="DF106" s="171"/>
      <c r="DG106" s="171"/>
      <c r="DH106" s="171"/>
      <c r="DI106" s="171"/>
      <c r="DJ106" s="171"/>
      <c r="DK106" s="171"/>
      <c r="DL106" s="171"/>
      <c r="DM106" s="171"/>
      <c r="DN106" s="171"/>
      <c r="DO106" s="171"/>
      <c r="DP106" s="171"/>
      <c r="DQ106" s="171"/>
      <c r="DR106" s="171"/>
      <c r="DS106" s="171"/>
      <c r="DT106" s="171"/>
      <c r="DU106" s="171"/>
      <c r="DV106" s="171"/>
      <c r="DW106" s="170"/>
      <c r="DX106" s="170"/>
      <c r="DY106" s="170"/>
      <c r="DZ106" s="170"/>
      <c r="EA106" s="170"/>
      <c r="EB106" s="170"/>
      <c r="EC106" s="170"/>
      <c r="ED106" s="170"/>
    </row>
    <row r="107" spans="1:134" s="147" customFormat="1" hidden="1" x14ac:dyDescent="0.25">
      <c r="A107" s="146"/>
      <c r="B107" s="454"/>
      <c r="C107" s="111"/>
      <c r="D107" s="205">
        <f t="shared" si="197"/>
        <v>0</v>
      </c>
      <c r="E107" s="91"/>
      <c r="F107" s="91"/>
      <c r="G107" s="91"/>
      <c r="H107" s="91"/>
      <c r="I107" s="91"/>
      <c r="J107" s="91"/>
      <c r="K107" s="91"/>
      <c r="L107" s="91"/>
      <c r="M107" s="91"/>
      <c r="N107" s="91"/>
      <c r="O107" s="91"/>
      <c r="P107" s="91"/>
      <c r="Q107" s="206">
        <f t="shared" si="220"/>
        <v>0</v>
      </c>
      <c r="R107" s="205">
        <f t="shared" si="221"/>
        <v>0</v>
      </c>
      <c r="S107" s="206">
        <f t="shared" si="222"/>
        <v>0</v>
      </c>
      <c r="T107" s="206">
        <f t="shared" si="223"/>
        <v>0</v>
      </c>
      <c r="U107" s="206">
        <f t="shared" si="198"/>
        <v>0</v>
      </c>
      <c r="V107" s="92"/>
      <c r="W107" s="207">
        <f t="shared" si="199"/>
        <v>0</v>
      </c>
      <c r="X107" s="208">
        <f t="shared" si="200"/>
        <v>0</v>
      </c>
      <c r="Y107" s="209">
        <f t="shared" si="201"/>
        <v>0</v>
      </c>
      <c r="Z107" s="207">
        <f t="shared" si="202"/>
        <v>0</v>
      </c>
      <c r="AA107" s="210">
        <f t="shared" si="224"/>
        <v>0</v>
      </c>
      <c r="AB107" s="210">
        <f t="shared" si="203"/>
        <v>0</v>
      </c>
      <c r="AC107" s="207">
        <f t="shared" si="225"/>
        <v>0</v>
      </c>
      <c r="AD107" s="210">
        <f t="shared" si="226"/>
        <v>0</v>
      </c>
      <c r="AE107" s="211">
        <f t="shared" si="204"/>
        <v>0</v>
      </c>
      <c r="AF107" s="209">
        <f t="shared" si="205"/>
        <v>0</v>
      </c>
      <c r="AG107" s="207">
        <f t="shared" si="206"/>
        <v>0</v>
      </c>
      <c r="AH107" s="212">
        <f t="shared" si="207"/>
        <v>0</v>
      </c>
      <c r="AI107" s="212">
        <f t="shared" si="208"/>
        <v>0</v>
      </c>
      <c r="AJ107" s="207">
        <f t="shared" si="227"/>
        <v>0</v>
      </c>
      <c r="AK107" s="210">
        <f t="shared" si="228"/>
        <v>0</v>
      </c>
      <c r="AL107" s="211">
        <f t="shared" si="209"/>
        <v>0</v>
      </c>
      <c r="AM107" s="209">
        <f t="shared" si="210"/>
        <v>0</v>
      </c>
      <c r="AN107" s="207">
        <f t="shared" si="211"/>
        <v>0</v>
      </c>
      <c r="AO107" s="212">
        <f t="shared" si="212"/>
        <v>0</v>
      </c>
      <c r="AP107" s="212">
        <f t="shared" si="213"/>
        <v>0</v>
      </c>
      <c r="AQ107" s="207">
        <f t="shared" si="229"/>
        <v>0</v>
      </c>
      <c r="AR107" s="210">
        <f t="shared" si="230"/>
        <v>0</v>
      </c>
      <c r="AS107" s="213">
        <v>0</v>
      </c>
      <c r="AT107" s="209">
        <v>0</v>
      </c>
      <c r="AU107" s="207">
        <v>0</v>
      </c>
      <c r="AV107" s="212">
        <f t="shared" si="214"/>
        <v>0</v>
      </c>
      <c r="AW107" s="207">
        <f t="shared" si="215"/>
        <v>0</v>
      </c>
      <c r="AX107" s="210">
        <f t="shared" si="231"/>
        <v>0</v>
      </c>
      <c r="AY107" s="213">
        <v>0</v>
      </c>
      <c r="AZ107" s="209">
        <v>0</v>
      </c>
      <c r="BA107" s="207">
        <v>0</v>
      </c>
      <c r="BB107" s="212">
        <f t="shared" si="216"/>
        <v>0</v>
      </c>
      <c r="BC107" s="212">
        <f t="shared" si="217"/>
        <v>0</v>
      </c>
      <c r="BD107" s="207">
        <f t="shared" si="232"/>
        <v>0</v>
      </c>
      <c r="BE107" s="210">
        <f t="shared" si="233"/>
        <v>0</v>
      </c>
      <c r="BF107" s="206">
        <f t="shared" si="218"/>
        <v>0</v>
      </c>
      <c r="BG107" s="207">
        <f t="shared" si="219"/>
        <v>0</v>
      </c>
      <c r="BH107" s="160">
        <f t="shared" si="234"/>
        <v>0</v>
      </c>
      <c r="BI107" s="200"/>
      <c r="BJ107" s="462"/>
      <c r="BK107" s="462"/>
      <c r="BL107" s="462"/>
      <c r="BM107" s="463"/>
      <c r="BN107" s="463"/>
      <c r="BO107" s="463"/>
      <c r="BP107" s="462"/>
      <c r="BQ107" s="462"/>
      <c r="BR107" s="462"/>
      <c r="BS107" s="462"/>
      <c r="BT107" s="462"/>
      <c r="BU107" s="462"/>
      <c r="BV107" s="462"/>
      <c r="BW107" s="462"/>
      <c r="BX107" s="462"/>
      <c r="BY107" s="462"/>
      <c r="BZ107" s="462"/>
      <c r="CA107" s="462"/>
      <c r="CB107" s="464"/>
      <c r="CC107" s="462"/>
      <c r="CD107" s="462"/>
      <c r="CE107" s="464"/>
      <c r="CF107" s="464"/>
      <c r="CG107" s="464"/>
      <c r="CH107" s="464"/>
      <c r="CI107" s="462"/>
      <c r="CJ107" s="462"/>
      <c r="CK107" s="464"/>
      <c r="CL107" s="464"/>
      <c r="CM107" s="464"/>
      <c r="CN107" s="357"/>
      <c r="CO107" s="346"/>
      <c r="CP107" s="346"/>
      <c r="CQ107" s="171"/>
      <c r="CR107" s="171"/>
      <c r="CS107" s="171"/>
      <c r="CT107" s="171"/>
      <c r="CU107" s="171"/>
      <c r="CV107" s="171"/>
      <c r="CW107" s="171"/>
      <c r="CX107" s="171"/>
      <c r="CY107" s="171"/>
      <c r="CZ107" s="171"/>
      <c r="DA107" s="171"/>
      <c r="DB107" s="171"/>
      <c r="DC107" s="171"/>
      <c r="DD107" s="171"/>
      <c r="DE107" s="171"/>
      <c r="DF107" s="171"/>
      <c r="DG107" s="171"/>
      <c r="DH107" s="171"/>
      <c r="DI107" s="171"/>
      <c r="DJ107" s="171"/>
      <c r="DK107" s="171"/>
      <c r="DL107" s="171"/>
      <c r="DM107" s="171"/>
      <c r="DN107" s="171"/>
      <c r="DO107" s="171"/>
      <c r="DP107" s="171"/>
      <c r="DQ107" s="171"/>
      <c r="DR107" s="171"/>
      <c r="DS107" s="171"/>
      <c r="DT107" s="171"/>
      <c r="DU107" s="171"/>
      <c r="DV107" s="171"/>
      <c r="DW107" s="170"/>
      <c r="DX107" s="170"/>
      <c r="DY107" s="170"/>
      <c r="DZ107" s="170"/>
      <c r="EA107" s="170"/>
      <c r="EB107" s="170"/>
      <c r="EC107" s="170"/>
      <c r="ED107" s="170"/>
    </row>
    <row r="108" spans="1:134" s="147" customFormat="1" hidden="1" x14ac:dyDescent="0.25">
      <c r="A108" s="146"/>
      <c r="B108" s="455"/>
      <c r="C108" s="111"/>
      <c r="D108" s="205">
        <f t="shared" si="197"/>
        <v>0</v>
      </c>
      <c r="E108" s="91"/>
      <c r="F108" s="91"/>
      <c r="G108" s="91"/>
      <c r="H108" s="91"/>
      <c r="I108" s="91"/>
      <c r="J108" s="91"/>
      <c r="K108" s="91"/>
      <c r="L108" s="91"/>
      <c r="M108" s="91"/>
      <c r="N108" s="91"/>
      <c r="O108" s="91"/>
      <c r="P108" s="91"/>
      <c r="Q108" s="206">
        <f t="shared" si="220"/>
        <v>0</v>
      </c>
      <c r="R108" s="205">
        <f t="shared" si="221"/>
        <v>0</v>
      </c>
      <c r="S108" s="206">
        <f t="shared" si="222"/>
        <v>0</v>
      </c>
      <c r="T108" s="206">
        <f t="shared" si="223"/>
        <v>0</v>
      </c>
      <c r="U108" s="206">
        <f t="shared" si="198"/>
        <v>0</v>
      </c>
      <c r="V108" s="92"/>
      <c r="W108" s="207">
        <f t="shared" si="199"/>
        <v>0</v>
      </c>
      <c r="X108" s="208">
        <f t="shared" si="200"/>
        <v>0</v>
      </c>
      <c r="Y108" s="209">
        <f t="shared" si="201"/>
        <v>0</v>
      </c>
      <c r="Z108" s="207">
        <f t="shared" si="202"/>
        <v>0</v>
      </c>
      <c r="AA108" s="210">
        <f t="shared" si="224"/>
        <v>0</v>
      </c>
      <c r="AB108" s="210">
        <f t="shared" si="203"/>
        <v>0</v>
      </c>
      <c r="AC108" s="207">
        <f t="shared" si="225"/>
        <v>0</v>
      </c>
      <c r="AD108" s="210">
        <f t="shared" si="226"/>
        <v>0</v>
      </c>
      <c r="AE108" s="211">
        <f t="shared" si="204"/>
        <v>0</v>
      </c>
      <c r="AF108" s="209">
        <f t="shared" si="205"/>
        <v>0</v>
      </c>
      <c r="AG108" s="207">
        <f t="shared" si="206"/>
        <v>0</v>
      </c>
      <c r="AH108" s="212">
        <f t="shared" si="207"/>
        <v>0</v>
      </c>
      <c r="AI108" s="212">
        <f t="shared" si="208"/>
        <v>0</v>
      </c>
      <c r="AJ108" s="207">
        <f t="shared" si="227"/>
        <v>0</v>
      </c>
      <c r="AK108" s="210">
        <f t="shared" si="228"/>
        <v>0</v>
      </c>
      <c r="AL108" s="211">
        <f t="shared" si="209"/>
        <v>0</v>
      </c>
      <c r="AM108" s="209">
        <f t="shared" si="210"/>
        <v>0</v>
      </c>
      <c r="AN108" s="207">
        <f t="shared" si="211"/>
        <v>0</v>
      </c>
      <c r="AO108" s="212">
        <f t="shared" si="212"/>
        <v>0</v>
      </c>
      <c r="AP108" s="212">
        <f t="shared" si="213"/>
        <v>0</v>
      </c>
      <c r="AQ108" s="207">
        <f t="shared" si="229"/>
        <v>0</v>
      </c>
      <c r="AR108" s="210">
        <f t="shared" si="230"/>
        <v>0</v>
      </c>
      <c r="AS108" s="213">
        <v>0</v>
      </c>
      <c r="AT108" s="209">
        <v>0</v>
      </c>
      <c r="AU108" s="207">
        <v>0</v>
      </c>
      <c r="AV108" s="212">
        <f t="shared" si="214"/>
        <v>0</v>
      </c>
      <c r="AW108" s="207">
        <f t="shared" si="215"/>
        <v>0</v>
      </c>
      <c r="AX108" s="210">
        <f t="shared" si="231"/>
        <v>0</v>
      </c>
      <c r="AY108" s="213">
        <v>0</v>
      </c>
      <c r="AZ108" s="209">
        <v>0</v>
      </c>
      <c r="BA108" s="207">
        <v>0</v>
      </c>
      <c r="BB108" s="212">
        <f t="shared" si="216"/>
        <v>0</v>
      </c>
      <c r="BC108" s="212">
        <f t="shared" si="217"/>
        <v>0</v>
      </c>
      <c r="BD108" s="207">
        <f t="shared" si="232"/>
        <v>0</v>
      </c>
      <c r="BE108" s="210">
        <f t="shared" si="233"/>
        <v>0</v>
      </c>
      <c r="BF108" s="206">
        <f t="shared" si="218"/>
        <v>0</v>
      </c>
      <c r="BG108" s="207">
        <f t="shared" si="219"/>
        <v>0</v>
      </c>
      <c r="BH108" s="160">
        <f t="shared" si="234"/>
        <v>0</v>
      </c>
      <c r="BI108" s="200"/>
      <c r="BJ108" s="462"/>
      <c r="BK108" s="462"/>
      <c r="BL108" s="462"/>
      <c r="BM108" s="463"/>
      <c r="BN108" s="463"/>
      <c r="BO108" s="463"/>
      <c r="BP108" s="462"/>
      <c r="BQ108" s="462"/>
      <c r="BR108" s="462"/>
      <c r="BS108" s="462"/>
      <c r="BT108" s="462"/>
      <c r="BU108" s="462"/>
      <c r="BV108" s="462"/>
      <c r="BW108" s="462"/>
      <c r="BX108" s="462"/>
      <c r="BY108" s="462"/>
      <c r="BZ108" s="462"/>
      <c r="CA108" s="462"/>
      <c r="CB108" s="464"/>
      <c r="CC108" s="462"/>
      <c r="CD108" s="462"/>
      <c r="CE108" s="464"/>
      <c r="CF108" s="464"/>
      <c r="CG108" s="464"/>
      <c r="CH108" s="464"/>
      <c r="CI108" s="462"/>
      <c r="CJ108" s="462"/>
      <c r="CK108" s="464"/>
      <c r="CL108" s="464"/>
      <c r="CM108" s="464"/>
      <c r="CN108" s="357"/>
      <c r="CO108" s="346"/>
      <c r="CP108" s="346"/>
      <c r="CQ108" s="171"/>
      <c r="CR108" s="171"/>
      <c r="CS108" s="171"/>
      <c r="CT108" s="171"/>
      <c r="CU108" s="171"/>
      <c r="CV108" s="171"/>
      <c r="CW108" s="171"/>
      <c r="CX108" s="171"/>
      <c r="CY108" s="171"/>
      <c r="CZ108" s="171"/>
      <c r="DA108" s="171"/>
      <c r="DB108" s="171"/>
      <c r="DC108" s="171"/>
      <c r="DD108" s="171"/>
      <c r="DE108" s="171"/>
      <c r="DF108" s="171"/>
      <c r="DG108" s="171"/>
      <c r="DH108" s="171"/>
      <c r="DI108" s="171"/>
      <c r="DJ108" s="171"/>
      <c r="DK108" s="171"/>
      <c r="DL108" s="171"/>
      <c r="DM108" s="171"/>
      <c r="DN108" s="171"/>
      <c r="DO108" s="171"/>
      <c r="DP108" s="171"/>
      <c r="DQ108" s="171"/>
      <c r="DR108" s="171"/>
      <c r="DS108" s="171"/>
      <c r="DT108" s="171"/>
      <c r="DU108" s="171"/>
      <c r="DV108" s="171"/>
      <c r="DW108" s="170"/>
      <c r="DX108" s="170"/>
      <c r="DY108" s="170"/>
      <c r="DZ108" s="170"/>
      <c r="EA108" s="170"/>
      <c r="EB108" s="170"/>
      <c r="EC108" s="170"/>
      <c r="ED108" s="170"/>
    </row>
    <row r="109" spans="1:134" s="147" customFormat="1" ht="15" hidden="1" customHeight="1" x14ac:dyDescent="0.25">
      <c r="A109" s="146"/>
      <c r="B109" s="453" t="s">
        <v>596</v>
      </c>
      <c r="C109" s="111"/>
      <c r="D109" s="205">
        <f t="shared" si="197"/>
        <v>0</v>
      </c>
      <c r="E109" s="91"/>
      <c r="F109" s="91"/>
      <c r="G109" s="91"/>
      <c r="H109" s="91"/>
      <c r="I109" s="91"/>
      <c r="J109" s="91"/>
      <c r="K109" s="91"/>
      <c r="L109" s="91"/>
      <c r="M109" s="91"/>
      <c r="N109" s="91"/>
      <c r="O109" s="91"/>
      <c r="P109" s="91"/>
      <c r="Q109" s="206">
        <f t="shared" si="220"/>
        <v>0</v>
      </c>
      <c r="R109" s="205">
        <f t="shared" si="221"/>
        <v>0</v>
      </c>
      <c r="S109" s="206">
        <f t="shared" si="222"/>
        <v>0</v>
      </c>
      <c r="T109" s="206">
        <f t="shared" si="223"/>
        <v>0</v>
      </c>
      <c r="U109" s="206">
        <f t="shared" si="198"/>
        <v>0</v>
      </c>
      <c r="V109" s="92"/>
      <c r="W109" s="207">
        <f t="shared" si="199"/>
        <v>0</v>
      </c>
      <c r="X109" s="208">
        <f t="shared" si="200"/>
        <v>0</v>
      </c>
      <c r="Y109" s="209">
        <f t="shared" si="201"/>
        <v>0</v>
      </c>
      <c r="Z109" s="207">
        <f t="shared" si="202"/>
        <v>0</v>
      </c>
      <c r="AA109" s="210">
        <f t="shared" si="224"/>
        <v>0</v>
      </c>
      <c r="AB109" s="210">
        <f t="shared" si="203"/>
        <v>0</v>
      </c>
      <c r="AC109" s="207">
        <f t="shared" si="225"/>
        <v>0</v>
      </c>
      <c r="AD109" s="210">
        <f t="shared" si="226"/>
        <v>0</v>
      </c>
      <c r="AE109" s="211">
        <f t="shared" si="204"/>
        <v>0</v>
      </c>
      <c r="AF109" s="209">
        <f t="shared" si="205"/>
        <v>0</v>
      </c>
      <c r="AG109" s="207">
        <f t="shared" si="206"/>
        <v>0</v>
      </c>
      <c r="AH109" s="212">
        <f t="shared" si="207"/>
        <v>0</v>
      </c>
      <c r="AI109" s="212">
        <f t="shared" si="208"/>
        <v>0</v>
      </c>
      <c r="AJ109" s="207">
        <f t="shared" si="227"/>
        <v>0</v>
      </c>
      <c r="AK109" s="210">
        <f t="shared" si="228"/>
        <v>0</v>
      </c>
      <c r="AL109" s="211">
        <f t="shared" si="209"/>
        <v>0</v>
      </c>
      <c r="AM109" s="209">
        <f t="shared" si="210"/>
        <v>0</v>
      </c>
      <c r="AN109" s="207">
        <f t="shared" si="211"/>
        <v>0</v>
      </c>
      <c r="AO109" s="212">
        <f t="shared" si="212"/>
        <v>0</v>
      </c>
      <c r="AP109" s="212">
        <f t="shared" si="213"/>
        <v>0</v>
      </c>
      <c r="AQ109" s="207">
        <f t="shared" si="229"/>
        <v>0</v>
      </c>
      <c r="AR109" s="210">
        <f t="shared" si="230"/>
        <v>0</v>
      </c>
      <c r="AS109" s="213">
        <v>0</v>
      </c>
      <c r="AT109" s="209">
        <v>0</v>
      </c>
      <c r="AU109" s="207">
        <v>0</v>
      </c>
      <c r="AV109" s="212">
        <f t="shared" si="214"/>
        <v>0</v>
      </c>
      <c r="AW109" s="207">
        <f t="shared" si="215"/>
        <v>0</v>
      </c>
      <c r="AX109" s="210">
        <f t="shared" si="231"/>
        <v>0</v>
      </c>
      <c r="AY109" s="213">
        <v>0</v>
      </c>
      <c r="AZ109" s="209">
        <v>0</v>
      </c>
      <c r="BA109" s="207">
        <v>0</v>
      </c>
      <c r="BB109" s="212">
        <f t="shared" si="216"/>
        <v>0</v>
      </c>
      <c r="BC109" s="212">
        <f t="shared" si="217"/>
        <v>0</v>
      </c>
      <c r="BD109" s="207">
        <f t="shared" si="232"/>
        <v>0</v>
      </c>
      <c r="BE109" s="210">
        <f t="shared" si="233"/>
        <v>0</v>
      </c>
      <c r="BF109" s="206">
        <f t="shared" si="218"/>
        <v>0</v>
      </c>
      <c r="BG109" s="207">
        <f t="shared" si="219"/>
        <v>0</v>
      </c>
      <c r="BH109" s="160">
        <f t="shared" si="234"/>
        <v>0</v>
      </c>
      <c r="BI109" s="200"/>
      <c r="BJ109" s="462"/>
      <c r="BK109" s="462"/>
      <c r="BL109" s="462"/>
      <c r="BM109" s="463"/>
      <c r="BN109" s="463"/>
      <c r="BO109" s="463"/>
      <c r="BP109" s="462"/>
      <c r="BQ109" s="462"/>
      <c r="BR109" s="462"/>
      <c r="BS109" s="462"/>
      <c r="BT109" s="462"/>
      <c r="BU109" s="462"/>
      <c r="BV109" s="462"/>
      <c r="BW109" s="462"/>
      <c r="BX109" s="462"/>
      <c r="BY109" s="462"/>
      <c r="BZ109" s="462"/>
      <c r="CA109" s="462"/>
      <c r="CB109" s="464"/>
      <c r="CC109" s="462"/>
      <c r="CD109" s="462"/>
      <c r="CE109" s="464"/>
      <c r="CF109" s="464"/>
      <c r="CG109" s="464"/>
      <c r="CH109" s="464"/>
      <c r="CI109" s="462"/>
      <c r="CJ109" s="462"/>
      <c r="CK109" s="464"/>
      <c r="CL109" s="464"/>
      <c r="CM109" s="464"/>
      <c r="CN109" s="357"/>
      <c r="CO109" s="346"/>
      <c r="CP109" s="346"/>
      <c r="CQ109" s="171"/>
      <c r="CR109" s="171"/>
      <c r="CS109" s="171"/>
      <c r="CT109" s="171"/>
      <c r="CU109" s="171"/>
      <c r="CV109" s="171"/>
      <c r="CW109" s="171"/>
      <c r="CX109" s="171"/>
      <c r="CY109" s="171"/>
      <c r="CZ109" s="171"/>
      <c r="DA109" s="171"/>
      <c r="DB109" s="171"/>
      <c r="DC109" s="171"/>
      <c r="DD109" s="171"/>
      <c r="DE109" s="171"/>
      <c r="DF109" s="171"/>
      <c r="DG109" s="171"/>
      <c r="DH109" s="171"/>
      <c r="DI109" s="171"/>
      <c r="DJ109" s="171"/>
      <c r="DK109" s="171"/>
      <c r="DL109" s="171"/>
      <c r="DM109" s="171"/>
      <c r="DN109" s="171"/>
      <c r="DO109" s="171"/>
      <c r="DP109" s="171"/>
      <c r="DQ109" s="171"/>
      <c r="DR109" s="171"/>
      <c r="DS109" s="171"/>
      <c r="DT109" s="171"/>
      <c r="DU109" s="171"/>
      <c r="DV109" s="171"/>
      <c r="DW109" s="170"/>
      <c r="DX109" s="170"/>
      <c r="DY109" s="170"/>
      <c r="DZ109" s="170"/>
      <c r="EA109" s="170"/>
      <c r="EB109" s="170"/>
      <c r="EC109" s="170"/>
      <c r="ED109" s="170"/>
    </row>
    <row r="110" spans="1:134" s="147" customFormat="1" hidden="1" x14ac:dyDescent="0.25">
      <c r="A110" s="146"/>
      <c r="B110" s="454" t="s">
        <v>599</v>
      </c>
      <c r="C110" s="111"/>
      <c r="D110" s="205">
        <f t="shared" si="197"/>
        <v>0</v>
      </c>
      <c r="E110" s="91"/>
      <c r="F110" s="91"/>
      <c r="G110" s="91"/>
      <c r="H110" s="91"/>
      <c r="I110" s="91"/>
      <c r="J110" s="91"/>
      <c r="K110" s="91"/>
      <c r="L110" s="91"/>
      <c r="M110" s="91"/>
      <c r="N110" s="91"/>
      <c r="O110" s="91"/>
      <c r="P110" s="91"/>
      <c r="Q110" s="206">
        <f t="shared" si="220"/>
        <v>0</v>
      </c>
      <c r="R110" s="205">
        <f t="shared" si="221"/>
        <v>0</v>
      </c>
      <c r="S110" s="206">
        <f t="shared" si="222"/>
        <v>0</v>
      </c>
      <c r="T110" s="206">
        <f t="shared" si="223"/>
        <v>0</v>
      </c>
      <c r="U110" s="206">
        <f t="shared" si="198"/>
        <v>0</v>
      </c>
      <c r="V110" s="92"/>
      <c r="W110" s="207">
        <f t="shared" si="199"/>
        <v>0</v>
      </c>
      <c r="X110" s="208">
        <f t="shared" si="200"/>
        <v>0</v>
      </c>
      <c r="Y110" s="209">
        <f t="shared" si="201"/>
        <v>0</v>
      </c>
      <c r="Z110" s="207">
        <f t="shared" si="202"/>
        <v>0</v>
      </c>
      <c r="AA110" s="210">
        <f t="shared" si="224"/>
        <v>0</v>
      </c>
      <c r="AB110" s="210">
        <f t="shared" si="203"/>
        <v>0</v>
      </c>
      <c r="AC110" s="207">
        <f t="shared" si="225"/>
        <v>0</v>
      </c>
      <c r="AD110" s="210">
        <f t="shared" si="226"/>
        <v>0</v>
      </c>
      <c r="AE110" s="211">
        <f t="shared" si="204"/>
        <v>0</v>
      </c>
      <c r="AF110" s="209">
        <f t="shared" si="205"/>
        <v>0</v>
      </c>
      <c r="AG110" s="207">
        <f t="shared" si="206"/>
        <v>0</v>
      </c>
      <c r="AH110" s="212">
        <f t="shared" si="207"/>
        <v>0</v>
      </c>
      <c r="AI110" s="212">
        <f t="shared" si="208"/>
        <v>0</v>
      </c>
      <c r="AJ110" s="207">
        <f t="shared" si="227"/>
        <v>0</v>
      </c>
      <c r="AK110" s="210">
        <f t="shared" si="228"/>
        <v>0</v>
      </c>
      <c r="AL110" s="211">
        <f t="shared" si="209"/>
        <v>0</v>
      </c>
      <c r="AM110" s="209">
        <f t="shared" si="210"/>
        <v>0</v>
      </c>
      <c r="AN110" s="207">
        <f t="shared" si="211"/>
        <v>0</v>
      </c>
      <c r="AO110" s="212">
        <f t="shared" si="212"/>
        <v>0</v>
      </c>
      <c r="AP110" s="212">
        <f t="shared" si="213"/>
        <v>0</v>
      </c>
      <c r="AQ110" s="207">
        <f t="shared" si="229"/>
        <v>0</v>
      </c>
      <c r="AR110" s="210">
        <f t="shared" si="230"/>
        <v>0</v>
      </c>
      <c r="AS110" s="213">
        <v>0</v>
      </c>
      <c r="AT110" s="209">
        <v>0</v>
      </c>
      <c r="AU110" s="207">
        <v>0</v>
      </c>
      <c r="AV110" s="212">
        <f t="shared" si="214"/>
        <v>0</v>
      </c>
      <c r="AW110" s="207">
        <f t="shared" si="215"/>
        <v>0</v>
      </c>
      <c r="AX110" s="210">
        <f t="shared" si="231"/>
        <v>0</v>
      </c>
      <c r="AY110" s="213">
        <v>0</v>
      </c>
      <c r="AZ110" s="209">
        <v>0</v>
      </c>
      <c r="BA110" s="207">
        <v>0</v>
      </c>
      <c r="BB110" s="212">
        <f t="shared" si="216"/>
        <v>0</v>
      </c>
      <c r="BC110" s="212">
        <f t="shared" si="217"/>
        <v>0</v>
      </c>
      <c r="BD110" s="207">
        <f t="shared" si="232"/>
        <v>0</v>
      </c>
      <c r="BE110" s="210">
        <f t="shared" si="233"/>
        <v>0</v>
      </c>
      <c r="BF110" s="206">
        <f t="shared" si="218"/>
        <v>0</v>
      </c>
      <c r="BG110" s="207">
        <f t="shared" si="219"/>
        <v>0</v>
      </c>
      <c r="BH110" s="160">
        <f t="shared" si="234"/>
        <v>0</v>
      </c>
      <c r="BI110" s="200"/>
      <c r="BJ110" s="462"/>
      <c r="BK110" s="462"/>
      <c r="BL110" s="462"/>
      <c r="BM110" s="463"/>
      <c r="BN110" s="463"/>
      <c r="BO110" s="463"/>
      <c r="BP110" s="462"/>
      <c r="BQ110" s="462"/>
      <c r="BR110" s="462"/>
      <c r="BS110" s="462"/>
      <c r="BT110" s="462"/>
      <c r="BU110" s="462"/>
      <c r="BV110" s="462"/>
      <c r="BW110" s="462"/>
      <c r="BX110" s="462"/>
      <c r="BY110" s="462"/>
      <c r="BZ110" s="462"/>
      <c r="CA110" s="462"/>
      <c r="CB110" s="464"/>
      <c r="CC110" s="462"/>
      <c r="CD110" s="462"/>
      <c r="CE110" s="464"/>
      <c r="CF110" s="464"/>
      <c r="CG110" s="464"/>
      <c r="CH110" s="464"/>
      <c r="CI110" s="462"/>
      <c r="CJ110" s="462"/>
      <c r="CK110" s="464"/>
      <c r="CL110" s="464"/>
      <c r="CM110" s="464"/>
      <c r="CN110" s="357"/>
      <c r="CO110" s="346"/>
      <c r="CP110" s="346"/>
      <c r="CQ110" s="171"/>
      <c r="CR110" s="171"/>
      <c r="CS110" s="171"/>
      <c r="CT110" s="171"/>
      <c r="CU110" s="171"/>
      <c r="CV110" s="171"/>
      <c r="CW110" s="171"/>
      <c r="CX110" s="171"/>
      <c r="CY110" s="171"/>
      <c r="CZ110" s="171"/>
      <c r="DA110" s="171"/>
      <c r="DB110" s="171"/>
      <c r="DC110" s="171"/>
      <c r="DD110" s="171"/>
      <c r="DE110" s="171"/>
      <c r="DF110" s="171"/>
      <c r="DG110" s="171"/>
      <c r="DH110" s="171"/>
      <c r="DI110" s="171"/>
      <c r="DJ110" s="171"/>
      <c r="DK110" s="171"/>
      <c r="DL110" s="171"/>
      <c r="DM110" s="171"/>
      <c r="DN110" s="171"/>
      <c r="DO110" s="171"/>
      <c r="DP110" s="171"/>
      <c r="DQ110" s="171"/>
      <c r="DR110" s="171"/>
      <c r="DS110" s="171"/>
      <c r="DT110" s="171"/>
      <c r="DU110" s="171"/>
      <c r="DV110" s="171"/>
      <c r="DW110" s="170"/>
      <c r="DX110" s="170"/>
      <c r="DY110" s="170"/>
      <c r="DZ110" s="170"/>
      <c r="EA110" s="170"/>
      <c r="EB110" s="170"/>
      <c r="EC110" s="170"/>
      <c r="ED110" s="170"/>
    </row>
    <row r="111" spans="1:134" s="147" customFormat="1" hidden="1" x14ac:dyDescent="0.25">
      <c r="A111" s="146"/>
      <c r="B111" s="454"/>
      <c r="C111" s="111"/>
      <c r="D111" s="205">
        <f t="shared" si="197"/>
        <v>0</v>
      </c>
      <c r="E111" s="91"/>
      <c r="F111" s="91"/>
      <c r="G111" s="91"/>
      <c r="H111" s="91"/>
      <c r="I111" s="91"/>
      <c r="J111" s="91"/>
      <c r="K111" s="91"/>
      <c r="L111" s="91"/>
      <c r="M111" s="91"/>
      <c r="N111" s="91"/>
      <c r="O111" s="91"/>
      <c r="P111" s="91"/>
      <c r="Q111" s="206">
        <f t="shared" si="220"/>
        <v>0</v>
      </c>
      <c r="R111" s="205">
        <f t="shared" si="221"/>
        <v>0</v>
      </c>
      <c r="S111" s="206">
        <f t="shared" si="222"/>
        <v>0</v>
      </c>
      <c r="T111" s="206">
        <f t="shared" si="223"/>
        <v>0</v>
      </c>
      <c r="U111" s="206">
        <f t="shared" si="198"/>
        <v>0</v>
      </c>
      <c r="V111" s="92"/>
      <c r="W111" s="207">
        <f t="shared" si="199"/>
        <v>0</v>
      </c>
      <c r="X111" s="208">
        <f t="shared" si="200"/>
        <v>0</v>
      </c>
      <c r="Y111" s="209">
        <f t="shared" si="201"/>
        <v>0</v>
      </c>
      <c r="Z111" s="207">
        <f t="shared" si="202"/>
        <v>0</v>
      </c>
      <c r="AA111" s="210">
        <f t="shared" si="224"/>
        <v>0</v>
      </c>
      <c r="AB111" s="210">
        <f t="shared" si="203"/>
        <v>0</v>
      </c>
      <c r="AC111" s="207">
        <f t="shared" si="225"/>
        <v>0</v>
      </c>
      <c r="AD111" s="210">
        <f t="shared" si="226"/>
        <v>0</v>
      </c>
      <c r="AE111" s="211">
        <f t="shared" si="204"/>
        <v>0</v>
      </c>
      <c r="AF111" s="209">
        <f t="shared" si="205"/>
        <v>0</v>
      </c>
      <c r="AG111" s="207">
        <f t="shared" si="206"/>
        <v>0</v>
      </c>
      <c r="AH111" s="212">
        <f t="shared" si="207"/>
        <v>0</v>
      </c>
      <c r="AI111" s="212">
        <f t="shared" si="208"/>
        <v>0</v>
      </c>
      <c r="AJ111" s="207">
        <f t="shared" si="227"/>
        <v>0</v>
      </c>
      <c r="AK111" s="210">
        <f t="shared" si="228"/>
        <v>0</v>
      </c>
      <c r="AL111" s="211">
        <f t="shared" si="209"/>
        <v>0</v>
      </c>
      <c r="AM111" s="209">
        <f t="shared" si="210"/>
        <v>0</v>
      </c>
      <c r="AN111" s="207">
        <f t="shared" si="211"/>
        <v>0</v>
      </c>
      <c r="AO111" s="212">
        <f t="shared" si="212"/>
        <v>0</v>
      </c>
      <c r="AP111" s="212">
        <f t="shared" si="213"/>
        <v>0</v>
      </c>
      <c r="AQ111" s="207">
        <f t="shared" si="229"/>
        <v>0</v>
      </c>
      <c r="AR111" s="210">
        <f t="shared" si="230"/>
        <v>0</v>
      </c>
      <c r="AS111" s="213">
        <v>0</v>
      </c>
      <c r="AT111" s="209">
        <v>0</v>
      </c>
      <c r="AU111" s="207">
        <v>0</v>
      </c>
      <c r="AV111" s="212">
        <f t="shared" si="214"/>
        <v>0</v>
      </c>
      <c r="AW111" s="207">
        <f t="shared" si="215"/>
        <v>0</v>
      </c>
      <c r="AX111" s="210">
        <f t="shared" si="231"/>
        <v>0</v>
      </c>
      <c r="AY111" s="213">
        <v>0</v>
      </c>
      <c r="AZ111" s="209">
        <v>0</v>
      </c>
      <c r="BA111" s="207">
        <v>0</v>
      </c>
      <c r="BB111" s="212">
        <f t="shared" si="216"/>
        <v>0</v>
      </c>
      <c r="BC111" s="212">
        <f t="shared" si="217"/>
        <v>0</v>
      </c>
      <c r="BD111" s="207">
        <f t="shared" si="232"/>
        <v>0</v>
      </c>
      <c r="BE111" s="210">
        <f t="shared" si="233"/>
        <v>0</v>
      </c>
      <c r="BF111" s="206">
        <f t="shared" si="218"/>
        <v>0</v>
      </c>
      <c r="BG111" s="207">
        <f t="shared" si="219"/>
        <v>0</v>
      </c>
      <c r="BH111" s="160">
        <f t="shared" si="234"/>
        <v>0</v>
      </c>
      <c r="BI111" s="200"/>
      <c r="BJ111" s="462"/>
      <c r="BK111" s="462"/>
      <c r="BL111" s="462"/>
      <c r="BM111" s="463"/>
      <c r="BN111" s="463"/>
      <c r="BO111" s="463"/>
      <c r="BP111" s="462"/>
      <c r="BQ111" s="462"/>
      <c r="BR111" s="462"/>
      <c r="BS111" s="462"/>
      <c r="BT111" s="462"/>
      <c r="BU111" s="462"/>
      <c r="BV111" s="462"/>
      <c r="BW111" s="462"/>
      <c r="BX111" s="462"/>
      <c r="BY111" s="462"/>
      <c r="BZ111" s="462"/>
      <c r="CA111" s="462"/>
      <c r="CB111" s="464"/>
      <c r="CC111" s="462"/>
      <c r="CD111" s="462"/>
      <c r="CE111" s="464"/>
      <c r="CF111" s="464"/>
      <c r="CG111" s="464"/>
      <c r="CH111" s="464"/>
      <c r="CI111" s="462"/>
      <c r="CJ111" s="462"/>
      <c r="CK111" s="464"/>
      <c r="CL111" s="464"/>
      <c r="CM111" s="464"/>
      <c r="CN111" s="357"/>
      <c r="CO111" s="346"/>
      <c r="CP111" s="346"/>
      <c r="CQ111" s="171"/>
      <c r="CR111" s="171"/>
      <c r="CS111" s="171"/>
      <c r="CT111" s="171"/>
      <c r="CU111" s="171"/>
      <c r="CV111" s="171"/>
      <c r="CW111" s="171"/>
      <c r="CX111" s="171"/>
      <c r="CY111" s="171"/>
      <c r="CZ111" s="171"/>
      <c r="DA111" s="171"/>
      <c r="DB111" s="171"/>
      <c r="DC111" s="171"/>
      <c r="DD111" s="171"/>
      <c r="DE111" s="171"/>
      <c r="DF111" s="171"/>
      <c r="DG111" s="171"/>
      <c r="DH111" s="171"/>
      <c r="DI111" s="171"/>
      <c r="DJ111" s="171"/>
      <c r="DK111" s="171"/>
      <c r="DL111" s="171"/>
      <c r="DM111" s="171"/>
      <c r="DN111" s="171"/>
      <c r="DO111" s="171"/>
      <c r="DP111" s="171"/>
      <c r="DQ111" s="171"/>
      <c r="DR111" s="171"/>
      <c r="DS111" s="171"/>
      <c r="DT111" s="171"/>
      <c r="DU111" s="171"/>
      <c r="DV111" s="171"/>
      <c r="DW111" s="170"/>
      <c r="DX111" s="170"/>
      <c r="DY111" s="170"/>
      <c r="DZ111" s="170"/>
      <c r="EA111" s="170"/>
      <c r="EB111" s="170"/>
      <c r="EC111" s="170"/>
      <c r="ED111" s="170"/>
    </row>
    <row r="112" spans="1:134" s="147" customFormat="1" hidden="1" x14ac:dyDescent="0.25">
      <c r="A112" s="146"/>
      <c r="B112" s="455"/>
      <c r="C112" s="111"/>
      <c r="D112" s="205">
        <f t="shared" si="197"/>
        <v>0</v>
      </c>
      <c r="E112" s="91"/>
      <c r="F112" s="91"/>
      <c r="G112" s="91"/>
      <c r="H112" s="91"/>
      <c r="I112" s="91"/>
      <c r="J112" s="91"/>
      <c r="K112" s="91"/>
      <c r="L112" s="91"/>
      <c r="M112" s="91"/>
      <c r="N112" s="91"/>
      <c r="O112" s="91"/>
      <c r="P112" s="91"/>
      <c r="Q112" s="206">
        <f t="shared" si="220"/>
        <v>0</v>
      </c>
      <c r="R112" s="205">
        <f t="shared" si="221"/>
        <v>0</v>
      </c>
      <c r="S112" s="206">
        <f t="shared" si="222"/>
        <v>0</v>
      </c>
      <c r="T112" s="206">
        <f t="shared" si="223"/>
        <v>0</v>
      </c>
      <c r="U112" s="206">
        <f t="shared" si="198"/>
        <v>0</v>
      </c>
      <c r="V112" s="92"/>
      <c r="W112" s="207">
        <f t="shared" si="199"/>
        <v>0</v>
      </c>
      <c r="X112" s="208">
        <f t="shared" si="200"/>
        <v>0</v>
      </c>
      <c r="Y112" s="209">
        <f t="shared" si="201"/>
        <v>0</v>
      </c>
      <c r="Z112" s="207">
        <f t="shared" si="202"/>
        <v>0</v>
      </c>
      <c r="AA112" s="210">
        <f t="shared" si="224"/>
        <v>0</v>
      </c>
      <c r="AB112" s="210">
        <f t="shared" si="203"/>
        <v>0</v>
      </c>
      <c r="AC112" s="207">
        <f t="shared" si="225"/>
        <v>0</v>
      </c>
      <c r="AD112" s="210">
        <f t="shared" si="226"/>
        <v>0</v>
      </c>
      <c r="AE112" s="211">
        <f t="shared" si="204"/>
        <v>0</v>
      </c>
      <c r="AF112" s="209">
        <f t="shared" si="205"/>
        <v>0</v>
      </c>
      <c r="AG112" s="207">
        <f t="shared" si="206"/>
        <v>0</v>
      </c>
      <c r="AH112" s="212">
        <f t="shared" si="207"/>
        <v>0</v>
      </c>
      <c r="AI112" s="212">
        <f t="shared" si="208"/>
        <v>0</v>
      </c>
      <c r="AJ112" s="207">
        <f t="shared" si="227"/>
        <v>0</v>
      </c>
      <c r="AK112" s="210">
        <f t="shared" si="228"/>
        <v>0</v>
      </c>
      <c r="AL112" s="211">
        <f t="shared" si="209"/>
        <v>0</v>
      </c>
      <c r="AM112" s="209">
        <f t="shared" si="210"/>
        <v>0</v>
      </c>
      <c r="AN112" s="207">
        <f t="shared" si="211"/>
        <v>0</v>
      </c>
      <c r="AO112" s="212">
        <f t="shared" si="212"/>
        <v>0</v>
      </c>
      <c r="AP112" s="212">
        <f t="shared" si="213"/>
        <v>0</v>
      </c>
      <c r="AQ112" s="207">
        <f t="shared" si="229"/>
        <v>0</v>
      </c>
      <c r="AR112" s="210">
        <f t="shared" si="230"/>
        <v>0</v>
      </c>
      <c r="AS112" s="213">
        <v>0</v>
      </c>
      <c r="AT112" s="209">
        <v>0</v>
      </c>
      <c r="AU112" s="207">
        <v>0</v>
      </c>
      <c r="AV112" s="212">
        <f t="shared" si="214"/>
        <v>0</v>
      </c>
      <c r="AW112" s="207">
        <f>IF(AV112&gt;0,SQRT(($W112*$W112)+(AU112*AU112)+($V112*$V112)),0)</f>
        <v>0</v>
      </c>
      <c r="AX112" s="210">
        <f t="shared" si="231"/>
        <v>0</v>
      </c>
      <c r="AY112" s="213">
        <v>0</v>
      </c>
      <c r="AZ112" s="209">
        <v>0</v>
      </c>
      <c r="BA112" s="207">
        <v>0</v>
      </c>
      <c r="BB112" s="212">
        <f t="shared" si="216"/>
        <v>0</v>
      </c>
      <c r="BC112" s="212">
        <f t="shared" si="217"/>
        <v>0</v>
      </c>
      <c r="BD112" s="207">
        <f t="shared" si="232"/>
        <v>0</v>
      </c>
      <c r="BE112" s="210">
        <f t="shared" si="233"/>
        <v>0</v>
      </c>
      <c r="BF112" s="206">
        <f t="shared" si="218"/>
        <v>0</v>
      </c>
      <c r="BG112" s="207">
        <f t="shared" si="219"/>
        <v>0</v>
      </c>
      <c r="BH112" s="160">
        <f t="shared" si="234"/>
        <v>0</v>
      </c>
      <c r="BI112" s="200"/>
      <c r="BJ112" s="462"/>
      <c r="BK112" s="462"/>
      <c r="BL112" s="462"/>
      <c r="BM112" s="463"/>
      <c r="BN112" s="463"/>
      <c r="BO112" s="463"/>
      <c r="BP112" s="462"/>
      <c r="BQ112" s="462"/>
      <c r="BR112" s="462"/>
      <c r="BS112" s="462"/>
      <c r="BT112" s="462"/>
      <c r="BU112" s="462"/>
      <c r="BV112" s="462"/>
      <c r="BW112" s="462"/>
      <c r="BX112" s="462"/>
      <c r="BY112" s="462"/>
      <c r="BZ112" s="462"/>
      <c r="CA112" s="462"/>
      <c r="CB112" s="464"/>
      <c r="CC112" s="462"/>
      <c r="CD112" s="462"/>
      <c r="CE112" s="464"/>
      <c r="CF112" s="464"/>
      <c r="CG112" s="464"/>
      <c r="CH112" s="464"/>
      <c r="CI112" s="462"/>
      <c r="CJ112" s="462"/>
      <c r="CK112" s="464"/>
      <c r="CL112" s="464"/>
      <c r="CM112" s="464"/>
      <c r="CN112" s="357"/>
      <c r="CO112" s="346"/>
      <c r="CP112" s="346"/>
      <c r="CQ112" s="171"/>
      <c r="CR112" s="171"/>
      <c r="CS112" s="171"/>
      <c r="CT112" s="171"/>
      <c r="CU112" s="171"/>
      <c r="CV112" s="171"/>
      <c r="CW112" s="171"/>
      <c r="CX112" s="171"/>
      <c r="CY112" s="171"/>
      <c r="CZ112" s="171"/>
      <c r="DA112" s="171"/>
      <c r="DB112" s="171"/>
      <c r="DC112" s="171"/>
      <c r="DD112" s="171"/>
      <c r="DE112" s="171"/>
      <c r="DF112" s="171"/>
      <c r="DG112" s="171"/>
      <c r="DH112" s="171"/>
      <c r="DI112" s="171"/>
      <c r="DJ112" s="171"/>
      <c r="DK112" s="171"/>
      <c r="DL112" s="171"/>
      <c r="DM112" s="171"/>
      <c r="DN112" s="171"/>
      <c r="DO112" s="171"/>
      <c r="DP112" s="171"/>
      <c r="DQ112" s="171"/>
      <c r="DR112" s="171"/>
      <c r="DS112" s="171"/>
      <c r="DT112" s="171"/>
      <c r="DU112" s="171"/>
      <c r="DV112" s="171"/>
      <c r="DW112" s="170"/>
      <c r="DX112" s="170"/>
      <c r="DY112" s="170"/>
      <c r="DZ112" s="170"/>
      <c r="EA112" s="170"/>
      <c r="EB112" s="170"/>
      <c r="EC112" s="170"/>
      <c r="ED112" s="170"/>
    </row>
    <row r="113" spans="1:134" s="147" customFormat="1" hidden="1" x14ac:dyDescent="0.25">
      <c r="A113" s="146"/>
      <c r="B113" s="215" t="s">
        <v>129</v>
      </c>
      <c r="C113" s="216"/>
      <c r="D113" s="216"/>
      <c r="E113" s="216"/>
      <c r="F113" s="216"/>
      <c r="G113" s="216"/>
      <c r="H113" s="216"/>
      <c r="I113" s="216"/>
      <c r="J113" s="216"/>
      <c r="K113" s="216"/>
      <c r="L113" s="216"/>
      <c r="M113" s="216"/>
      <c r="N113" s="216"/>
      <c r="O113" s="216"/>
      <c r="P113" s="216"/>
      <c r="Q113" s="216"/>
      <c r="R113" s="216"/>
      <c r="S113" s="216"/>
      <c r="T113" s="216"/>
      <c r="U113" s="216"/>
      <c r="V113" s="216"/>
      <c r="W113" s="216"/>
      <c r="X113" s="217"/>
      <c r="Y113" s="216"/>
      <c r="Z113" s="216"/>
      <c r="AA113" s="218"/>
      <c r="AB113" s="219">
        <f>SUM(AB105:AB112)</f>
        <v>0</v>
      </c>
      <c r="AC113" s="220">
        <f>IF(AB113&gt;0,SQRT(SUM(AD105:AD112))/AB113,0)</f>
        <v>0</v>
      </c>
      <c r="AD113" s="219">
        <f t="shared" si="226"/>
        <v>0</v>
      </c>
      <c r="AE113" s="221"/>
      <c r="AF113" s="216"/>
      <c r="AG113" s="216"/>
      <c r="AH113" s="222"/>
      <c r="AI113" s="219">
        <f>SUM(AI105:AI112)</f>
        <v>0</v>
      </c>
      <c r="AJ113" s="220">
        <f>IF(AI113&gt;0,SQRT(SUM(AK105:AK112))/AI113,0)</f>
        <v>0</v>
      </c>
      <c r="AK113" s="219">
        <f t="shared" si="228"/>
        <v>0</v>
      </c>
      <c r="AL113" s="216"/>
      <c r="AM113" s="216"/>
      <c r="AN113" s="216"/>
      <c r="AO113" s="216"/>
      <c r="AP113" s="219">
        <f>SUM(AP105:AP112)</f>
        <v>0</v>
      </c>
      <c r="AQ113" s="220">
        <f>IF(AP113&gt;0,SQRT(SUM(AR105:AR112))/AP113,0)</f>
        <v>0</v>
      </c>
      <c r="AR113" s="219">
        <f t="shared" si="230"/>
        <v>0</v>
      </c>
      <c r="AS113" s="216"/>
      <c r="AT113" s="216"/>
      <c r="AU113" s="216"/>
      <c r="AV113" s="219">
        <f>SUM(AV105:AV112)</f>
        <v>0</v>
      </c>
      <c r="AW113" s="220">
        <f>IF(AV113&gt;0,SQRT(SUM(AX105:AX112))/AV113,0)</f>
        <v>0</v>
      </c>
      <c r="AX113" s="219">
        <f t="shared" si="231"/>
        <v>0</v>
      </c>
      <c r="AY113" s="216"/>
      <c r="AZ113" s="216"/>
      <c r="BA113" s="223"/>
      <c r="BB113" s="224"/>
      <c r="BC113" s="219">
        <f>SUM(BC105:BC112)</f>
        <v>0</v>
      </c>
      <c r="BD113" s="220">
        <f>IF(BC113&gt;0,SQRT(SUM(BE105:BE112))/BC113,0)</f>
        <v>0</v>
      </c>
      <c r="BE113" s="219">
        <f t="shared" si="233"/>
        <v>0</v>
      </c>
      <c r="BF113" s="219">
        <f>SUM(BF105:BF112)</f>
        <v>0</v>
      </c>
      <c r="BG113" s="220">
        <f>IF(BF113&gt;0,SQRT(SUM(BH105:BH112))/BF113,0)</f>
        <v>0</v>
      </c>
      <c r="BH113" s="160">
        <f t="shared" si="234"/>
        <v>0</v>
      </c>
      <c r="BI113" s="200"/>
      <c r="BJ113" s="462"/>
      <c r="BK113" s="462"/>
      <c r="BL113" s="462"/>
      <c r="BM113" s="463"/>
      <c r="BN113" s="463"/>
      <c r="BO113" s="463"/>
      <c r="BP113" s="462"/>
      <c r="BQ113" s="462"/>
      <c r="BR113" s="462"/>
      <c r="BS113" s="462"/>
      <c r="BT113" s="462"/>
      <c r="BU113" s="462"/>
      <c r="BV113" s="462"/>
      <c r="BW113" s="462"/>
      <c r="BX113" s="462"/>
      <c r="BY113" s="462"/>
      <c r="BZ113" s="462"/>
      <c r="CA113" s="462"/>
      <c r="CB113" s="464"/>
      <c r="CC113" s="462"/>
      <c r="CD113" s="462"/>
      <c r="CE113" s="464"/>
      <c r="CF113" s="464"/>
      <c r="CG113" s="464"/>
      <c r="CH113" s="464"/>
      <c r="CI113" s="462"/>
      <c r="CJ113" s="462"/>
      <c r="CK113" s="464"/>
      <c r="CL113" s="464"/>
      <c r="CM113" s="464"/>
      <c r="CN113" s="357"/>
      <c r="CO113" s="346"/>
      <c r="CP113" s="346"/>
      <c r="CQ113" s="171"/>
      <c r="CR113" s="171"/>
      <c r="CS113" s="171"/>
      <c r="CT113" s="171"/>
      <c r="CU113" s="171"/>
      <c r="CV113" s="171"/>
      <c r="CW113" s="171"/>
      <c r="CX113" s="171"/>
      <c r="CY113" s="171"/>
      <c r="CZ113" s="171"/>
      <c r="DA113" s="171"/>
      <c r="DB113" s="171"/>
      <c r="DC113" s="171"/>
      <c r="DD113" s="171"/>
      <c r="DE113" s="171"/>
      <c r="DF113" s="171"/>
      <c r="DG113" s="171"/>
      <c r="DH113" s="171"/>
      <c r="DI113" s="171"/>
      <c r="DJ113" s="171"/>
      <c r="DK113" s="171"/>
      <c r="DL113" s="171"/>
      <c r="DM113" s="171"/>
      <c r="DN113" s="171"/>
      <c r="DO113" s="171"/>
      <c r="DP113" s="171"/>
      <c r="DQ113" s="171"/>
      <c r="DR113" s="171"/>
      <c r="DS113" s="171"/>
      <c r="DT113" s="171"/>
      <c r="DU113" s="171"/>
      <c r="DV113" s="171"/>
      <c r="DW113" s="170"/>
      <c r="DX113" s="170"/>
      <c r="DY113" s="170"/>
      <c r="DZ113" s="170"/>
      <c r="EA113" s="170"/>
      <c r="EB113" s="170"/>
      <c r="EC113" s="170"/>
      <c r="ED113" s="170"/>
    </row>
    <row r="114" spans="1:134" s="147" customFormat="1" ht="15" hidden="1" customHeight="1" x14ac:dyDescent="0.25">
      <c r="A114" s="146"/>
      <c r="B114" s="453" t="s">
        <v>597</v>
      </c>
      <c r="C114" s="111"/>
      <c r="D114" s="205">
        <f t="shared" ref="D114:D121" si="235">VLOOKUP($C114,$BI$195:$CM$609,2,FALSE)</f>
        <v>0</v>
      </c>
      <c r="E114" s="91"/>
      <c r="F114" s="91"/>
      <c r="G114" s="91"/>
      <c r="H114" s="91"/>
      <c r="I114" s="91"/>
      <c r="J114" s="91"/>
      <c r="K114" s="91"/>
      <c r="L114" s="91"/>
      <c r="M114" s="91"/>
      <c r="N114" s="91"/>
      <c r="O114" s="91"/>
      <c r="P114" s="91"/>
      <c r="Q114" s="206">
        <f t="shared" ref="Q114:Q121" si="236">SUM(E114:P114)</f>
        <v>0</v>
      </c>
      <c r="R114" s="205">
        <f t="shared" ref="R114:R121" si="237">COUNT(E114:P114)</f>
        <v>0</v>
      </c>
      <c r="S114" s="206">
        <f t="shared" ref="S114:S121" si="238">IF(R114&gt;1,AVERAGE(E114:P114),0)</f>
        <v>0</v>
      </c>
      <c r="T114" s="206">
        <f t="shared" ref="T114:T121" si="239">IF(R114&gt;1,STDEV(E114:P114),0)</f>
        <v>0</v>
      </c>
      <c r="U114" s="206">
        <f t="shared" ref="U114:U121" si="240">IF(R114&gt;1,VLOOKUP($R114,$BI$529:$BJ$541,2,FALSE),0)</f>
        <v>0</v>
      </c>
      <c r="V114" s="92"/>
      <c r="W114" s="207">
        <f t="shared" ref="W114:W121" si="241">IF(R114&gt;1,1-((S114-((T114*U114)/(SQRT(R114))))/S114),VLOOKUP($C114,$BI$195:$CP$609,34,FALSE))</f>
        <v>0</v>
      </c>
      <c r="X114" s="208">
        <v>0</v>
      </c>
      <c r="Y114" s="209">
        <v>0</v>
      </c>
      <c r="Z114" s="207">
        <v>0</v>
      </c>
      <c r="AA114" s="210">
        <f t="shared" ref="AA114:AA121" si="242">($Q114*X114)/1000</f>
        <v>0</v>
      </c>
      <c r="AB114" s="210">
        <f t="shared" ref="AB114:AB121" si="243">AA114*$BJ$547</f>
        <v>0</v>
      </c>
      <c r="AC114" s="207">
        <f t="shared" ref="AC114:AC121" si="244">IF(AA114&gt;0,SQRT(($W114*$W114)+(Z114*Z114)+($V114*$V114)),0)</f>
        <v>0</v>
      </c>
      <c r="AD114" s="210">
        <f t="shared" si="226"/>
        <v>0</v>
      </c>
      <c r="AE114" s="211">
        <v>0</v>
      </c>
      <c r="AF114" s="209">
        <v>0</v>
      </c>
      <c r="AG114" s="207">
        <v>0</v>
      </c>
      <c r="AH114" s="212">
        <f t="shared" ref="AH114:AH121" si="245">($Q114*AE114)/1000</f>
        <v>0</v>
      </c>
      <c r="AI114" s="212">
        <f t="shared" ref="AI114:AI121" si="246">AH114*$BJ$548</f>
        <v>0</v>
      </c>
      <c r="AJ114" s="207">
        <f t="shared" ref="AJ114:AJ121" si="247">IF(AH114&gt;0,SQRT(($W114*$W114)+(AG114*AG114)+($V114*$V114)),0)</f>
        <v>0</v>
      </c>
      <c r="AK114" s="210">
        <f t="shared" si="228"/>
        <v>0</v>
      </c>
      <c r="AL114" s="211">
        <v>0</v>
      </c>
      <c r="AM114" s="209">
        <f>VLOOKUP($C114,$BI$195:$CM$609,28,FALSE)</f>
        <v>0</v>
      </c>
      <c r="AN114" s="207">
        <v>0</v>
      </c>
      <c r="AO114" s="212">
        <f>(W114*AL114)/1000</f>
        <v>0</v>
      </c>
      <c r="AP114" s="212">
        <f t="shared" ref="AP114:AP121" si="248">AO114*$BJ$549</f>
        <v>0</v>
      </c>
      <c r="AQ114" s="207">
        <f t="shared" ref="AQ114:AQ121" si="249">IF(AO114&gt;0,SQRT(($W114*$W114)+(AN114*AN114)+($V114*$V114)),0)</f>
        <v>0</v>
      </c>
      <c r="AR114" s="210">
        <f t="shared" si="230"/>
        <v>0</v>
      </c>
      <c r="AS114" s="213">
        <f>VLOOKUP($C114,$BI$195:$CM$609,3,FALSE)</f>
        <v>0</v>
      </c>
      <c r="AT114" s="209">
        <f>VLOOKUP($C114,$BI$195:$CM$609,4,FALSE)</f>
        <v>0</v>
      </c>
      <c r="AU114" s="207">
        <f>IF($Q114&gt;0,VLOOKUP($C114,$BI$195:$CM$609,6,FALSE),0)</f>
        <v>0</v>
      </c>
      <c r="AV114" s="212">
        <f t="shared" ref="AV114:AV121" si="250">($Q114*AS114)/1000</f>
        <v>0</v>
      </c>
      <c r="AW114" s="207">
        <f t="shared" ref="AW114:AW121" si="251">IF(AV114&gt;0,SQRT(($W114*$W114)+(AU114*AU114)+($V114*$V114)),0)</f>
        <v>0</v>
      </c>
      <c r="AX114" s="210">
        <f>(AV114*AW114)^2</f>
        <v>0</v>
      </c>
      <c r="AY114" s="213">
        <v>0</v>
      </c>
      <c r="AZ114" s="209">
        <v>0</v>
      </c>
      <c r="BA114" s="207">
        <v>0</v>
      </c>
      <c r="BB114" s="212">
        <f>($Q114*AY114)/1000</f>
        <v>0</v>
      </c>
      <c r="BC114" s="212">
        <f t="shared" ref="BC114:BC121" si="252">BB114*$BJ$550</f>
        <v>0</v>
      </c>
      <c r="BD114" s="207">
        <v>0</v>
      </c>
      <c r="BE114" s="210">
        <f t="shared" si="233"/>
        <v>0</v>
      </c>
      <c r="BF114" s="206">
        <f t="shared" ref="BF114:BF121" si="253">AB114+AI114+AP114+AV114+BC114</f>
        <v>0</v>
      </c>
      <c r="BG114" s="207">
        <f t="shared" ref="BG114:BG121" si="254">IF(BF114&gt;0,SQRT(AD114+AK114+AR114+AX114+BE114)/BF114,0)</f>
        <v>0</v>
      </c>
      <c r="BH114" s="160">
        <f t="shared" si="234"/>
        <v>0</v>
      </c>
      <c r="BI114" s="200"/>
      <c r="BJ114" s="462"/>
      <c r="BK114" s="462"/>
      <c r="BL114" s="462"/>
      <c r="BM114" s="463"/>
      <c r="BN114" s="463"/>
      <c r="BO114" s="463"/>
      <c r="BP114" s="462"/>
      <c r="BQ114" s="462"/>
      <c r="BR114" s="462"/>
      <c r="BS114" s="462"/>
      <c r="BT114" s="462"/>
      <c r="BU114" s="462"/>
      <c r="BV114" s="462"/>
      <c r="BW114" s="462"/>
      <c r="BX114" s="462"/>
      <c r="BY114" s="462"/>
      <c r="BZ114" s="462"/>
      <c r="CA114" s="462"/>
      <c r="CB114" s="464"/>
      <c r="CC114" s="462"/>
      <c r="CD114" s="462"/>
      <c r="CE114" s="464"/>
      <c r="CF114" s="464"/>
      <c r="CG114" s="464"/>
      <c r="CH114" s="464"/>
      <c r="CI114" s="462"/>
      <c r="CJ114" s="462"/>
      <c r="CK114" s="464"/>
      <c r="CL114" s="464"/>
      <c r="CM114" s="464"/>
      <c r="CN114" s="357"/>
      <c r="CO114" s="346"/>
      <c r="CP114" s="346"/>
      <c r="CQ114" s="171"/>
      <c r="CR114" s="171"/>
      <c r="CS114" s="171"/>
      <c r="CT114" s="171"/>
      <c r="CU114" s="171"/>
      <c r="CV114" s="171"/>
      <c r="CW114" s="171"/>
      <c r="CX114" s="171"/>
      <c r="CY114" s="171"/>
      <c r="CZ114" s="171"/>
      <c r="DA114" s="171"/>
      <c r="DB114" s="171"/>
      <c r="DC114" s="171"/>
      <c r="DD114" s="171"/>
      <c r="DE114" s="171"/>
      <c r="DF114" s="171"/>
      <c r="DG114" s="171"/>
      <c r="DH114" s="171"/>
      <c r="DI114" s="171"/>
      <c r="DJ114" s="171"/>
      <c r="DK114" s="171"/>
      <c r="DL114" s="171"/>
      <c r="DM114" s="171"/>
      <c r="DN114" s="171"/>
      <c r="DO114" s="171"/>
      <c r="DP114" s="171"/>
      <c r="DQ114" s="171"/>
      <c r="DR114" s="171"/>
      <c r="DS114" s="171"/>
      <c r="DT114" s="171"/>
      <c r="DU114" s="171"/>
      <c r="DV114" s="171"/>
      <c r="DW114" s="170"/>
      <c r="DX114" s="170"/>
      <c r="DY114" s="170"/>
      <c r="DZ114" s="170"/>
      <c r="EA114" s="170"/>
      <c r="EB114" s="170"/>
      <c r="EC114" s="170"/>
      <c r="ED114" s="170"/>
    </row>
    <row r="115" spans="1:134" s="147" customFormat="1" hidden="1" x14ac:dyDescent="0.25">
      <c r="A115" s="146"/>
      <c r="B115" s="456" t="s">
        <v>599</v>
      </c>
      <c r="C115" s="111"/>
      <c r="D115" s="205">
        <f t="shared" si="235"/>
        <v>0</v>
      </c>
      <c r="E115" s="91"/>
      <c r="F115" s="91"/>
      <c r="G115" s="91"/>
      <c r="H115" s="91"/>
      <c r="I115" s="91"/>
      <c r="J115" s="91"/>
      <c r="K115" s="91"/>
      <c r="L115" s="91"/>
      <c r="M115" s="91"/>
      <c r="N115" s="91"/>
      <c r="O115" s="91"/>
      <c r="P115" s="91"/>
      <c r="Q115" s="206">
        <f t="shared" si="236"/>
        <v>0</v>
      </c>
      <c r="R115" s="205">
        <f t="shared" si="237"/>
        <v>0</v>
      </c>
      <c r="S115" s="206">
        <f t="shared" si="238"/>
        <v>0</v>
      </c>
      <c r="T115" s="206">
        <f t="shared" si="239"/>
        <v>0</v>
      </c>
      <c r="U115" s="206">
        <f t="shared" si="240"/>
        <v>0</v>
      </c>
      <c r="V115" s="92"/>
      <c r="W115" s="207">
        <f t="shared" si="241"/>
        <v>0</v>
      </c>
      <c r="X115" s="208">
        <v>0</v>
      </c>
      <c r="Y115" s="209">
        <v>0</v>
      </c>
      <c r="Z115" s="207">
        <v>0</v>
      </c>
      <c r="AA115" s="210">
        <f t="shared" si="242"/>
        <v>0</v>
      </c>
      <c r="AB115" s="210">
        <f t="shared" si="243"/>
        <v>0</v>
      </c>
      <c r="AC115" s="207">
        <f t="shared" si="244"/>
        <v>0</v>
      </c>
      <c r="AD115" s="210">
        <f t="shared" si="226"/>
        <v>0</v>
      </c>
      <c r="AE115" s="211">
        <v>0</v>
      </c>
      <c r="AF115" s="209">
        <v>0</v>
      </c>
      <c r="AG115" s="207">
        <v>0</v>
      </c>
      <c r="AH115" s="212">
        <f t="shared" si="245"/>
        <v>0</v>
      </c>
      <c r="AI115" s="212">
        <f t="shared" si="246"/>
        <v>0</v>
      </c>
      <c r="AJ115" s="207">
        <f t="shared" si="247"/>
        <v>0</v>
      </c>
      <c r="AK115" s="210">
        <f t="shared" si="228"/>
        <v>0</v>
      </c>
      <c r="AL115" s="211">
        <v>0</v>
      </c>
      <c r="AM115" s="209">
        <v>0</v>
      </c>
      <c r="AN115" s="207">
        <v>0</v>
      </c>
      <c r="AO115" s="212">
        <f>(W115*AL115)/1000</f>
        <v>0</v>
      </c>
      <c r="AP115" s="212">
        <f t="shared" si="248"/>
        <v>0</v>
      </c>
      <c r="AQ115" s="207">
        <f t="shared" si="249"/>
        <v>0</v>
      </c>
      <c r="AR115" s="210">
        <f t="shared" si="230"/>
        <v>0</v>
      </c>
      <c r="AS115" s="213">
        <f>VLOOKUP($C115,$BI$195:$CM$609,3,FALSE)</f>
        <v>0</v>
      </c>
      <c r="AT115" s="209">
        <f>VLOOKUP($C115,$BI$195:$CM$609,4,FALSE)</f>
        <v>0</v>
      </c>
      <c r="AU115" s="207">
        <f>IF($Q115&gt;0,VLOOKUP($C115,$BI$195:$CM$609,6,FALSE),0)</f>
        <v>0</v>
      </c>
      <c r="AV115" s="212">
        <f t="shared" si="250"/>
        <v>0</v>
      </c>
      <c r="AW115" s="207">
        <f t="shared" si="251"/>
        <v>0</v>
      </c>
      <c r="AX115" s="210">
        <f t="shared" ref="AX115:AX123" si="255">(AV115*AW115)^2</f>
        <v>0</v>
      </c>
      <c r="AY115" s="213">
        <v>0</v>
      </c>
      <c r="AZ115" s="209">
        <v>0</v>
      </c>
      <c r="BA115" s="207">
        <v>0</v>
      </c>
      <c r="BB115" s="212">
        <f t="shared" ref="BB115:BB121" si="256">($Q115*AY115)/1000</f>
        <v>0</v>
      </c>
      <c r="BC115" s="212">
        <f t="shared" si="252"/>
        <v>0</v>
      </c>
      <c r="BD115" s="207">
        <v>0</v>
      </c>
      <c r="BE115" s="210">
        <f t="shared" si="233"/>
        <v>0</v>
      </c>
      <c r="BF115" s="206">
        <f t="shared" si="253"/>
        <v>0</v>
      </c>
      <c r="BG115" s="207">
        <f t="shared" si="254"/>
        <v>0</v>
      </c>
      <c r="BH115" s="160">
        <f t="shared" si="234"/>
        <v>0</v>
      </c>
      <c r="BI115" s="200"/>
      <c r="BJ115" s="462"/>
      <c r="BK115" s="462"/>
      <c r="BL115" s="462"/>
      <c r="BM115" s="463"/>
      <c r="BN115" s="463"/>
      <c r="BO115" s="463"/>
      <c r="BP115" s="462"/>
      <c r="BQ115" s="462"/>
      <c r="BR115" s="462"/>
      <c r="BS115" s="462"/>
      <c r="BT115" s="462"/>
      <c r="BU115" s="462"/>
      <c r="BV115" s="462"/>
      <c r="BW115" s="462"/>
      <c r="BX115" s="462"/>
      <c r="BY115" s="462"/>
      <c r="BZ115" s="462"/>
      <c r="CA115" s="462"/>
      <c r="CB115" s="464"/>
      <c r="CC115" s="462"/>
      <c r="CD115" s="462"/>
      <c r="CE115" s="464"/>
      <c r="CF115" s="464"/>
      <c r="CG115" s="464"/>
      <c r="CH115" s="464"/>
      <c r="CI115" s="462"/>
      <c r="CJ115" s="462"/>
      <c r="CK115" s="464"/>
      <c r="CL115" s="464"/>
      <c r="CM115" s="464"/>
      <c r="CN115" s="357"/>
      <c r="CO115" s="346"/>
      <c r="CP115" s="346"/>
      <c r="CQ115" s="171"/>
      <c r="CR115" s="171"/>
      <c r="CS115" s="171"/>
      <c r="CT115" s="171"/>
      <c r="CU115" s="171"/>
      <c r="CV115" s="171"/>
      <c r="CW115" s="171"/>
      <c r="CX115" s="171"/>
      <c r="CY115" s="171"/>
      <c r="CZ115" s="171"/>
      <c r="DA115" s="171"/>
      <c r="DB115" s="171"/>
      <c r="DC115" s="171"/>
      <c r="DD115" s="171"/>
      <c r="DE115" s="171"/>
      <c r="DF115" s="171"/>
      <c r="DG115" s="171"/>
      <c r="DH115" s="171"/>
      <c r="DI115" s="171"/>
      <c r="DJ115" s="171"/>
      <c r="DK115" s="171"/>
      <c r="DL115" s="171"/>
      <c r="DM115" s="171"/>
      <c r="DN115" s="171"/>
      <c r="DO115" s="171"/>
      <c r="DP115" s="171"/>
      <c r="DQ115" s="171"/>
      <c r="DR115" s="171"/>
      <c r="DS115" s="171"/>
      <c r="DT115" s="171"/>
      <c r="DU115" s="171"/>
      <c r="DV115" s="171"/>
      <c r="DW115" s="170"/>
      <c r="DX115" s="170"/>
      <c r="DY115" s="170"/>
      <c r="DZ115" s="170"/>
      <c r="EA115" s="170"/>
      <c r="EB115" s="170"/>
      <c r="EC115" s="170"/>
      <c r="ED115" s="170"/>
    </row>
    <row r="116" spans="1:134" s="147" customFormat="1" hidden="1" x14ac:dyDescent="0.25">
      <c r="A116" s="146"/>
      <c r="B116" s="456"/>
      <c r="C116" s="111"/>
      <c r="D116" s="205">
        <f t="shared" si="235"/>
        <v>0</v>
      </c>
      <c r="E116" s="91"/>
      <c r="F116" s="91"/>
      <c r="G116" s="91"/>
      <c r="H116" s="91"/>
      <c r="I116" s="91"/>
      <c r="J116" s="91"/>
      <c r="K116" s="91"/>
      <c r="L116" s="91"/>
      <c r="M116" s="91"/>
      <c r="N116" s="91"/>
      <c r="O116" s="91"/>
      <c r="P116" s="91"/>
      <c r="Q116" s="206">
        <f t="shared" si="236"/>
        <v>0</v>
      </c>
      <c r="R116" s="205">
        <f t="shared" si="237"/>
        <v>0</v>
      </c>
      <c r="S116" s="206">
        <f t="shared" si="238"/>
        <v>0</v>
      </c>
      <c r="T116" s="206">
        <f t="shared" si="239"/>
        <v>0</v>
      </c>
      <c r="U116" s="206">
        <f t="shared" si="240"/>
        <v>0</v>
      </c>
      <c r="V116" s="92"/>
      <c r="W116" s="207">
        <f t="shared" si="241"/>
        <v>0</v>
      </c>
      <c r="X116" s="208">
        <v>0</v>
      </c>
      <c r="Y116" s="209">
        <v>0</v>
      </c>
      <c r="Z116" s="207">
        <v>0</v>
      </c>
      <c r="AA116" s="210">
        <f t="shared" si="242"/>
        <v>0</v>
      </c>
      <c r="AB116" s="210">
        <f t="shared" si="243"/>
        <v>0</v>
      </c>
      <c r="AC116" s="207">
        <f t="shared" si="244"/>
        <v>0</v>
      </c>
      <c r="AD116" s="210">
        <f t="shared" si="226"/>
        <v>0</v>
      </c>
      <c r="AE116" s="211">
        <v>0</v>
      </c>
      <c r="AF116" s="209">
        <v>0</v>
      </c>
      <c r="AG116" s="207">
        <v>0</v>
      </c>
      <c r="AH116" s="212">
        <f t="shared" si="245"/>
        <v>0</v>
      </c>
      <c r="AI116" s="212">
        <f t="shared" si="246"/>
        <v>0</v>
      </c>
      <c r="AJ116" s="207">
        <f t="shared" si="247"/>
        <v>0</v>
      </c>
      <c r="AK116" s="210">
        <f t="shared" si="228"/>
        <v>0</v>
      </c>
      <c r="AL116" s="211">
        <v>0</v>
      </c>
      <c r="AM116" s="209">
        <v>0</v>
      </c>
      <c r="AN116" s="207">
        <v>0</v>
      </c>
      <c r="AO116" s="212">
        <f>(W116*AL116)/1000</f>
        <v>0</v>
      </c>
      <c r="AP116" s="212">
        <f t="shared" si="248"/>
        <v>0</v>
      </c>
      <c r="AQ116" s="207">
        <f t="shared" si="249"/>
        <v>0</v>
      </c>
      <c r="AR116" s="210">
        <f t="shared" si="230"/>
        <v>0</v>
      </c>
      <c r="AS116" s="213">
        <f>VLOOKUP($C116,$BI$195:$CM$609,3,FALSE)</f>
        <v>0</v>
      </c>
      <c r="AT116" s="209">
        <f>VLOOKUP($C116,$BI$195:$CM$609,4,FALSE)</f>
        <v>0</v>
      </c>
      <c r="AU116" s="207">
        <f>IF($Q116&gt;0,VLOOKUP($C116,$BI$195:$CM$609,6,FALSE),0)</f>
        <v>0</v>
      </c>
      <c r="AV116" s="212">
        <f t="shared" si="250"/>
        <v>0</v>
      </c>
      <c r="AW116" s="207">
        <f t="shared" si="251"/>
        <v>0</v>
      </c>
      <c r="AX116" s="210">
        <f t="shared" si="255"/>
        <v>0</v>
      </c>
      <c r="AY116" s="213">
        <v>0</v>
      </c>
      <c r="AZ116" s="209">
        <v>0</v>
      </c>
      <c r="BA116" s="207">
        <v>0</v>
      </c>
      <c r="BB116" s="212">
        <f t="shared" si="256"/>
        <v>0</v>
      </c>
      <c r="BC116" s="212">
        <f t="shared" si="252"/>
        <v>0</v>
      </c>
      <c r="BD116" s="207">
        <v>0</v>
      </c>
      <c r="BE116" s="210">
        <f t="shared" si="233"/>
        <v>0</v>
      </c>
      <c r="BF116" s="206">
        <f t="shared" si="253"/>
        <v>0</v>
      </c>
      <c r="BG116" s="207">
        <f t="shared" si="254"/>
        <v>0</v>
      </c>
      <c r="BH116" s="160">
        <f t="shared" si="234"/>
        <v>0</v>
      </c>
      <c r="BI116" s="200"/>
      <c r="BJ116" s="462"/>
      <c r="BK116" s="462"/>
      <c r="BL116" s="462"/>
      <c r="BM116" s="463"/>
      <c r="BN116" s="463"/>
      <c r="BO116" s="463"/>
      <c r="BP116" s="462"/>
      <c r="BQ116" s="462"/>
      <c r="BR116" s="462"/>
      <c r="BS116" s="462"/>
      <c r="BT116" s="462"/>
      <c r="BU116" s="462"/>
      <c r="BV116" s="462"/>
      <c r="BW116" s="462"/>
      <c r="BX116" s="462"/>
      <c r="BY116" s="462"/>
      <c r="BZ116" s="462"/>
      <c r="CA116" s="462"/>
      <c r="CB116" s="464"/>
      <c r="CC116" s="462"/>
      <c r="CD116" s="462"/>
      <c r="CE116" s="464"/>
      <c r="CF116" s="464"/>
      <c r="CG116" s="464"/>
      <c r="CH116" s="464"/>
      <c r="CI116" s="462"/>
      <c r="CJ116" s="462"/>
      <c r="CK116" s="464"/>
      <c r="CL116" s="464"/>
      <c r="CM116" s="464"/>
      <c r="CN116" s="357"/>
      <c r="CO116" s="346"/>
      <c r="CP116" s="346"/>
      <c r="CQ116" s="171"/>
      <c r="CR116" s="171"/>
      <c r="CS116" s="171"/>
      <c r="CT116" s="171"/>
      <c r="CU116" s="171"/>
      <c r="CV116" s="171"/>
      <c r="CW116" s="171"/>
      <c r="CX116" s="171"/>
      <c r="CY116" s="171"/>
      <c r="CZ116" s="171"/>
      <c r="DA116" s="171"/>
      <c r="DB116" s="171"/>
      <c r="DC116" s="171"/>
      <c r="DD116" s="171"/>
      <c r="DE116" s="171"/>
      <c r="DF116" s="171"/>
      <c r="DG116" s="171"/>
      <c r="DH116" s="171"/>
      <c r="DI116" s="171"/>
      <c r="DJ116" s="171"/>
      <c r="DK116" s="171"/>
      <c r="DL116" s="171"/>
      <c r="DM116" s="171"/>
      <c r="DN116" s="171"/>
      <c r="DO116" s="171"/>
      <c r="DP116" s="171"/>
      <c r="DQ116" s="171"/>
      <c r="DR116" s="171"/>
      <c r="DS116" s="171"/>
      <c r="DT116" s="171"/>
      <c r="DU116" s="171"/>
      <c r="DV116" s="171"/>
      <c r="DW116" s="170"/>
      <c r="DX116" s="170"/>
      <c r="DY116" s="170"/>
      <c r="DZ116" s="170"/>
      <c r="EA116" s="170"/>
      <c r="EB116" s="170"/>
      <c r="EC116" s="170"/>
      <c r="ED116" s="170"/>
    </row>
    <row r="117" spans="1:134" s="147" customFormat="1" hidden="1" x14ac:dyDescent="0.25">
      <c r="A117" s="146"/>
      <c r="B117" s="457"/>
      <c r="C117" s="111"/>
      <c r="D117" s="205">
        <f t="shared" si="235"/>
        <v>0</v>
      </c>
      <c r="E117" s="91"/>
      <c r="F117" s="91"/>
      <c r="G117" s="91"/>
      <c r="H117" s="91"/>
      <c r="I117" s="91"/>
      <c r="J117" s="91"/>
      <c r="K117" s="91"/>
      <c r="L117" s="91"/>
      <c r="M117" s="91"/>
      <c r="N117" s="91"/>
      <c r="O117" s="91"/>
      <c r="P117" s="91"/>
      <c r="Q117" s="206">
        <f t="shared" si="236"/>
        <v>0</v>
      </c>
      <c r="R117" s="205">
        <f t="shared" si="237"/>
        <v>0</v>
      </c>
      <c r="S117" s="206">
        <f t="shared" si="238"/>
        <v>0</v>
      </c>
      <c r="T117" s="206">
        <f t="shared" si="239"/>
        <v>0</v>
      </c>
      <c r="U117" s="206">
        <f t="shared" si="240"/>
        <v>0</v>
      </c>
      <c r="V117" s="92"/>
      <c r="W117" s="207">
        <f t="shared" si="241"/>
        <v>0</v>
      </c>
      <c r="X117" s="208">
        <v>0</v>
      </c>
      <c r="Y117" s="209">
        <v>0</v>
      </c>
      <c r="Z117" s="207">
        <v>0</v>
      </c>
      <c r="AA117" s="210">
        <f t="shared" si="242"/>
        <v>0</v>
      </c>
      <c r="AB117" s="210">
        <f t="shared" si="243"/>
        <v>0</v>
      </c>
      <c r="AC117" s="207">
        <f t="shared" si="244"/>
        <v>0</v>
      </c>
      <c r="AD117" s="210">
        <f t="shared" si="226"/>
        <v>0</v>
      </c>
      <c r="AE117" s="211">
        <v>0</v>
      </c>
      <c r="AF117" s="209">
        <v>0</v>
      </c>
      <c r="AG117" s="207">
        <v>0</v>
      </c>
      <c r="AH117" s="212">
        <f t="shared" si="245"/>
        <v>0</v>
      </c>
      <c r="AI117" s="212">
        <f t="shared" si="246"/>
        <v>0</v>
      </c>
      <c r="AJ117" s="207">
        <f t="shared" si="247"/>
        <v>0</v>
      </c>
      <c r="AK117" s="210">
        <f t="shared" si="228"/>
        <v>0</v>
      </c>
      <c r="AL117" s="211">
        <v>0</v>
      </c>
      <c r="AM117" s="209">
        <v>0</v>
      </c>
      <c r="AN117" s="207">
        <v>0</v>
      </c>
      <c r="AO117" s="212">
        <f>(W117*AL117)/1000</f>
        <v>0</v>
      </c>
      <c r="AP117" s="212">
        <f t="shared" si="248"/>
        <v>0</v>
      </c>
      <c r="AQ117" s="207">
        <f t="shared" si="249"/>
        <v>0</v>
      </c>
      <c r="AR117" s="210">
        <f t="shared" si="230"/>
        <v>0</v>
      </c>
      <c r="AS117" s="213">
        <f>VLOOKUP($C117,$BI$195:$CM$609,3,FALSE)</f>
        <v>0</v>
      </c>
      <c r="AT117" s="209">
        <f>VLOOKUP($C117,$BI$195:$CM$609,4,FALSE)</f>
        <v>0</v>
      </c>
      <c r="AU117" s="207">
        <f>IF($Q117&gt;0,VLOOKUP($C117,$BI$195:$CM$609,6,FALSE),0)</f>
        <v>0</v>
      </c>
      <c r="AV117" s="212">
        <f t="shared" si="250"/>
        <v>0</v>
      </c>
      <c r="AW117" s="207">
        <f t="shared" si="251"/>
        <v>0</v>
      </c>
      <c r="AX117" s="210">
        <f t="shared" si="255"/>
        <v>0</v>
      </c>
      <c r="AY117" s="213">
        <v>0</v>
      </c>
      <c r="AZ117" s="209">
        <v>0</v>
      </c>
      <c r="BA117" s="207">
        <v>0</v>
      </c>
      <c r="BB117" s="212">
        <f t="shared" si="256"/>
        <v>0</v>
      </c>
      <c r="BC117" s="212">
        <f t="shared" si="252"/>
        <v>0</v>
      </c>
      <c r="BD117" s="207">
        <v>0</v>
      </c>
      <c r="BE117" s="210">
        <f t="shared" si="233"/>
        <v>0</v>
      </c>
      <c r="BF117" s="206">
        <f t="shared" si="253"/>
        <v>0</v>
      </c>
      <c r="BG117" s="207">
        <f t="shared" si="254"/>
        <v>0</v>
      </c>
      <c r="BH117" s="160">
        <f t="shared" si="234"/>
        <v>0</v>
      </c>
      <c r="BI117" s="200"/>
      <c r="BJ117" s="462"/>
      <c r="BK117" s="462"/>
      <c r="BL117" s="462"/>
      <c r="BM117" s="463"/>
      <c r="BN117" s="463"/>
      <c r="BO117" s="463"/>
      <c r="BP117" s="462"/>
      <c r="BQ117" s="462"/>
      <c r="BR117" s="462"/>
      <c r="BS117" s="462"/>
      <c r="BT117" s="462"/>
      <c r="BU117" s="462"/>
      <c r="BV117" s="462"/>
      <c r="BW117" s="462"/>
      <c r="BX117" s="462"/>
      <c r="BY117" s="462"/>
      <c r="BZ117" s="462"/>
      <c r="CA117" s="462"/>
      <c r="CB117" s="464"/>
      <c r="CC117" s="462"/>
      <c r="CD117" s="462"/>
      <c r="CE117" s="464"/>
      <c r="CF117" s="464"/>
      <c r="CG117" s="464"/>
      <c r="CH117" s="464"/>
      <c r="CI117" s="462"/>
      <c r="CJ117" s="462"/>
      <c r="CK117" s="464"/>
      <c r="CL117" s="464"/>
      <c r="CM117" s="464"/>
      <c r="CN117" s="357"/>
      <c r="CO117" s="346"/>
      <c r="CP117" s="346"/>
      <c r="CQ117" s="171"/>
      <c r="CR117" s="171"/>
      <c r="CS117" s="171"/>
      <c r="CT117" s="171"/>
      <c r="CU117" s="171"/>
      <c r="CV117" s="171"/>
      <c r="CW117" s="171"/>
      <c r="CX117" s="171"/>
      <c r="CY117" s="171"/>
      <c r="CZ117" s="171"/>
      <c r="DA117" s="171"/>
      <c r="DB117" s="171"/>
      <c r="DC117" s="171"/>
      <c r="DD117" s="171"/>
      <c r="DE117" s="171"/>
      <c r="DF117" s="171"/>
      <c r="DG117" s="171"/>
      <c r="DH117" s="171"/>
      <c r="DI117" s="171"/>
      <c r="DJ117" s="171"/>
      <c r="DK117" s="171"/>
      <c r="DL117" s="171"/>
      <c r="DM117" s="171"/>
      <c r="DN117" s="171"/>
      <c r="DO117" s="171"/>
      <c r="DP117" s="171"/>
      <c r="DQ117" s="171"/>
      <c r="DR117" s="171"/>
      <c r="DS117" s="171"/>
      <c r="DT117" s="171"/>
      <c r="DU117" s="171"/>
      <c r="DV117" s="171"/>
      <c r="DW117" s="170"/>
      <c r="DX117" s="170"/>
      <c r="DY117" s="170"/>
      <c r="DZ117" s="170"/>
      <c r="EA117" s="170"/>
      <c r="EB117" s="170"/>
      <c r="EC117" s="170"/>
      <c r="ED117" s="170"/>
    </row>
    <row r="118" spans="1:134" s="147" customFormat="1" hidden="1" x14ac:dyDescent="0.25">
      <c r="A118" s="146"/>
      <c r="B118" s="751" t="s">
        <v>505</v>
      </c>
      <c r="C118" s="111"/>
      <c r="D118" s="205">
        <f t="shared" si="235"/>
        <v>0</v>
      </c>
      <c r="E118" s="91"/>
      <c r="F118" s="91"/>
      <c r="G118" s="91"/>
      <c r="H118" s="91"/>
      <c r="I118" s="91"/>
      <c r="J118" s="91"/>
      <c r="K118" s="91"/>
      <c r="L118" s="91"/>
      <c r="M118" s="91"/>
      <c r="N118" s="91"/>
      <c r="O118" s="91"/>
      <c r="P118" s="91"/>
      <c r="Q118" s="206">
        <f t="shared" si="236"/>
        <v>0</v>
      </c>
      <c r="R118" s="205">
        <f t="shared" si="237"/>
        <v>0</v>
      </c>
      <c r="S118" s="206">
        <f t="shared" si="238"/>
        <v>0</v>
      </c>
      <c r="T118" s="206">
        <f t="shared" si="239"/>
        <v>0</v>
      </c>
      <c r="U118" s="206">
        <f t="shared" si="240"/>
        <v>0</v>
      </c>
      <c r="V118" s="92"/>
      <c r="W118" s="207">
        <f t="shared" si="241"/>
        <v>0</v>
      </c>
      <c r="X118" s="208">
        <f>VLOOKUP($C118,$BI$195:$CM$609,3,FALSE)</f>
        <v>0</v>
      </c>
      <c r="Y118" s="209">
        <f>VLOOKUP($C118,$BI$195:$CM$609,4,FALSE)</f>
        <v>0</v>
      </c>
      <c r="Z118" s="207">
        <f>IF($Q118&gt;0,VLOOKUP($C118,$BI$195:$CM$609,6,FALSE),0)</f>
        <v>0</v>
      </c>
      <c r="AA118" s="210">
        <f t="shared" si="242"/>
        <v>0</v>
      </c>
      <c r="AB118" s="210">
        <f t="shared" si="243"/>
        <v>0</v>
      </c>
      <c r="AC118" s="207">
        <f t="shared" si="244"/>
        <v>0</v>
      </c>
      <c r="AD118" s="210">
        <f t="shared" si="226"/>
        <v>0</v>
      </c>
      <c r="AE118" s="211">
        <v>0</v>
      </c>
      <c r="AF118" s="209">
        <v>0</v>
      </c>
      <c r="AG118" s="207">
        <v>0</v>
      </c>
      <c r="AH118" s="212">
        <f t="shared" si="245"/>
        <v>0</v>
      </c>
      <c r="AI118" s="212">
        <f t="shared" si="246"/>
        <v>0</v>
      </c>
      <c r="AJ118" s="207">
        <f t="shared" si="247"/>
        <v>0</v>
      </c>
      <c r="AK118" s="210">
        <f t="shared" si="228"/>
        <v>0</v>
      </c>
      <c r="AL118" s="211">
        <v>0</v>
      </c>
      <c r="AM118" s="209">
        <v>0</v>
      </c>
      <c r="AN118" s="207">
        <v>0</v>
      </c>
      <c r="AO118" s="212">
        <f>($Q118*AL118)/1000</f>
        <v>0</v>
      </c>
      <c r="AP118" s="212">
        <f t="shared" si="248"/>
        <v>0</v>
      </c>
      <c r="AQ118" s="207">
        <f t="shared" si="249"/>
        <v>0</v>
      </c>
      <c r="AR118" s="210">
        <f t="shared" si="230"/>
        <v>0</v>
      </c>
      <c r="AS118" s="213">
        <v>0</v>
      </c>
      <c r="AT118" s="209">
        <v>0</v>
      </c>
      <c r="AU118" s="207">
        <v>0</v>
      </c>
      <c r="AV118" s="212">
        <f t="shared" si="250"/>
        <v>0</v>
      </c>
      <c r="AW118" s="207">
        <f t="shared" si="251"/>
        <v>0</v>
      </c>
      <c r="AX118" s="210">
        <f t="shared" si="255"/>
        <v>0</v>
      </c>
      <c r="AY118" s="213">
        <v>0</v>
      </c>
      <c r="AZ118" s="209">
        <v>0</v>
      </c>
      <c r="BA118" s="207">
        <v>0</v>
      </c>
      <c r="BB118" s="212">
        <f t="shared" si="256"/>
        <v>0</v>
      </c>
      <c r="BC118" s="212">
        <f t="shared" si="252"/>
        <v>0</v>
      </c>
      <c r="BD118" s="207">
        <f>IF(BB118&gt;0,SQRT(($W118*$W118)+(BA118*BA118)+($V118*$V118)),0)</f>
        <v>0</v>
      </c>
      <c r="BE118" s="210">
        <f t="shared" si="233"/>
        <v>0</v>
      </c>
      <c r="BF118" s="206">
        <f t="shared" si="253"/>
        <v>0</v>
      </c>
      <c r="BG118" s="207">
        <f t="shared" si="254"/>
        <v>0</v>
      </c>
      <c r="BH118" s="160">
        <f t="shared" si="234"/>
        <v>0</v>
      </c>
      <c r="BI118" s="200"/>
      <c r="BJ118" s="462"/>
      <c r="BK118" s="462"/>
      <c r="BL118" s="462"/>
      <c r="BM118" s="463"/>
      <c r="BN118" s="463"/>
      <c r="BO118" s="463"/>
      <c r="BP118" s="462"/>
      <c r="BQ118" s="462"/>
      <c r="BR118" s="462"/>
      <c r="BS118" s="462"/>
      <c r="BT118" s="462"/>
      <c r="BU118" s="462"/>
      <c r="BV118" s="462"/>
      <c r="BW118" s="462"/>
      <c r="BX118" s="462"/>
      <c r="BY118" s="462"/>
      <c r="BZ118" s="462"/>
      <c r="CA118" s="462"/>
      <c r="CB118" s="464"/>
      <c r="CC118" s="462"/>
      <c r="CD118" s="462"/>
      <c r="CE118" s="464"/>
      <c r="CF118" s="464"/>
      <c r="CG118" s="464"/>
      <c r="CH118" s="464"/>
      <c r="CI118" s="462"/>
      <c r="CJ118" s="462"/>
      <c r="CK118" s="464"/>
      <c r="CL118" s="464"/>
      <c r="CM118" s="464"/>
      <c r="CN118" s="357"/>
      <c r="CO118" s="346"/>
      <c r="CP118" s="346"/>
      <c r="CQ118" s="171"/>
      <c r="CR118" s="171"/>
      <c r="CS118" s="171"/>
      <c r="CT118" s="171"/>
      <c r="CU118" s="171"/>
      <c r="CV118" s="171"/>
      <c r="CW118" s="171"/>
      <c r="CX118" s="171"/>
      <c r="CY118" s="171"/>
      <c r="CZ118" s="171"/>
      <c r="DA118" s="171"/>
      <c r="DB118" s="171"/>
      <c r="DC118" s="171"/>
      <c r="DD118" s="171"/>
      <c r="DE118" s="171"/>
      <c r="DF118" s="171"/>
      <c r="DG118" s="171"/>
      <c r="DH118" s="171"/>
      <c r="DI118" s="171"/>
      <c r="DJ118" s="171"/>
      <c r="DK118" s="171"/>
      <c r="DL118" s="171"/>
      <c r="DM118" s="171"/>
      <c r="DN118" s="171"/>
      <c r="DO118" s="171"/>
      <c r="DP118" s="171"/>
      <c r="DQ118" s="171"/>
      <c r="DR118" s="171"/>
      <c r="DS118" s="171"/>
      <c r="DT118" s="171"/>
      <c r="DU118" s="171"/>
      <c r="DV118" s="171"/>
      <c r="DW118" s="170"/>
      <c r="DX118" s="170"/>
      <c r="DY118" s="170"/>
      <c r="DZ118" s="170"/>
      <c r="EA118" s="170"/>
      <c r="EB118" s="170"/>
      <c r="EC118" s="170"/>
      <c r="ED118" s="170"/>
    </row>
    <row r="119" spans="1:134" s="147" customFormat="1" hidden="1" x14ac:dyDescent="0.25">
      <c r="A119" s="146"/>
      <c r="B119" s="752"/>
      <c r="C119" s="111"/>
      <c r="D119" s="205">
        <f t="shared" si="235"/>
        <v>0</v>
      </c>
      <c r="E119" s="91"/>
      <c r="F119" s="91"/>
      <c r="G119" s="91"/>
      <c r="H119" s="91"/>
      <c r="I119" s="91"/>
      <c r="J119" s="91"/>
      <c r="K119" s="91"/>
      <c r="L119" s="91"/>
      <c r="M119" s="91"/>
      <c r="N119" s="91"/>
      <c r="O119" s="91"/>
      <c r="P119" s="91"/>
      <c r="Q119" s="206">
        <f t="shared" si="236"/>
        <v>0</v>
      </c>
      <c r="R119" s="205">
        <f t="shared" si="237"/>
        <v>0</v>
      </c>
      <c r="S119" s="206">
        <f t="shared" si="238"/>
        <v>0</v>
      </c>
      <c r="T119" s="206">
        <f t="shared" si="239"/>
        <v>0</v>
      </c>
      <c r="U119" s="206">
        <f t="shared" si="240"/>
        <v>0</v>
      </c>
      <c r="V119" s="92"/>
      <c r="W119" s="207">
        <f t="shared" si="241"/>
        <v>0</v>
      </c>
      <c r="X119" s="208">
        <v>0</v>
      </c>
      <c r="Y119" s="209">
        <v>0</v>
      </c>
      <c r="Z119" s="207">
        <v>0</v>
      </c>
      <c r="AA119" s="210">
        <f t="shared" si="242"/>
        <v>0</v>
      </c>
      <c r="AB119" s="210">
        <f t="shared" si="243"/>
        <v>0</v>
      </c>
      <c r="AC119" s="207">
        <f t="shared" si="244"/>
        <v>0</v>
      </c>
      <c r="AD119" s="210">
        <f t="shared" si="226"/>
        <v>0</v>
      </c>
      <c r="AE119" s="211">
        <v>0</v>
      </c>
      <c r="AF119" s="209">
        <v>0</v>
      </c>
      <c r="AG119" s="207">
        <v>0</v>
      </c>
      <c r="AH119" s="212">
        <f t="shared" si="245"/>
        <v>0</v>
      </c>
      <c r="AI119" s="212">
        <f t="shared" si="246"/>
        <v>0</v>
      </c>
      <c r="AJ119" s="207">
        <f t="shared" si="247"/>
        <v>0</v>
      </c>
      <c r="AK119" s="210">
        <f t="shared" si="228"/>
        <v>0</v>
      </c>
      <c r="AL119" s="211">
        <v>0</v>
      </c>
      <c r="AM119" s="209">
        <v>0</v>
      </c>
      <c r="AN119" s="207">
        <v>0</v>
      </c>
      <c r="AO119" s="212">
        <f>(W119*AL119)/1000</f>
        <v>0</v>
      </c>
      <c r="AP119" s="212">
        <f t="shared" si="248"/>
        <v>0</v>
      </c>
      <c r="AQ119" s="207">
        <f t="shared" si="249"/>
        <v>0</v>
      </c>
      <c r="AR119" s="210">
        <f t="shared" si="230"/>
        <v>0</v>
      </c>
      <c r="AS119" s="213">
        <f>VLOOKUP($C119,$BI$195:$CM$609,3,FALSE)</f>
        <v>0</v>
      </c>
      <c r="AT119" s="209">
        <f>VLOOKUP($C119,$BI$195:$BO$609,4,FALSE)</f>
        <v>0</v>
      </c>
      <c r="AU119" s="207">
        <f>IF($Q119&gt;0,VLOOKUP($C119,$BI$195:$CM$609,6,FALSE),0)</f>
        <v>0</v>
      </c>
      <c r="AV119" s="212">
        <f t="shared" si="250"/>
        <v>0</v>
      </c>
      <c r="AW119" s="207">
        <f t="shared" si="251"/>
        <v>0</v>
      </c>
      <c r="AX119" s="210">
        <f t="shared" si="255"/>
        <v>0</v>
      </c>
      <c r="AY119" s="213">
        <v>0</v>
      </c>
      <c r="AZ119" s="209">
        <v>0</v>
      </c>
      <c r="BA119" s="207">
        <v>0</v>
      </c>
      <c r="BB119" s="212">
        <f t="shared" si="256"/>
        <v>0</v>
      </c>
      <c r="BC119" s="212">
        <f t="shared" si="252"/>
        <v>0</v>
      </c>
      <c r="BD119" s="207">
        <v>0</v>
      </c>
      <c r="BE119" s="210">
        <f t="shared" si="233"/>
        <v>0</v>
      </c>
      <c r="BF119" s="206">
        <f t="shared" si="253"/>
        <v>0</v>
      </c>
      <c r="BG119" s="207">
        <f t="shared" si="254"/>
        <v>0</v>
      </c>
      <c r="BH119" s="160">
        <f t="shared" si="234"/>
        <v>0</v>
      </c>
      <c r="BI119" s="200"/>
      <c r="BJ119" s="462"/>
      <c r="BK119" s="462"/>
      <c r="BL119" s="462"/>
      <c r="BM119" s="463"/>
      <c r="BN119" s="463"/>
      <c r="BO119" s="463"/>
      <c r="BP119" s="462"/>
      <c r="BQ119" s="462"/>
      <c r="BR119" s="462"/>
      <c r="BS119" s="462"/>
      <c r="BT119" s="462"/>
      <c r="BU119" s="462"/>
      <c r="BV119" s="462"/>
      <c r="BW119" s="462"/>
      <c r="BX119" s="462"/>
      <c r="BY119" s="462"/>
      <c r="BZ119" s="462"/>
      <c r="CA119" s="462"/>
      <c r="CB119" s="464"/>
      <c r="CC119" s="462"/>
      <c r="CD119" s="462"/>
      <c r="CE119" s="464"/>
      <c r="CF119" s="464"/>
      <c r="CG119" s="464"/>
      <c r="CH119" s="464"/>
      <c r="CI119" s="462"/>
      <c r="CJ119" s="462"/>
      <c r="CK119" s="464"/>
      <c r="CL119" s="464"/>
      <c r="CM119" s="464"/>
      <c r="CN119" s="357"/>
      <c r="CO119" s="346"/>
      <c r="CP119" s="346"/>
      <c r="CQ119" s="171"/>
      <c r="CR119" s="171"/>
      <c r="CS119" s="171"/>
      <c r="CT119" s="171"/>
      <c r="CU119" s="171"/>
      <c r="CV119" s="171"/>
      <c r="CW119" s="171"/>
      <c r="CX119" s="171"/>
      <c r="CY119" s="171"/>
      <c r="CZ119" s="171"/>
      <c r="DA119" s="171"/>
      <c r="DB119" s="171"/>
      <c r="DC119" s="171"/>
      <c r="DD119" s="171"/>
      <c r="DE119" s="171"/>
      <c r="DF119" s="171"/>
      <c r="DG119" s="171"/>
      <c r="DH119" s="171"/>
      <c r="DI119" s="171"/>
      <c r="DJ119" s="171"/>
      <c r="DK119" s="171"/>
      <c r="DL119" s="171"/>
      <c r="DM119" s="171"/>
      <c r="DN119" s="171"/>
      <c r="DO119" s="171"/>
      <c r="DP119" s="171"/>
      <c r="DQ119" s="171"/>
      <c r="DR119" s="171"/>
      <c r="DS119" s="171"/>
      <c r="DT119" s="171"/>
      <c r="DU119" s="171"/>
      <c r="DV119" s="171"/>
      <c r="DW119" s="170"/>
      <c r="DX119" s="170"/>
      <c r="DY119" s="170"/>
      <c r="DZ119" s="170"/>
      <c r="EA119" s="170"/>
      <c r="EB119" s="170"/>
      <c r="EC119" s="170"/>
      <c r="ED119" s="170"/>
    </row>
    <row r="120" spans="1:134" s="147" customFormat="1" hidden="1" x14ac:dyDescent="0.25">
      <c r="A120" s="146"/>
      <c r="B120" s="751" t="s">
        <v>506</v>
      </c>
      <c r="C120" s="111"/>
      <c r="D120" s="205">
        <f t="shared" si="235"/>
        <v>0</v>
      </c>
      <c r="E120" s="91"/>
      <c r="F120" s="91"/>
      <c r="G120" s="91"/>
      <c r="H120" s="91"/>
      <c r="I120" s="91"/>
      <c r="J120" s="91"/>
      <c r="K120" s="91"/>
      <c r="L120" s="91"/>
      <c r="M120" s="91"/>
      <c r="N120" s="91"/>
      <c r="O120" s="91"/>
      <c r="P120" s="91"/>
      <c r="Q120" s="206">
        <f t="shared" si="236"/>
        <v>0</v>
      </c>
      <c r="R120" s="205">
        <f t="shared" si="237"/>
        <v>0</v>
      </c>
      <c r="S120" s="206">
        <f t="shared" si="238"/>
        <v>0</v>
      </c>
      <c r="T120" s="206">
        <f t="shared" si="239"/>
        <v>0</v>
      </c>
      <c r="U120" s="206">
        <f t="shared" si="240"/>
        <v>0</v>
      </c>
      <c r="V120" s="92"/>
      <c r="W120" s="207">
        <f t="shared" si="241"/>
        <v>0</v>
      </c>
      <c r="X120" s="208">
        <f>VLOOKUP($C120,$BI$195:$CM$609,3,FALSE)</f>
        <v>0</v>
      </c>
      <c r="Y120" s="209">
        <f>VLOOKUP($C120,$BI$195:$CM$609,4,FALSE)</f>
        <v>0</v>
      </c>
      <c r="Z120" s="207">
        <f>IF($Q120&gt;0,VLOOKUP($C120,$BI$195:$CM$609,6,FALSE),0)</f>
        <v>0</v>
      </c>
      <c r="AA120" s="210">
        <f t="shared" si="242"/>
        <v>0</v>
      </c>
      <c r="AB120" s="210">
        <f t="shared" si="243"/>
        <v>0</v>
      </c>
      <c r="AC120" s="207">
        <f t="shared" si="244"/>
        <v>0</v>
      </c>
      <c r="AD120" s="210">
        <f t="shared" si="226"/>
        <v>0</v>
      </c>
      <c r="AE120" s="211">
        <v>0</v>
      </c>
      <c r="AF120" s="209">
        <v>0</v>
      </c>
      <c r="AG120" s="207">
        <v>0</v>
      </c>
      <c r="AH120" s="212">
        <f t="shared" si="245"/>
        <v>0</v>
      </c>
      <c r="AI120" s="212">
        <f t="shared" si="246"/>
        <v>0</v>
      </c>
      <c r="AJ120" s="207">
        <f t="shared" si="247"/>
        <v>0</v>
      </c>
      <c r="AK120" s="210">
        <f t="shared" si="228"/>
        <v>0</v>
      </c>
      <c r="AL120" s="211">
        <v>0</v>
      </c>
      <c r="AM120" s="209">
        <v>0</v>
      </c>
      <c r="AN120" s="207">
        <v>0</v>
      </c>
      <c r="AO120" s="212">
        <f>($Q120*AL120)/1000</f>
        <v>0</v>
      </c>
      <c r="AP120" s="212">
        <f t="shared" si="248"/>
        <v>0</v>
      </c>
      <c r="AQ120" s="207">
        <f t="shared" si="249"/>
        <v>0</v>
      </c>
      <c r="AR120" s="210">
        <f t="shared" si="230"/>
        <v>0</v>
      </c>
      <c r="AS120" s="213">
        <v>0</v>
      </c>
      <c r="AT120" s="209">
        <v>0</v>
      </c>
      <c r="AU120" s="207">
        <v>0</v>
      </c>
      <c r="AV120" s="212">
        <f t="shared" si="250"/>
        <v>0</v>
      </c>
      <c r="AW120" s="207">
        <f t="shared" si="251"/>
        <v>0</v>
      </c>
      <c r="AX120" s="210">
        <f t="shared" si="255"/>
        <v>0</v>
      </c>
      <c r="AY120" s="213">
        <v>0</v>
      </c>
      <c r="AZ120" s="209">
        <v>0</v>
      </c>
      <c r="BA120" s="207">
        <v>0</v>
      </c>
      <c r="BB120" s="212">
        <f t="shared" si="256"/>
        <v>0</v>
      </c>
      <c r="BC120" s="212">
        <f t="shared" si="252"/>
        <v>0</v>
      </c>
      <c r="BD120" s="207">
        <f>IF(BB120&gt;0,SQRT(($W120*$W120)+(BA120*BA120)+($V120*$V120)),0)</f>
        <v>0</v>
      </c>
      <c r="BE120" s="210">
        <f t="shared" si="233"/>
        <v>0</v>
      </c>
      <c r="BF120" s="206">
        <f t="shared" si="253"/>
        <v>0</v>
      </c>
      <c r="BG120" s="207">
        <f t="shared" si="254"/>
        <v>0</v>
      </c>
      <c r="BH120" s="160">
        <f t="shared" si="234"/>
        <v>0</v>
      </c>
      <c r="BI120" s="200"/>
      <c r="BJ120" s="462"/>
      <c r="BK120" s="462"/>
      <c r="BL120" s="462"/>
      <c r="BM120" s="463"/>
      <c r="BN120" s="463"/>
      <c r="BO120" s="463"/>
      <c r="BP120" s="462"/>
      <c r="BQ120" s="462"/>
      <c r="BR120" s="462"/>
      <c r="BS120" s="462"/>
      <c r="BT120" s="462"/>
      <c r="BU120" s="462"/>
      <c r="BV120" s="462"/>
      <c r="BW120" s="462"/>
      <c r="BX120" s="462"/>
      <c r="BY120" s="462"/>
      <c r="BZ120" s="462"/>
      <c r="CA120" s="462"/>
      <c r="CB120" s="464"/>
      <c r="CC120" s="462"/>
      <c r="CD120" s="462"/>
      <c r="CE120" s="464"/>
      <c r="CF120" s="464"/>
      <c r="CG120" s="464"/>
      <c r="CH120" s="464"/>
      <c r="CI120" s="462"/>
      <c r="CJ120" s="462"/>
      <c r="CK120" s="464"/>
      <c r="CL120" s="464"/>
      <c r="CM120" s="464"/>
      <c r="CN120" s="357"/>
      <c r="CO120" s="346"/>
      <c r="CP120" s="346"/>
      <c r="CQ120" s="171"/>
      <c r="CR120" s="171"/>
      <c r="CS120" s="171"/>
      <c r="CT120" s="171"/>
      <c r="CU120" s="171"/>
      <c r="CV120" s="171"/>
      <c r="CW120" s="171"/>
      <c r="CX120" s="171"/>
      <c r="CY120" s="171"/>
      <c r="CZ120" s="171"/>
      <c r="DA120" s="171"/>
      <c r="DB120" s="171"/>
      <c r="DC120" s="171"/>
      <c r="DD120" s="171"/>
      <c r="DE120" s="171"/>
      <c r="DF120" s="171"/>
      <c r="DG120" s="171"/>
      <c r="DH120" s="171"/>
      <c r="DI120" s="171"/>
      <c r="DJ120" s="171"/>
      <c r="DK120" s="171"/>
      <c r="DL120" s="171"/>
      <c r="DM120" s="171"/>
      <c r="DN120" s="171"/>
      <c r="DO120" s="171"/>
      <c r="DP120" s="171"/>
      <c r="DQ120" s="171"/>
      <c r="DR120" s="171"/>
      <c r="DS120" s="171"/>
      <c r="DT120" s="171"/>
      <c r="DU120" s="171"/>
      <c r="DV120" s="171"/>
      <c r="DW120" s="170"/>
      <c r="DX120" s="170"/>
      <c r="DY120" s="170"/>
      <c r="DZ120" s="170"/>
      <c r="EA120" s="170"/>
      <c r="EB120" s="170"/>
      <c r="EC120" s="170"/>
      <c r="ED120" s="170"/>
    </row>
    <row r="121" spans="1:134" s="147" customFormat="1" hidden="1" x14ac:dyDescent="0.25">
      <c r="A121" s="146"/>
      <c r="B121" s="752"/>
      <c r="C121" s="111"/>
      <c r="D121" s="205">
        <f t="shared" si="235"/>
        <v>0</v>
      </c>
      <c r="E121" s="91"/>
      <c r="F121" s="91"/>
      <c r="G121" s="91"/>
      <c r="H121" s="91"/>
      <c r="I121" s="91"/>
      <c r="J121" s="91"/>
      <c r="K121" s="91"/>
      <c r="L121" s="91"/>
      <c r="M121" s="91"/>
      <c r="N121" s="91"/>
      <c r="O121" s="91"/>
      <c r="P121" s="91"/>
      <c r="Q121" s="206">
        <f t="shared" si="236"/>
        <v>0</v>
      </c>
      <c r="R121" s="205">
        <f t="shared" si="237"/>
        <v>0</v>
      </c>
      <c r="S121" s="206">
        <f t="shared" si="238"/>
        <v>0</v>
      </c>
      <c r="T121" s="206">
        <f t="shared" si="239"/>
        <v>0</v>
      </c>
      <c r="U121" s="206">
        <f t="shared" si="240"/>
        <v>0</v>
      </c>
      <c r="V121" s="92"/>
      <c r="W121" s="207">
        <f t="shared" si="241"/>
        <v>0</v>
      </c>
      <c r="X121" s="208">
        <f>VLOOKUP($C121,$BI$195:$CM$609,3,FALSE)</f>
        <v>0</v>
      </c>
      <c r="Y121" s="209">
        <f>VLOOKUP($C121,$BI$195:$CM$609,4,FALSE)</f>
        <v>0</v>
      </c>
      <c r="Z121" s="207">
        <f>IF($Q121&gt;0,VLOOKUP($C121,$BI$195:$CM$609,6,FALSE),0)</f>
        <v>0</v>
      </c>
      <c r="AA121" s="210">
        <f t="shared" si="242"/>
        <v>0</v>
      </c>
      <c r="AB121" s="210">
        <f t="shared" si="243"/>
        <v>0</v>
      </c>
      <c r="AC121" s="207">
        <f t="shared" si="244"/>
        <v>0</v>
      </c>
      <c r="AD121" s="210">
        <f t="shared" si="226"/>
        <v>0</v>
      </c>
      <c r="AE121" s="211">
        <v>0</v>
      </c>
      <c r="AF121" s="209">
        <v>0</v>
      </c>
      <c r="AG121" s="207">
        <v>0</v>
      </c>
      <c r="AH121" s="212">
        <f t="shared" si="245"/>
        <v>0</v>
      </c>
      <c r="AI121" s="212">
        <f t="shared" si="246"/>
        <v>0</v>
      </c>
      <c r="AJ121" s="207">
        <f t="shared" si="247"/>
        <v>0</v>
      </c>
      <c r="AK121" s="210">
        <f t="shared" si="228"/>
        <v>0</v>
      </c>
      <c r="AL121" s="211">
        <v>0</v>
      </c>
      <c r="AM121" s="209">
        <v>0</v>
      </c>
      <c r="AN121" s="207">
        <v>0</v>
      </c>
      <c r="AO121" s="212">
        <f>($Q121*AL121)/1000</f>
        <v>0</v>
      </c>
      <c r="AP121" s="212">
        <f t="shared" si="248"/>
        <v>0</v>
      </c>
      <c r="AQ121" s="207">
        <f t="shared" si="249"/>
        <v>0</v>
      </c>
      <c r="AR121" s="210">
        <f t="shared" si="230"/>
        <v>0</v>
      </c>
      <c r="AS121" s="213">
        <v>0</v>
      </c>
      <c r="AT121" s="209">
        <v>0</v>
      </c>
      <c r="AU121" s="207">
        <v>0</v>
      </c>
      <c r="AV121" s="212">
        <f t="shared" si="250"/>
        <v>0</v>
      </c>
      <c r="AW121" s="207">
        <f t="shared" si="251"/>
        <v>0</v>
      </c>
      <c r="AX121" s="210">
        <f t="shared" si="255"/>
        <v>0</v>
      </c>
      <c r="AY121" s="213">
        <v>0</v>
      </c>
      <c r="AZ121" s="209">
        <v>0</v>
      </c>
      <c r="BA121" s="207">
        <v>0</v>
      </c>
      <c r="BB121" s="212">
        <f t="shared" si="256"/>
        <v>0</v>
      </c>
      <c r="BC121" s="212">
        <f t="shared" si="252"/>
        <v>0</v>
      </c>
      <c r="BD121" s="207">
        <f>IF(BB121&gt;0,SQRT(($W121*$W121)+(BA121*BA121)+($V121*$V121)),0)</f>
        <v>0</v>
      </c>
      <c r="BE121" s="210">
        <f t="shared" si="233"/>
        <v>0</v>
      </c>
      <c r="BF121" s="206">
        <f t="shared" si="253"/>
        <v>0</v>
      </c>
      <c r="BG121" s="207">
        <f t="shared" si="254"/>
        <v>0</v>
      </c>
      <c r="BH121" s="160">
        <f t="shared" si="234"/>
        <v>0</v>
      </c>
      <c r="BI121" s="200"/>
      <c r="BJ121" s="462"/>
      <c r="BK121" s="462"/>
      <c r="BL121" s="462"/>
      <c r="BM121" s="463"/>
      <c r="BN121" s="463"/>
      <c r="BO121" s="463"/>
      <c r="BP121" s="462"/>
      <c r="BQ121" s="462"/>
      <c r="BR121" s="462"/>
      <c r="BS121" s="462"/>
      <c r="BT121" s="462"/>
      <c r="BU121" s="462"/>
      <c r="BV121" s="462"/>
      <c r="BW121" s="462"/>
      <c r="BX121" s="462"/>
      <c r="BY121" s="462"/>
      <c r="BZ121" s="462"/>
      <c r="CA121" s="462"/>
      <c r="CB121" s="464"/>
      <c r="CC121" s="462"/>
      <c r="CD121" s="462"/>
      <c r="CE121" s="464"/>
      <c r="CF121" s="464"/>
      <c r="CG121" s="464"/>
      <c r="CH121" s="464"/>
      <c r="CI121" s="462"/>
      <c r="CJ121" s="462"/>
      <c r="CK121" s="464"/>
      <c r="CL121" s="464"/>
      <c r="CM121" s="464"/>
      <c r="CN121" s="357"/>
      <c r="CO121" s="346"/>
      <c r="CP121" s="346"/>
      <c r="CQ121" s="171"/>
      <c r="CR121" s="171"/>
      <c r="CS121" s="171"/>
      <c r="CT121" s="171"/>
      <c r="CU121" s="171"/>
      <c r="CV121" s="171"/>
      <c r="CW121" s="171"/>
      <c r="CX121" s="171"/>
      <c r="CY121" s="171"/>
      <c r="CZ121" s="171"/>
      <c r="DA121" s="171"/>
      <c r="DB121" s="171"/>
      <c r="DC121" s="171"/>
      <c r="DD121" s="171"/>
      <c r="DE121" s="171"/>
      <c r="DF121" s="171"/>
      <c r="DG121" s="171"/>
      <c r="DH121" s="171"/>
      <c r="DI121" s="171"/>
      <c r="DJ121" s="171"/>
      <c r="DK121" s="171"/>
      <c r="DL121" s="171"/>
      <c r="DM121" s="171"/>
      <c r="DN121" s="171"/>
      <c r="DO121" s="171"/>
      <c r="DP121" s="171"/>
      <c r="DQ121" s="171"/>
      <c r="DR121" s="171"/>
      <c r="DS121" s="171"/>
      <c r="DT121" s="171"/>
      <c r="DU121" s="171"/>
      <c r="DV121" s="171"/>
      <c r="DW121" s="170"/>
      <c r="DX121" s="170"/>
      <c r="DY121" s="170"/>
      <c r="DZ121" s="170"/>
      <c r="EA121" s="170"/>
      <c r="EB121" s="170"/>
      <c r="EC121" s="170"/>
      <c r="ED121" s="170"/>
    </row>
    <row r="122" spans="1:134" s="147" customFormat="1" hidden="1" x14ac:dyDescent="0.25">
      <c r="A122" s="146"/>
      <c r="B122" s="216" t="s">
        <v>445</v>
      </c>
      <c r="C122" s="216"/>
      <c r="D122" s="216"/>
      <c r="E122" s="216"/>
      <c r="F122" s="216"/>
      <c r="G122" s="216"/>
      <c r="H122" s="216"/>
      <c r="I122" s="216"/>
      <c r="J122" s="216"/>
      <c r="K122" s="216"/>
      <c r="L122" s="216"/>
      <c r="M122" s="216"/>
      <c r="N122" s="216"/>
      <c r="O122" s="216"/>
      <c r="P122" s="216"/>
      <c r="Q122" s="216"/>
      <c r="R122" s="216"/>
      <c r="S122" s="216"/>
      <c r="T122" s="216"/>
      <c r="U122" s="216"/>
      <c r="V122" s="216"/>
      <c r="W122" s="216"/>
      <c r="X122" s="216"/>
      <c r="Y122" s="216"/>
      <c r="Z122" s="216"/>
      <c r="AA122" s="218"/>
      <c r="AB122" s="219">
        <f>SUM(AB114:AB121)</f>
        <v>0</v>
      </c>
      <c r="AC122" s="220">
        <f>IF(AB122&gt;0,SQRT(SUM(AD114:AD121))/AB122,0)</f>
        <v>0</v>
      </c>
      <c r="AD122" s="219">
        <f t="shared" si="226"/>
        <v>0</v>
      </c>
      <c r="AE122" s="221"/>
      <c r="AF122" s="216"/>
      <c r="AG122" s="216"/>
      <c r="AH122" s="222"/>
      <c r="AI122" s="219">
        <f>SUM(AI114:AI121)</f>
        <v>0</v>
      </c>
      <c r="AJ122" s="220">
        <f>IF(AI122&gt;0,SQRT(SUM(AK114:AK121))/AI122,0)</f>
        <v>0</v>
      </c>
      <c r="AK122" s="219">
        <f t="shared" si="228"/>
        <v>0</v>
      </c>
      <c r="AL122" s="216"/>
      <c r="AM122" s="216"/>
      <c r="AN122" s="216"/>
      <c r="AO122" s="216"/>
      <c r="AP122" s="219">
        <f>SUM(AP114:AP121)</f>
        <v>0</v>
      </c>
      <c r="AQ122" s="220">
        <f>IF(AP122&gt;0,SQRT(SUM(AR114:AR121))/AP122,0)</f>
        <v>0</v>
      </c>
      <c r="AR122" s="219">
        <f t="shared" si="230"/>
        <v>0</v>
      </c>
      <c r="AS122" s="216"/>
      <c r="AT122" s="216"/>
      <c r="AU122" s="216"/>
      <c r="AV122" s="219">
        <f>SUM(AV114:AV121)</f>
        <v>0</v>
      </c>
      <c r="AW122" s="220">
        <f>IF(AV122&gt;0,SQRT(SUM(AX114:AX121))/AV122,0)</f>
        <v>0</v>
      </c>
      <c r="AX122" s="219">
        <f t="shared" si="255"/>
        <v>0</v>
      </c>
      <c r="AY122" s="216"/>
      <c r="AZ122" s="216"/>
      <c r="BA122" s="223"/>
      <c r="BB122" s="224"/>
      <c r="BC122" s="219">
        <f>SUM(BC114:BC121)</f>
        <v>0</v>
      </c>
      <c r="BD122" s="220">
        <f>IF(BC122&gt;0,SQRT(SUM(BE114:BE121))/BC122,0)</f>
        <v>0</v>
      </c>
      <c r="BE122" s="219">
        <f t="shared" si="233"/>
        <v>0</v>
      </c>
      <c r="BF122" s="219">
        <f>SUM(BF114:BF121)</f>
        <v>0</v>
      </c>
      <c r="BG122" s="220">
        <f>IF(BF122&gt;0,SQRT(SUM(BH114:BH121))/BF122,0)</f>
        <v>0</v>
      </c>
      <c r="BH122" s="160">
        <f t="shared" si="234"/>
        <v>0</v>
      </c>
      <c r="BI122" s="200"/>
      <c r="BJ122" s="462"/>
      <c r="BK122" s="462"/>
      <c r="BL122" s="462"/>
      <c r="BM122" s="463"/>
      <c r="BN122" s="463"/>
      <c r="BO122" s="463"/>
      <c r="BP122" s="462"/>
      <c r="BQ122" s="462"/>
      <c r="BR122" s="462"/>
      <c r="BS122" s="462"/>
      <c r="BT122" s="462"/>
      <c r="BU122" s="462"/>
      <c r="BV122" s="462"/>
      <c r="BW122" s="462"/>
      <c r="BX122" s="462"/>
      <c r="BY122" s="462"/>
      <c r="BZ122" s="462"/>
      <c r="CA122" s="462"/>
      <c r="CB122" s="464"/>
      <c r="CC122" s="462"/>
      <c r="CD122" s="462"/>
      <c r="CE122" s="464"/>
      <c r="CF122" s="464"/>
      <c r="CG122" s="464"/>
      <c r="CH122" s="464"/>
      <c r="CI122" s="462"/>
      <c r="CJ122" s="462"/>
      <c r="CK122" s="464"/>
      <c r="CL122" s="464"/>
      <c r="CM122" s="464"/>
      <c r="CN122" s="357"/>
      <c r="CO122" s="346"/>
      <c r="CP122" s="346"/>
      <c r="CQ122" s="171"/>
      <c r="CR122" s="171"/>
      <c r="CS122" s="171"/>
      <c r="CT122" s="171"/>
      <c r="CU122" s="171"/>
      <c r="CV122" s="171"/>
      <c r="CW122" s="171"/>
      <c r="CX122" s="171"/>
      <c r="CY122" s="171"/>
      <c r="CZ122" s="171"/>
      <c r="DA122" s="171"/>
      <c r="DB122" s="171"/>
      <c r="DC122" s="171"/>
      <c r="DD122" s="171"/>
      <c r="DE122" s="171"/>
      <c r="DF122" s="171"/>
      <c r="DG122" s="171"/>
      <c r="DH122" s="171"/>
      <c r="DI122" s="171"/>
      <c r="DJ122" s="171"/>
      <c r="DK122" s="171"/>
      <c r="DL122" s="171"/>
      <c r="DM122" s="171"/>
      <c r="DN122" s="171"/>
      <c r="DO122" s="171"/>
      <c r="DP122" s="171"/>
      <c r="DQ122" s="171"/>
      <c r="DR122" s="171"/>
      <c r="DS122" s="171"/>
      <c r="DT122" s="171"/>
      <c r="DU122" s="171"/>
      <c r="DV122" s="171"/>
      <c r="DW122" s="170"/>
      <c r="DX122" s="170"/>
      <c r="DY122" s="170"/>
      <c r="DZ122" s="170"/>
      <c r="EA122" s="170"/>
      <c r="EB122" s="170"/>
      <c r="EC122" s="170"/>
      <c r="ED122" s="170"/>
    </row>
    <row r="123" spans="1:134" s="147" customFormat="1" ht="15.75" hidden="1" x14ac:dyDescent="0.25">
      <c r="A123" s="146"/>
      <c r="B123" s="293" t="s">
        <v>130</v>
      </c>
      <c r="C123" s="227"/>
      <c r="D123" s="227"/>
      <c r="E123" s="227"/>
      <c r="F123" s="227"/>
      <c r="G123" s="227"/>
      <c r="H123" s="227"/>
      <c r="I123" s="227"/>
      <c r="J123" s="227"/>
      <c r="K123" s="227"/>
      <c r="L123" s="227"/>
      <c r="M123" s="227"/>
      <c r="N123" s="227"/>
      <c r="O123" s="227"/>
      <c r="P123" s="227"/>
      <c r="Q123" s="227"/>
      <c r="R123" s="227"/>
      <c r="S123" s="227"/>
      <c r="T123" s="227"/>
      <c r="U123" s="227"/>
      <c r="V123" s="227"/>
      <c r="W123" s="227"/>
      <c r="X123" s="227"/>
      <c r="Y123" s="227"/>
      <c r="Z123" s="227"/>
      <c r="AA123" s="228"/>
      <c r="AB123" s="229">
        <f>+AB113+AB122</f>
        <v>0</v>
      </c>
      <c r="AC123" s="230">
        <f>IF(AB123&gt;0,(SQRT(AD113+AD122))/AB123,0)</f>
        <v>0</v>
      </c>
      <c r="AD123" s="229">
        <f t="shared" si="226"/>
        <v>0</v>
      </c>
      <c r="AE123" s="231"/>
      <c r="AF123" s="227"/>
      <c r="AG123" s="227"/>
      <c r="AH123" s="232"/>
      <c r="AI123" s="229">
        <f>+AI113+AI122</f>
        <v>0</v>
      </c>
      <c r="AJ123" s="230">
        <f>IF(AI123&gt;0,(SQRT(AK113+AK122))/AI123,0)</f>
        <v>0</v>
      </c>
      <c r="AK123" s="229">
        <f t="shared" si="228"/>
        <v>0</v>
      </c>
      <c r="AL123" s="227"/>
      <c r="AM123" s="227"/>
      <c r="AN123" s="227"/>
      <c r="AO123" s="227"/>
      <c r="AP123" s="229">
        <f>+AP113+AP122</f>
        <v>0</v>
      </c>
      <c r="AQ123" s="230">
        <f>IF(AP123&gt;0,(SQRT(AR113+AR122))/AP123,0)</f>
        <v>0</v>
      </c>
      <c r="AR123" s="229">
        <f t="shared" si="230"/>
        <v>0</v>
      </c>
      <c r="AS123" s="227"/>
      <c r="AT123" s="227"/>
      <c r="AU123" s="227"/>
      <c r="AV123" s="229">
        <f>+AV113+AV122</f>
        <v>0</v>
      </c>
      <c r="AW123" s="230">
        <f>IF(AV123&gt;0,(SQRT(AX113+AX122))/AV123,0)</f>
        <v>0</v>
      </c>
      <c r="AX123" s="229">
        <f t="shared" si="255"/>
        <v>0</v>
      </c>
      <c r="AY123" s="227"/>
      <c r="AZ123" s="227"/>
      <c r="BA123" s="233"/>
      <c r="BB123" s="234"/>
      <c r="BC123" s="229">
        <f>+BC113+BC122</f>
        <v>0</v>
      </c>
      <c r="BD123" s="230">
        <f>IF(BC123&gt;0,(SQRT(BE113+BE122))/BC123,0)</f>
        <v>0</v>
      </c>
      <c r="BE123" s="229">
        <f t="shared" si="233"/>
        <v>0</v>
      </c>
      <c r="BF123" s="229">
        <f>+BF113+BF122</f>
        <v>0</v>
      </c>
      <c r="BG123" s="230">
        <f>IF(BF123&gt;0,(SQRT(BH113+BH122))/BF123,0)</f>
        <v>0</v>
      </c>
      <c r="BH123" s="160">
        <f t="shared" si="234"/>
        <v>0</v>
      </c>
      <c r="BI123" s="200"/>
      <c r="BJ123" s="462"/>
      <c r="BK123" s="462"/>
      <c r="BL123" s="462"/>
      <c r="BM123" s="463"/>
      <c r="BN123" s="463"/>
      <c r="BO123" s="463"/>
      <c r="BP123" s="462"/>
      <c r="BQ123" s="462"/>
      <c r="BR123" s="462"/>
      <c r="BS123" s="462"/>
      <c r="BT123" s="462"/>
      <c r="BU123" s="462"/>
      <c r="BV123" s="462"/>
      <c r="BW123" s="462"/>
      <c r="BX123" s="462"/>
      <c r="BY123" s="462"/>
      <c r="BZ123" s="462"/>
      <c r="CA123" s="462"/>
      <c r="CB123" s="464"/>
      <c r="CC123" s="462"/>
      <c r="CD123" s="462"/>
      <c r="CE123" s="464"/>
      <c r="CF123" s="464"/>
      <c r="CG123" s="464"/>
      <c r="CH123" s="464"/>
      <c r="CI123" s="462"/>
      <c r="CJ123" s="462"/>
      <c r="CK123" s="464"/>
      <c r="CL123" s="464"/>
      <c r="CM123" s="464"/>
      <c r="CN123" s="357"/>
      <c r="CO123" s="346"/>
      <c r="CP123" s="346"/>
      <c r="CQ123" s="171"/>
      <c r="CR123" s="171"/>
      <c r="CS123" s="171"/>
      <c r="CT123" s="171"/>
      <c r="CU123" s="171"/>
      <c r="CV123" s="171"/>
      <c r="CW123" s="171"/>
      <c r="CX123" s="171"/>
      <c r="CY123" s="171"/>
      <c r="CZ123" s="171"/>
      <c r="DA123" s="171"/>
      <c r="DB123" s="171"/>
      <c r="DC123" s="171"/>
      <c r="DD123" s="171"/>
      <c r="DE123" s="171"/>
      <c r="DF123" s="171"/>
      <c r="DG123" s="171"/>
      <c r="DH123" s="171"/>
      <c r="DI123" s="171"/>
      <c r="DJ123" s="171"/>
      <c r="DK123" s="171"/>
      <c r="DL123" s="171"/>
      <c r="DM123" s="171"/>
      <c r="DN123" s="171"/>
      <c r="DO123" s="171"/>
      <c r="DP123" s="171"/>
      <c r="DQ123" s="171"/>
      <c r="DR123" s="171"/>
      <c r="DS123" s="171"/>
      <c r="DT123" s="171"/>
      <c r="DU123" s="171"/>
      <c r="DV123" s="171"/>
      <c r="DW123" s="170"/>
      <c r="DX123" s="170"/>
      <c r="DY123" s="170"/>
      <c r="DZ123" s="170"/>
      <c r="EA123" s="170"/>
      <c r="EB123" s="170"/>
      <c r="EC123" s="170"/>
      <c r="ED123" s="170"/>
    </row>
    <row r="124" spans="1:134" s="147" customFormat="1" ht="15.75" hidden="1" x14ac:dyDescent="0.25">
      <c r="A124" s="146"/>
      <c r="B124" s="237"/>
      <c r="C124" s="237"/>
      <c r="D124" s="237"/>
      <c r="E124" s="237"/>
      <c r="F124" s="237"/>
      <c r="G124" s="237"/>
      <c r="H124" s="237"/>
      <c r="I124" s="237"/>
      <c r="J124" s="237"/>
      <c r="K124" s="237"/>
      <c r="L124" s="237"/>
      <c r="M124" s="237"/>
      <c r="N124" s="237"/>
      <c r="O124" s="237"/>
      <c r="P124" s="237"/>
      <c r="Q124" s="237"/>
      <c r="R124" s="237"/>
      <c r="S124" s="237"/>
      <c r="T124" s="237"/>
      <c r="U124" s="237"/>
      <c r="V124" s="237"/>
      <c r="W124" s="237"/>
      <c r="X124" s="237"/>
      <c r="Y124" s="237"/>
      <c r="Z124" s="237"/>
      <c r="AA124" s="238"/>
      <c r="AB124" s="239"/>
      <c r="AC124" s="240"/>
      <c r="AD124" s="239"/>
      <c r="AE124" s="241"/>
      <c r="AF124" s="237"/>
      <c r="AG124" s="237"/>
      <c r="AH124" s="242"/>
      <c r="AI124" s="239"/>
      <c r="AJ124" s="240"/>
      <c r="AK124" s="239"/>
      <c r="AL124" s="237"/>
      <c r="AM124" s="237"/>
      <c r="AN124" s="237"/>
      <c r="AO124" s="237"/>
      <c r="AP124" s="239"/>
      <c r="AQ124" s="240"/>
      <c r="AR124" s="239"/>
      <c r="AS124" s="237"/>
      <c r="AT124" s="237"/>
      <c r="AU124" s="237"/>
      <c r="AV124" s="239"/>
      <c r="AW124" s="240"/>
      <c r="AX124" s="239"/>
      <c r="AY124" s="237"/>
      <c r="AZ124" s="237"/>
      <c r="BA124" s="243"/>
      <c r="BB124" s="244"/>
      <c r="BC124" s="239"/>
      <c r="BD124" s="240"/>
      <c r="BE124" s="239"/>
      <c r="BF124" s="239"/>
      <c r="BG124" s="240"/>
      <c r="BH124" s="160"/>
      <c r="BI124" s="200"/>
      <c r="BJ124" s="462"/>
      <c r="BK124" s="462"/>
      <c r="BL124" s="462"/>
      <c r="BM124" s="463"/>
      <c r="BN124" s="463"/>
      <c r="BO124" s="463"/>
      <c r="BP124" s="462"/>
      <c r="BQ124" s="462"/>
      <c r="BR124" s="462"/>
      <c r="BS124" s="462"/>
      <c r="BT124" s="462"/>
      <c r="BU124" s="462"/>
      <c r="BV124" s="462"/>
      <c r="BW124" s="462"/>
      <c r="BX124" s="462"/>
      <c r="BY124" s="462"/>
      <c r="BZ124" s="462"/>
      <c r="CA124" s="462"/>
      <c r="CB124" s="464"/>
      <c r="CC124" s="462"/>
      <c r="CD124" s="462"/>
      <c r="CE124" s="464"/>
      <c r="CF124" s="464"/>
      <c r="CG124" s="464"/>
      <c r="CH124" s="464"/>
      <c r="CI124" s="462"/>
      <c r="CJ124" s="462"/>
      <c r="CK124" s="464"/>
      <c r="CL124" s="464"/>
      <c r="CM124" s="464"/>
      <c r="CN124" s="357"/>
      <c r="CO124" s="346"/>
      <c r="CP124" s="346"/>
      <c r="CQ124" s="171"/>
      <c r="CR124" s="171"/>
      <c r="CS124" s="171"/>
      <c r="CT124" s="171"/>
      <c r="CU124" s="171"/>
      <c r="CV124" s="171"/>
      <c r="CW124" s="171"/>
      <c r="CX124" s="171"/>
      <c r="CY124" s="171"/>
      <c r="CZ124" s="171"/>
      <c r="DA124" s="171"/>
      <c r="DB124" s="171"/>
      <c r="DC124" s="171"/>
      <c r="DD124" s="171"/>
      <c r="DE124" s="171"/>
      <c r="DF124" s="171"/>
      <c r="DG124" s="171"/>
      <c r="DH124" s="171"/>
      <c r="DI124" s="171"/>
      <c r="DJ124" s="171"/>
      <c r="DK124" s="171"/>
      <c r="DL124" s="171"/>
      <c r="DM124" s="171"/>
      <c r="DN124" s="171"/>
      <c r="DO124" s="171"/>
      <c r="DP124" s="171"/>
      <c r="DQ124" s="171"/>
      <c r="DR124" s="171"/>
      <c r="DS124" s="171"/>
      <c r="DT124" s="171"/>
      <c r="DU124" s="171"/>
      <c r="DV124" s="171"/>
      <c r="DW124" s="170"/>
      <c r="DX124" s="170"/>
      <c r="DY124" s="170"/>
      <c r="DZ124" s="170"/>
      <c r="EA124" s="170"/>
      <c r="EB124" s="170"/>
      <c r="EC124" s="170"/>
      <c r="ED124" s="170"/>
    </row>
    <row r="125" spans="1:134" s="200" customFormat="1" ht="21" hidden="1" customHeight="1" x14ac:dyDescent="0.25">
      <c r="A125" s="146"/>
      <c r="B125" s="745" t="s">
        <v>131</v>
      </c>
      <c r="C125" s="746"/>
      <c r="D125" s="746"/>
      <c r="E125" s="746"/>
      <c r="F125" s="746"/>
      <c r="G125" s="746"/>
      <c r="H125" s="746"/>
      <c r="I125" s="746"/>
      <c r="J125" s="746"/>
      <c r="K125" s="746"/>
      <c r="L125" s="746"/>
      <c r="M125" s="746"/>
      <c r="N125" s="746"/>
      <c r="O125" s="746"/>
      <c r="P125" s="746"/>
      <c r="Q125" s="746"/>
      <c r="R125" s="746"/>
      <c r="S125" s="746"/>
      <c r="T125" s="746"/>
      <c r="U125" s="746"/>
      <c r="V125" s="746"/>
      <c r="W125" s="746"/>
      <c r="X125" s="746"/>
      <c r="Y125" s="746"/>
      <c r="Z125" s="746"/>
      <c r="AA125" s="746"/>
      <c r="AB125" s="746"/>
      <c r="AC125" s="746"/>
      <c r="AD125" s="746"/>
      <c r="AE125" s="746"/>
      <c r="AF125" s="746"/>
      <c r="AG125" s="746"/>
      <c r="AH125" s="746"/>
      <c r="AI125" s="746"/>
      <c r="AJ125" s="746"/>
      <c r="AK125" s="746"/>
      <c r="AL125" s="746"/>
      <c r="AM125" s="746"/>
      <c r="AN125" s="746"/>
      <c r="AO125" s="746"/>
      <c r="AP125" s="746"/>
      <c r="AQ125" s="746"/>
      <c r="AR125" s="746"/>
      <c r="AS125" s="746"/>
      <c r="AT125" s="746"/>
      <c r="AU125" s="746"/>
      <c r="AV125" s="746"/>
      <c r="AW125" s="746"/>
      <c r="AX125" s="746"/>
      <c r="AY125" s="746"/>
      <c r="AZ125" s="746"/>
      <c r="BA125" s="746"/>
      <c r="BB125" s="746"/>
      <c r="BC125" s="746"/>
      <c r="BD125" s="746"/>
      <c r="BE125" s="746"/>
      <c r="BF125" s="746"/>
      <c r="BG125" s="747"/>
      <c r="BH125" s="160"/>
      <c r="BJ125" s="462"/>
      <c r="BK125" s="462"/>
      <c r="BL125" s="462"/>
      <c r="BM125" s="463"/>
      <c r="BN125" s="463"/>
      <c r="BO125" s="463"/>
      <c r="BP125" s="462"/>
      <c r="BQ125" s="462"/>
      <c r="BR125" s="462"/>
      <c r="BS125" s="462"/>
      <c r="BT125" s="462"/>
      <c r="BU125" s="462"/>
      <c r="BV125" s="462"/>
      <c r="BW125" s="462"/>
      <c r="BX125" s="462"/>
      <c r="BY125" s="462"/>
      <c r="BZ125" s="462"/>
      <c r="CA125" s="462"/>
      <c r="CB125" s="464"/>
      <c r="CC125" s="462"/>
      <c r="CD125" s="462"/>
      <c r="CE125" s="464"/>
      <c r="CF125" s="464"/>
      <c r="CG125" s="464"/>
      <c r="CH125" s="464"/>
      <c r="CI125" s="462"/>
      <c r="CJ125" s="462"/>
      <c r="CK125" s="464"/>
      <c r="CL125" s="464"/>
      <c r="CM125" s="464"/>
      <c r="CN125" s="357"/>
      <c r="CO125" s="346"/>
      <c r="CP125" s="346"/>
      <c r="CQ125" s="171"/>
      <c r="CR125" s="171"/>
      <c r="CS125" s="171"/>
      <c r="CT125" s="171"/>
      <c r="CU125" s="171"/>
      <c r="CV125" s="171"/>
      <c r="CW125" s="171"/>
      <c r="CX125" s="171"/>
      <c r="CY125" s="171"/>
      <c r="CZ125" s="171"/>
      <c r="DA125" s="171"/>
      <c r="DB125" s="171"/>
      <c r="DC125" s="171"/>
      <c r="DD125" s="171"/>
      <c r="DE125" s="171"/>
      <c r="DF125" s="171"/>
      <c r="DG125" s="171"/>
      <c r="DH125" s="171"/>
      <c r="DI125" s="171"/>
      <c r="DJ125" s="171"/>
      <c r="DK125" s="171"/>
      <c r="DL125" s="171"/>
      <c r="DM125" s="171"/>
      <c r="DN125" s="171"/>
      <c r="DO125" s="171"/>
      <c r="DP125" s="171"/>
      <c r="DQ125" s="171"/>
      <c r="DR125" s="171"/>
      <c r="DS125" s="171"/>
      <c r="DT125" s="171"/>
      <c r="DU125" s="171"/>
      <c r="DV125" s="171"/>
      <c r="DW125" s="170"/>
      <c r="DX125" s="170"/>
      <c r="DY125" s="170"/>
      <c r="DZ125" s="170"/>
      <c r="EA125" s="170"/>
      <c r="EB125" s="170"/>
      <c r="EC125" s="170"/>
      <c r="ED125" s="170"/>
    </row>
    <row r="126" spans="1:134" s="200" customFormat="1" ht="15" hidden="1" customHeight="1" x14ac:dyDescent="0.25">
      <c r="A126" s="146"/>
      <c r="B126" s="739" t="s">
        <v>442</v>
      </c>
      <c r="C126" s="739" t="s">
        <v>446</v>
      </c>
      <c r="D126" s="739" t="s">
        <v>107</v>
      </c>
      <c r="E126" s="739"/>
      <c r="F126" s="739"/>
      <c r="G126" s="739"/>
      <c r="H126" s="739"/>
      <c r="I126" s="739"/>
      <c r="J126" s="739"/>
      <c r="K126" s="739"/>
      <c r="L126" s="739"/>
      <c r="M126" s="739"/>
      <c r="N126" s="739"/>
      <c r="O126" s="739"/>
      <c r="P126" s="739"/>
      <c r="Q126" s="739"/>
      <c r="R126" s="739"/>
      <c r="S126" s="739" t="s">
        <v>352</v>
      </c>
      <c r="T126" s="739"/>
      <c r="U126" s="739"/>
      <c r="V126" s="739"/>
      <c r="W126" s="739"/>
      <c r="X126" s="740" t="s">
        <v>360</v>
      </c>
      <c r="Y126" s="740"/>
      <c r="Z126" s="740"/>
      <c r="AA126" s="740"/>
      <c r="AB126" s="740"/>
      <c r="AC126" s="740"/>
      <c r="AD126" s="740"/>
      <c r="AE126" s="740" t="s">
        <v>359</v>
      </c>
      <c r="AF126" s="740"/>
      <c r="AG126" s="740"/>
      <c r="AH126" s="740"/>
      <c r="AI126" s="740"/>
      <c r="AJ126" s="740"/>
      <c r="AK126" s="740"/>
      <c r="AL126" s="740" t="s">
        <v>358</v>
      </c>
      <c r="AM126" s="740"/>
      <c r="AN126" s="740"/>
      <c r="AO126" s="740"/>
      <c r="AP126" s="740"/>
      <c r="AQ126" s="740"/>
      <c r="AR126" s="740"/>
      <c r="AS126" s="740" t="s">
        <v>543</v>
      </c>
      <c r="AT126" s="740"/>
      <c r="AU126" s="740"/>
      <c r="AV126" s="740"/>
      <c r="AW126" s="740"/>
      <c r="AX126" s="740"/>
      <c r="AY126" s="740" t="s">
        <v>357</v>
      </c>
      <c r="AZ126" s="740"/>
      <c r="BA126" s="740"/>
      <c r="BB126" s="740"/>
      <c r="BC126" s="740"/>
      <c r="BD126" s="740"/>
      <c r="BE126" s="740"/>
      <c r="BF126" s="744" t="s">
        <v>794</v>
      </c>
      <c r="BG126" s="744" t="s">
        <v>109</v>
      </c>
      <c r="BH126" s="160"/>
      <c r="BJ126" s="462"/>
      <c r="BK126" s="462"/>
      <c r="BL126" s="462"/>
      <c r="BM126" s="463"/>
      <c r="BN126" s="463"/>
      <c r="BO126" s="463"/>
      <c r="BP126" s="462"/>
      <c r="BQ126" s="462"/>
      <c r="BR126" s="462"/>
      <c r="BS126" s="462"/>
      <c r="BT126" s="462"/>
      <c r="BU126" s="462"/>
      <c r="BV126" s="462"/>
      <c r="BW126" s="462"/>
      <c r="BX126" s="462"/>
      <c r="BY126" s="462"/>
      <c r="BZ126" s="462"/>
      <c r="CA126" s="462"/>
      <c r="CB126" s="464"/>
      <c r="CC126" s="462"/>
      <c r="CD126" s="462"/>
      <c r="CE126" s="464"/>
      <c r="CF126" s="464"/>
      <c r="CG126" s="464"/>
      <c r="CH126" s="464"/>
      <c r="CI126" s="462"/>
      <c r="CJ126" s="462"/>
      <c r="CK126" s="464"/>
      <c r="CL126" s="464"/>
      <c r="CM126" s="464"/>
      <c r="CN126" s="357"/>
      <c r="CO126" s="346"/>
      <c r="CP126" s="346"/>
      <c r="CQ126" s="171"/>
      <c r="CR126" s="171"/>
      <c r="CS126" s="171"/>
      <c r="CT126" s="171"/>
      <c r="CU126" s="171"/>
      <c r="CV126" s="171"/>
      <c r="CW126" s="171"/>
      <c r="CX126" s="171"/>
      <c r="CY126" s="171"/>
      <c r="CZ126" s="171"/>
      <c r="DA126" s="171"/>
      <c r="DB126" s="171"/>
      <c r="DC126" s="171"/>
      <c r="DD126" s="171"/>
      <c r="DE126" s="171"/>
      <c r="DF126" s="171"/>
      <c r="DG126" s="171"/>
      <c r="DH126" s="171"/>
      <c r="DI126" s="171"/>
      <c r="DJ126" s="171"/>
      <c r="DK126" s="171"/>
      <c r="DL126" s="171"/>
      <c r="DM126" s="171"/>
      <c r="DN126" s="171"/>
      <c r="DO126" s="171"/>
      <c r="DP126" s="171"/>
      <c r="DQ126" s="171"/>
      <c r="DR126" s="171"/>
      <c r="DS126" s="171"/>
      <c r="DT126" s="171"/>
      <c r="DU126" s="171"/>
      <c r="DV126" s="171"/>
      <c r="DW126" s="170"/>
      <c r="DX126" s="170"/>
      <c r="DY126" s="170"/>
      <c r="DZ126" s="170"/>
      <c r="EA126" s="170"/>
      <c r="EB126" s="170"/>
      <c r="EC126" s="170"/>
      <c r="ED126" s="170"/>
    </row>
    <row r="127" spans="1:134" s="200" customFormat="1" ht="75" hidden="1" x14ac:dyDescent="0.25">
      <c r="A127" s="146"/>
      <c r="B127" s="740"/>
      <c r="C127" s="739"/>
      <c r="D127" s="201" t="s">
        <v>110</v>
      </c>
      <c r="E127" s="201" t="s">
        <v>111</v>
      </c>
      <c r="F127" s="201" t="s">
        <v>112</v>
      </c>
      <c r="G127" s="201" t="s">
        <v>113</v>
      </c>
      <c r="H127" s="201" t="s">
        <v>114</v>
      </c>
      <c r="I127" s="201" t="s">
        <v>115</v>
      </c>
      <c r="J127" s="201" t="s">
        <v>116</v>
      </c>
      <c r="K127" s="201" t="s">
        <v>117</v>
      </c>
      <c r="L127" s="201" t="s">
        <v>118</v>
      </c>
      <c r="M127" s="201" t="s">
        <v>119</v>
      </c>
      <c r="N127" s="201" t="s">
        <v>120</v>
      </c>
      <c r="O127" s="201" t="s">
        <v>121</v>
      </c>
      <c r="P127" s="201" t="s">
        <v>122</v>
      </c>
      <c r="Q127" s="201" t="s">
        <v>123</v>
      </c>
      <c r="R127" s="201" t="s">
        <v>124</v>
      </c>
      <c r="S127" s="201" t="s">
        <v>125</v>
      </c>
      <c r="T127" s="201" t="s">
        <v>126</v>
      </c>
      <c r="U127" s="201" t="s">
        <v>127</v>
      </c>
      <c r="V127" s="202" t="s">
        <v>369</v>
      </c>
      <c r="W127" s="201" t="s">
        <v>352</v>
      </c>
      <c r="X127" s="744" t="s">
        <v>353</v>
      </c>
      <c r="Y127" s="744"/>
      <c r="Z127" s="201" t="s">
        <v>361</v>
      </c>
      <c r="AA127" s="203" t="s">
        <v>793</v>
      </c>
      <c r="AB127" s="203" t="s">
        <v>806</v>
      </c>
      <c r="AC127" s="571" t="s">
        <v>362</v>
      </c>
      <c r="AD127" s="203" t="s">
        <v>453</v>
      </c>
      <c r="AE127" s="744" t="s">
        <v>354</v>
      </c>
      <c r="AF127" s="744"/>
      <c r="AG127" s="571" t="s">
        <v>363</v>
      </c>
      <c r="AH127" s="204" t="s">
        <v>807</v>
      </c>
      <c r="AI127" s="204" t="s">
        <v>808</v>
      </c>
      <c r="AJ127" s="201" t="s">
        <v>364</v>
      </c>
      <c r="AK127" s="203" t="s">
        <v>453</v>
      </c>
      <c r="AL127" s="744" t="s">
        <v>355</v>
      </c>
      <c r="AM127" s="744"/>
      <c r="AN127" s="201" t="s">
        <v>365</v>
      </c>
      <c r="AO127" s="201" t="s">
        <v>809</v>
      </c>
      <c r="AP127" s="201" t="s">
        <v>810</v>
      </c>
      <c r="AQ127" s="201" t="s">
        <v>366</v>
      </c>
      <c r="AR127" s="203" t="s">
        <v>453</v>
      </c>
      <c r="AS127" s="744" t="s">
        <v>811</v>
      </c>
      <c r="AT127" s="744"/>
      <c r="AU127" s="201" t="s">
        <v>546</v>
      </c>
      <c r="AV127" s="203" t="s">
        <v>812</v>
      </c>
      <c r="AW127" s="201" t="s">
        <v>545</v>
      </c>
      <c r="AX127" s="203" t="s">
        <v>453</v>
      </c>
      <c r="AY127" s="744" t="s">
        <v>356</v>
      </c>
      <c r="AZ127" s="744"/>
      <c r="BA127" s="201" t="s">
        <v>367</v>
      </c>
      <c r="BB127" s="203" t="s">
        <v>813</v>
      </c>
      <c r="BC127" s="203" t="s">
        <v>814</v>
      </c>
      <c r="BD127" s="201" t="s">
        <v>368</v>
      </c>
      <c r="BE127" s="203" t="s">
        <v>453</v>
      </c>
      <c r="BF127" s="744"/>
      <c r="BG127" s="744"/>
      <c r="BH127" s="160"/>
      <c r="BJ127" s="462"/>
      <c r="BK127" s="462"/>
      <c r="BL127" s="462"/>
      <c r="BM127" s="463"/>
      <c r="BN127" s="463"/>
      <c r="BO127" s="463"/>
      <c r="BP127" s="462"/>
      <c r="BQ127" s="462"/>
      <c r="BR127" s="462"/>
      <c r="BS127" s="462"/>
      <c r="BT127" s="462"/>
      <c r="BU127" s="462"/>
      <c r="BV127" s="462"/>
      <c r="BW127" s="462"/>
      <c r="BX127" s="462"/>
      <c r="BY127" s="462"/>
      <c r="BZ127" s="462"/>
      <c r="CA127" s="462"/>
      <c r="CB127" s="464"/>
      <c r="CC127" s="462"/>
      <c r="CD127" s="462"/>
      <c r="CE127" s="464"/>
      <c r="CF127" s="464"/>
      <c r="CG127" s="464"/>
      <c r="CH127" s="464"/>
      <c r="CI127" s="462"/>
      <c r="CJ127" s="462"/>
      <c r="CK127" s="464"/>
      <c r="CL127" s="464"/>
      <c r="CM127" s="464"/>
      <c r="CN127" s="357"/>
      <c r="CO127" s="346"/>
      <c r="CP127" s="346"/>
      <c r="CQ127" s="171"/>
      <c r="CR127" s="171"/>
      <c r="CS127" s="171"/>
      <c r="CT127" s="171"/>
      <c r="CU127" s="171"/>
      <c r="CV127" s="171"/>
      <c r="CW127" s="171"/>
      <c r="CX127" s="171"/>
      <c r="CY127" s="171"/>
      <c r="CZ127" s="171"/>
      <c r="DA127" s="171"/>
      <c r="DB127" s="171"/>
      <c r="DC127" s="171"/>
      <c r="DD127" s="171"/>
      <c r="DE127" s="171"/>
      <c r="DF127" s="171"/>
      <c r="DG127" s="171"/>
      <c r="DH127" s="171"/>
      <c r="DI127" s="171"/>
      <c r="DJ127" s="171"/>
      <c r="DK127" s="171"/>
      <c r="DL127" s="171"/>
      <c r="DM127" s="171"/>
      <c r="DN127" s="171"/>
      <c r="DO127" s="171"/>
      <c r="DP127" s="171"/>
      <c r="DQ127" s="171"/>
      <c r="DR127" s="171"/>
      <c r="DS127" s="171"/>
      <c r="DT127" s="171"/>
      <c r="DU127" s="171"/>
      <c r="DV127" s="171"/>
      <c r="DW127" s="170"/>
      <c r="DX127" s="170"/>
      <c r="DY127" s="170"/>
      <c r="DZ127" s="170"/>
      <c r="EA127" s="170"/>
      <c r="EB127" s="170"/>
      <c r="EC127" s="170"/>
      <c r="ED127" s="170"/>
    </row>
    <row r="128" spans="1:134" s="147" customFormat="1" ht="15" hidden="1" customHeight="1" x14ac:dyDescent="0.25">
      <c r="A128" s="146"/>
      <c r="B128" s="453" t="s">
        <v>595</v>
      </c>
      <c r="C128" s="111"/>
      <c r="D128" s="205">
        <f t="shared" ref="D128:D137" si="257">VLOOKUP($C128,$BI$195:$CM$609,2,FALSE)</f>
        <v>0</v>
      </c>
      <c r="E128" s="91"/>
      <c r="F128" s="91"/>
      <c r="G128" s="91"/>
      <c r="H128" s="91"/>
      <c r="I128" s="91"/>
      <c r="J128" s="91"/>
      <c r="K128" s="91"/>
      <c r="L128" s="91"/>
      <c r="M128" s="91"/>
      <c r="N128" s="91"/>
      <c r="O128" s="91"/>
      <c r="P128" s="91"/>
      <c r="Q128" s="206">
        <f t="shared" ref="Q128:Q137" si="258">SUM(E128:P128)</f>
        <v>0</v>
      </c>
      <c r="R128" s="205">
        <f t="shared" ref="R128:R137" si="259">COUNT(E128:P128)</f>
        <v>0</v>
      </c>
      <c r="S128" s="206">
        <f t="shared" ref="S128:S137" si="260">IF(R128&gt;1,AVERAGE(E128:P128),0)</f>
        <v>0</v>
      </c>
      <c r="T128" s="206">
        <f t="shared" ref="T128:T137" si="261">IF(R128&gt;1,STDEV(E128:P128),0)</f>
        <v>0</v>
      </c>
      <c r="U128" s="206">
        <f t="shared" ref="U128:U137" si="262">IF(R128&gt;1,VLOOKUP($R128,$BI$529:$BJ$541,2,FALSE),0)</f>
        <v>0</v>
      </c>
      <c r="V128" s="92"/>
      <c r="W128" s="207">
        <f t="shared" ref="W128:W137" si="263">IF(R128&gt;1,1-((S128-((T128*U128)/(SQRT(R128))))/S128),VLOOKUP($C128,$BI$195:$CP$609,34,FALSE))</f>
        <v>0</v>
      </c>
      <c r="X128" s="208">
        <f t="shared" ref="X128:X137" si="264">VLOOKUP($C128,$BI$195:$CM$609,3,FALSE)</f>
        <v>0</v>
      </c>
      <c r="Y128" s="209">
        <f t="shared" ref="Y128:Y137" si="265">VLOOKUP($C128,$BI$195:$CM$609,4,FALSE)</f>
        <v>0</v>
      </c>
      <c r="Z128" s="207">
        <f t="shared" ref="Z128:Z137" si="266">IF($Q128&gt;0,VLOOKUP($C128,$BI$195:$CM$609,6,FALSE),0)</f>
        <v>0</v>
      </c>
      <c r="AA128" s="210">
        <f t="shared" ref="AA128:AA137" si="267">($Q128*X128)/1000</f>
        <v>0</v>
      </c>
      <c r="AB128" s="210">
        <f t="shared" ref="AB128:AB137" si="268">AA128*$BJ$547</f>
        <v>0</v>
      </c>
      <c r="AC128" s="207">
        <f t="shared" ref="AC128:AC137" si="269">IF(AA128&gt;0,SQRT(($W128*$W128)+(Z128*Z128)+($V128*$V128)),0)</f>
        <v>0</v>
      </c>
      <c r="AD128" s="210">
        <f t="shared" ref="AD128:AD137" si="270">(AB128*AC128)^2</f>
        <v>0</v>
      </c>
      <c r="AE128" s="211">
        <f t="shared" ref="AE128:AE137" si="271">VLOOKUP($C128,$BI$195:$CM$609,9,FALSE)</f>
        <v>0</v>
      </c>
      <c r="AF128" s="209">
        <f t="shared" ref="AF128:AF137" si="272">VLOOKUP($C128,$BI$195:$CM$609,10,FALSE)</f>
        <v>0</v>
      </c>
      <c r="AG128" s="207">
        <f t="shared" ref="AG128:AG137" si="273">IF($Q128&gt;0,VLOOKUP($C128,$BI$195:$CM$609,24,FALSE),0)</f>
        <v>0</v>
      </c>
      <c r="AH128" s="212">
        <f t="shared" ref="AH128:AH137" si="274">($Q128*AE128)/1000</f>
        <v>0</v>
      </c>
      <c r="AI128" s="212">
        <f t="shared" ref="AI128:AI137" si="275">AH128*$BJ$548</f>
        <v>0</v>
      </c>
      <c r="AJ128" s="207">
        <f t="shared" ref="AJ128:AJ137" si="276">IF(AH128&gt;0,SQRT(($W128*$W128)+(AG128*AG128)+($V128*$V128)),0)</f>
        <v>0</v>
      </c>
      <c r="AK128" s="210">
        <f t="shared" ref="AK128:AK137" si="277">(AI128*AJ128)^2</f>
        <v>0</v>
      </c>
      <c r="AL128" s="211">
        <f t="shared" ref="AL128:AL137" si="278">VLOOKUP($C128,$BI$195:$CM$609,15,FALSE)</f>
        <v>0</v>
      </c>
      <c r="AM128" s="209">
        <f t="shared" ref="AM128:AM137" si="279">VLOOKUP($C128,$BI$195:$CM$609,16,FALSE)</f>
        <v>0</v>
      </c>
      <c r="AN128" s="207">
        <f t="shared" ref="AN128:AN137" si="280">IF($Q128&gt;0,VLOOKUP($C128,$BI$195:$CM$609,30,FALSE),0)</f>
        <v>0</v>
      </c>
      <c r="AO128" s="212">
        <f t="shared" ref="AO128:AO137" si="281">($Q128*AL128)/1000</f>
        <v>0</v>
      </c>
      <c r="AP128" s="212">
        <f t="shared" ref="AP128:AP137" si="282">AO128*$BJ$549</f>
        <v>0</v>
      </c>
      <c r="AQ128" s="207">
        <f t="shared" ref="AQ128:AQ137" si="283">IF(AO128&gt;0,SQRT(($W128*$W128)+(AN128*AN128)+($V128*$V128)),0)</f>
        <v>0</v>
      </c>
      <c r="AR128" s="210">
        <f t="shared" ref="AR128:AR137" si="284">(AP128*AQ128)^2</f>
        <v>0</v>
      </c>
      <c r="AS128" s="213">
        <v>0</v>
      </c>
      <c r="AT128" s="209">
        <v>0</v>
      </c>
      <c r="AU128" s="207">
        <v>0</v>
      </c>
      <c r="AV128" s="212">
        <f t="shared" ref="AV128:AV137" si="285">($Q128*AS128)/1000</f>
        <v>0</v>
      </c>
      <c r="AW128" s="207">
        <f t="shared" ref="AW128:AW137" si="286">IF(AV128&gt;0,SQRT(($W128*$W128)+(AU128*AU128)+($V128*$V128)),0)</f>
        <v>0</v>
      </c>
      <c r="AX128" s="210">
        <f t="shared" ref="AX128:AX137" si="287">(AV128*AW128)^2</f>
        <v>0</v>
      </c>
      <c r="AY128" s="213">
        <v>0</v>
      </c>
      <c r="AZ128" s="209">
        <v>0</v>
      </c>
      <c r="BA128" s="207">
        <v>0</v>
      </c>
      <c r="BB128" s="212">
        <f t="shared" ref="BB128:BB137" si="288">($Q128*AY128)/1000</f>
        <v>0</v>
      </c>
      <c r="BC128" s="212">
        <f t="shared" ref="BC128:BC137" si="289">BB128*$BJ$550</f>
        <v>0</v>
      </c>
      <c r="BD128" s="207">
        <f t="shared" ref="BD128:BD137" si="290">IF(BB128&gt;0,SQRT(($W128*$W128)+(BA128*BA128)+($V128*$V128)),0)</f>
        <v>0</v>
      </c>
      <c r="BE128" s="210">
        <f t="shared" ref="BE128:BE137" si="291">(BC128*BD128)^2</f>
        <v>0</v>
      </c>
      <c r="BF128" s="206">
        <f t="shared" ref="BF128:BF137" si="292">AB128+AI128+AP128+AV128+BC128</f>
        <v>0</v>
      </c>
      <c r="BG128" s="207">
        <f t="shared" ref="BG128:BG137" si="293">IF(BF128&gt;0,SQRT(AD128+AK128+AR128+AX128+BE128)/BF128,0)</f>
        <v>0</v>
      </c>
      <c r="BH128" s="160">
        <f t="shared" ref="BH128:BH150" si="294">(BF128*BG128)^2</f>
        <v>0</v>
      </c>
      <c r="BI128" s="200"/>
      <c r="BJ128" s="462"/>
      <c r="BK128" s="462"/>
      <c r="BL128" s="462"/>
      <c r="BM128" s="463"/>
      <c r="BN128" s="463"/>
      <c r="BO128" s="463"/>
      <c r="BP128" s="462"/>
      <c r="BQ128" s="462"/>
      <c r="BR128" s="462"/>
      <c r="BS128" s="462"/>
      <c r="BT128" s="462"/>
      <c r="BU128" s="462"/>
      <c r="BV128" s="462"/>
      <c r="BW128" s="462"/>
      <c r="BX128" s="462"/>
      <c r="BY128" s="462"/>
      <c r="BZ128" s="462"/>
      <c r="CA128" s="462"/>
      <c r="CB128" s="464"/>
      <c r="CC128" s="462"/>
      <c r="CD128" s="462"/>
      <c r="CE128" s="464"/>
      <c r="CF128" s="464"/>
      <c r="CG128" s="464"/>
      <c r="CH128" s="464"/>
      <c r="CI128" s="462"/>
      <c r="CJ128" s="462"/>
      <c r="CK128" s="464"/>
      <c r="CL128" s="464"/>
      <c r="CM128" s="464"/>
      <c r="CN128" s="357"/>
      <c r="CO128" s="346"/>
      <c r="CP128" s="346"/>
      <c r="CQ128" s="171"/>
      <c r="CR128" s="171"/>
      <c r="CS128" s="171"/>
      <c r="CT128" s="171"/>
      <c r="CU128" s="171"/>
      <c r="CV128" s="171"/>
      <c r="CW128" s="171"/>
      <c r="CX128" s="171"/>
      <c r="CY128" s="171"/>
      <c r="CZ128" s="171"/>
      <c r="DA128" s="171"/>
      <c r="DB128" s="171"/>
      <c r="DC128" s="171"/>
      <c r="DD128" s="171"/>
      <c r="DE128" s="171"/>
      <c r="DF128" s="171"/>
      <c r="DG128" s="171"/>
      <c r="DH128" s="171"/>
      <c r="DI128" s="171"/>
      <c r="DJ128" s="171"/>
      <c r="DK128" s="171"/>
      <c r="DL128" s="171"/>
      <c r="DM128" s="171"/>
      <c r="DN128" s="171"/>
      <c r="DO128" s="171"/>
      <c r="DP128" s="171"/>
      <c r="DQ128" s="171"/>
      <c r="DR128" s="171"/>
      <c r="DS128" s="171"/>
      <c r="DT128" s="171"/>
      <c r="DU128" s="171"/>
      <c r="DV128" s="171"/>
      <c r="DW128" s="170"/>
      <c r="DX128" s="170"/>
      <c r="DY128" s="170"/>
      <c r="DZ128" s="170"/>
      <c r="EA128" s="170"/>
      <c r="EB128" s="170"/>
      <c r="EC128" s="170"/>
      <c r="ED128" s="170"/>
    </row>
    <row r="129" spans="1:134" s="147" customFormat="1" hidden="1" x14ac:dyDescent="0.25">
      <c r="A129" s="146"/>
      <c r="B129" s="454" t="s">
        <v>594</v>
      </c>
      <c r="C129" s="111"/>
      <c r="D129" s="205">
        <f t="shared" si="257"/>
        <v>0</v>
      </c>
      <c r="E129" s="91"/>
      <c r="F129" s="91"/>
      <c r="G129" s="91"/>
      <c r="H129" s="91"/>
      <c r="I129" s="91"/>
      <c r="J129" s="91"/>
      <c r="K129" s="91"/>
      <c r="L129" s="91"/>
      <c r="M129" s="91"/>
      <c r="N129" s="91"/>
      <c r="O129" s="91"/>
      <c r="P129" s="91"/>
      <c r="Q129" s="206">
        <f t="shared" si="258"/>
        <v>0</v>
      </c>
      <c r="R129" s="205">
        <f t="shared" si="259"/>
        <v>0</v>
      </c>
      <c r="S129" s="206">
        <f t="shared" si="260"/>
        <v>0</v>
      </c>
      <c r="T129" s="206">
        <f t="shared" si="261"/>
        <v>0</v>
      </c>
      <c r="U129" s="206">
        <f t="shared" si="262"/>
        <v>0</v>
      </c>
      <c r="V129" s="92"/>
      <c r="W129" s="207">
        <f t="shared" si="263"/>
        <v>0</v>
      </c>
      <c r="X129" s="208">
        <f t="shared" si="264"/>
        <v>0</v>
      </c>
      <c r="Y129" s="209">
        <f t="shared" si="265"/>
        <v>0</v>
      </c>
      <c r="Z129" s="207">
        <f t="shared" si="266"/>
        <v>0</v>
      </c>
      <c r="AA129" s="210">
        <f t="shared" si="267"/>
        <v>0</v>
      </c>
      <c r="AB129" s="210">
        <f t="shared" si="268"/>
        <v>0</v>
      </c>
      <c r="AC129" s="207">
        <f t="shared" si="269"/>
        <v>0</v>
      </c>
      <c r="AD129" s="210">
        <f t="shared" si="270"/>
        <v>0</v>
      </c>
      <c r="AE129" s="211">
        <f t="shared" si="271"/>
        <v>0</v>
      </c>
      <c r="AF129" s="209">
        <f t="shared" si="272"/>
        <v>0</v>
      </c>
      <c r="AG129" s="207">
        <f t="shared" si="273"/>
        <v>0</v>
      </c>
      <c r="AH129" s="212">
        <f t="shared" si="274"/>
        <v>0</v>
      </c>
      <c r="AI129" s="212">
        <f t="shared" si="275"/>
        <v>0</v>
      </c>
      <c r="AJ129" s="207">
        <f t="shared" si="276"/>
        <v>0</v>
      </c>
      <c r="AK129" s="210">
        <f t="shared" si="277"/>
        <v>0</v>
      </c>
      <c r="AL129" s="211">
        <f t="shared" si="278"/>
        <v>0</v>
      </c>
      <c r="AM129" s="209">
        <f t="shared" si="279"/>
        <v>0</v>
      </c>
      <c r="AN129" s="207">
        <f t="shared" si="280"/>
        <v>0</v>
      </c>
      <c r="AO129" s="212">
        <f t="shared" si="281"/>
        <v>0</v>
      </c>
      <c r="AP129" s="212">
        <f t="shared" si="282"/>
        <v>0</v>
      </c>
      <c r="AQ129" s="207">
        <f t="shared" si="283"/>
        <v>0</v>
      </c>
      <c r="AR129" s="210">
        <f t="shared" si="284"/>
        <v>0</v>
      </c>
      <c r="AS129" s="213">
        <v>0</v>
      </c>
      <c r="AT129" s="209">
        <v>0</v>
      </c>
      <c r="AU129" s="207">
        <v>0</v>
      </c>
      <c r="AV129" s="212">
        <f t="shared" si="285"/>
        <v>0</v>
      </c>
      <c r="AW129" s="207">
        <f t="shared" si="286"/>
        <v>0</v>
      </c>
      <c r="AX129" s="210">
        <f t="shared" si="287"/>
        <v>0</v>
      </c>
      <c r="AY129" s="213">
        <v>0</v>
      </c>
      <c r="AZ129" s="209">
        <v>0</v>
      </c>
      <c r="BA129" s="207">
        <v>0</v>
      </c>
      <c r="BB129" s="212">
        <f t="shared" si="288"/>
        <v>0</v>
      </c>
      <c r="BC129" s="212">
        <f t="shared" si="289"/>
        <v>0</v>
      </c>
      <c r="BD129" s="207">
        <f t="shared" si="290"/>
        <v>0</v>
      </c>
      <c r="BE129" s="210">
        <f t="shared" si="291"/>
        <v>0</v>
      </c>
      <c r="BF129" s="206">
        <f t="shared" si="292"/>
        <v>0</v>
      </c>
      <c r="BG129" s="207">
        <f t="shared" si="293"/>
        <v>0</v>
      </c>
      <c r="BH129" s="160">
        <f t="shared" si="294"/>
        <v>0</v>
      </c>
      <c r="BI129" s="200"/>
      <c r="BJ129" s="462"/>
      <c r="BK129" s="462"/>
      <c r="BL129" s="462"/>
      <c r="BM129" s="463"/>
      <c r="BN129" s="463"/>
      <c r="BO129" s="463"/>
      <c r="BP129" s="462"/>
      <c r="BQ129" s="462"/>
      <c r="BR129" s="462"/>
      <c r="BS129" s="462"/>
      <c r="BT129" s="462"/>
      <c r="BU129" s="462"/>
      <c r="BV129" s="462"/>
      <c r="BW129" s="462"/>
      <c r="BX129" s="462"/>
      <c r="BY129" s="462"/>
      <c r="BZ129" s="462"/>
      <c r="CA129" s="462"/>
      <c r="CB129" s="464"/>
      <c r="CC129" s="462"/>
      <c r="CD129" s="462"/>
      <c r="CE129" s="464"/>
      <c r="CF129" s="464"/>
      <c r="CG129" s="464"/>
      <c r="CH129" s="464"/>
      <c r="CI129" s="462"/>
      <c r="CJ129" s="462"/>
      <c r="CK129" s="464"/>
      <c r="CL129" s="464"/>
      <c r="CM129" s="464"/>
      <c r="CN129" s="357"/>
      <c r="CO129" s="346"/>
      <c r="CP129" s="346"/>
      <c r="CQ129" s="171"/>
      <c r="CR129" s="171"/>
      <c r="CS129" s="171"/>
      <c r="CT129" s="171"/>
      <c r="CU129" s="171"/>
      <c r="CV129" s="171"/>
      <c r="CW129" s="171"/>
      <c r="CX129" s="171"/>
      <c r="CY129" s="171"/>
      <c r="CZ129" s="171"/>
      <c r="DA129" s="171"/>
      <c r="DB129" s="171"/>
      <c r="DC129" s="171"/>
      <c r="DD129" s="171"/>
      <c r="DE129" s="171"/>
      <c r="DF129" s="171"/>
      <c r="DG129" s="171"/>
      <c r="DH129" s="171"/>
      <c r="DI129" s="171"/>
      <c r="DJ129" s="171"/>
      <c r="DK129" s="171"/>
      <c r="DL129" s="171"/>
      <c r="DM129" s="171"/>
      <c r="DN129" s="171"/>
      <c r="DO129" s="171"/>
      <c r="DP129" s="171"/>
      <c r="DQ129" s="171"/>
      <c r="DR129" s="171"/>
      <c r="DS129" s="171"/>
      <c r="DT129" s="171"/>
      <c r="DU129" s="171"/>
      <c r="DV129" s="171"/>
      <c r="DW129" s="170"/>
      <c r="DX129" s="170"/>
      <c r="DY129" s="170"/>
      <c r="DZ129" s="170"/>
      <c r="EA129" s="170"/>
      <c r="EB129" s="170"/>
      <c r="EC129" s="170"/>
      <c r="ED129" s="170"/>
    </row>
    <row r="130" spans="1:134" s="147" customFormat="1" hidden="1" x14ac:dyDescent="0.25">
      <c r="A130" s="146"/>
      <c r="B130" s="454"/>
      <c r="C130" s="111"/>
      <c r="D130" s="205">
        <f t="shared" si="257"/>
        <v>0</v>
      </c>
      <c r="E130" s="91"/>
      <c r="F130" s="91"/>
      <c r="G130" s="91"/>
      <c r="H130" s="91"/>
      <c r="I130" s="91"/>
      <c r="J130" s="91"/>
      <c r="K130" s="91"/>
      <c r="L130" s="91"/>
      <c r="M130" s="91"/>
      <c r="N130" s="91"/>
      <c r="O130" s="91"/>
      <c r="P130" s="91"/>
      <c r="Q130" s="206">
        <f t="shared" si="258"/>
        <v>0</v>
      </c>
      <c r="R130" s="205">
        <f t="shared" si="259"/>
        <v>0</v>
      </c>
      <c r="S130" s="206">
        <f t="shared" si="260"/>
        <v>0</v>
      </c>
      <c r="T130" s="206">
        <f t="shared" si="261"/>
        <v>0</v>
      </c>
      <c r="U130" s="206">
        <f t="shared" si="262"/>
        <v>0</v>
      </c>
      <c r="V130" s="92"/>
      <c r="W130" s="207">
        <f t="shared" si="263"/>
        <v>0</v>
      </c>
      <c r="X130" s="208">
        <f t="shared" si="264"/>
        <v>0</v>
      </c>
      <c r="Y130" s="209">
        <f t="shared" si="265"/>
        <v>0</v>
      </c>
      <c r="Z130" s="207">
        <f t="shared" si="266"/>
        <v>0</v>
      </c>
      <c r="AA130" s="210">
        <f t="shared" si="267"/>
        <v>0</v>
      </c>
      <c r="AB130" s="210">
        <f t="shared" si="268"/>
        <v>0</v>
      </c>
      <c r="AC130" s="207">
        <f t="shared" si="269"/>
        <v>0</v>
      </c>
      <c r="AD130" s="210">
        <f t="shared" si="270"/>
        <v>0</v>
      </c>
      <c r="AE130" s="211">
        <f t="shared" si="271"/>
        <v>0</v>
      </c>
      <c r="AF130" s="209">
        <f t="shared" si="272"/>
        <v>0</v>
      </c>
      <c r="AG130" s="207">
        <f t="shared" si="273"/>
        <v>0</v>
      </c>
      <c r="AH130" s="212">
        <f t="shared" si="274"/>
        <v>0</v>
      </c>
      <c r="AI130" s="212">
        <f t="shared" si="275"/>
        <v>0</v>
      </c>
      <c r="AJ130" s="207">
        <f t="shared" si="276"/>
        <v>0</v>
      </c>
      <c r="AK130" s="210">
        <f t="shared" si="277"/>
        <v>0</v>
      </c>
      <c r="AL130" s="211">
        <f t="shared" si="278"/>
        <v>0</v>
      </c>
      <c r="AM130" s="209">
        <f t="shared" si="279"/>
        <v>0</v>
      </c>
      <c r="AN130" s="207">
        <f t="shared" si="280"/>
        <v>0</v>
      </c>
      <c r="AO130" s="212">
        <f t="shared" si="281"/>
        <v>0</v>
      </c>
      <c r="AP130" s="212">
        <f t="shared" si="282"/>
        <v>0</v>
      </c>
      <c r="AQ130" s="207">
        <f t="shared" si="283"/>
        <v>0</v>
      </c>
      <c r="AR130" s="210">
        <f t="shared" si="284"/>
        <v>0</v>
      </c>
      <c r="AS130" s="213">
        <v>0</v>
      </c>
      <c r="AT130" s="209">
        <v>0</v>
      </c>
      <c r="AU130" s="207">
        <v>0</v>
      </c>
      <c r="AV130" s="212">
        <f t="shared" si="285"/>
        <v>0</v>
      </c>
      <c r="AW130" s="207">
        <f t="shared" si="286"/>
        <v>0</v>
      </c>
      <c r="AX130" s="210">
        <f t="shared" si="287"/>
        <v>0</v>
      </c>
      <c r="AY130" s="213">
        <v>0</v>
      </c>
      <c r="AZ130" s="209">
        <v>0</v>
      </c>
      <c r="BA130" s="207">
        <v>0</v>
      </c>
      <c r="BB130" s="212">
        <f t="shared" si="288"/>
        <v>0</v>
      </c>
      <c r="BC130" s="212">
        <f t="shared" si="289"/>
        <v>0</v>
      </c>
      <c r="BD130" s="207">
        <f t="shared" si="290"/>
        <v>0</v>
      </c>
      <c r="BE130" s="210">
        <f t="shared" si="291"/>
        <v>0</v>
      </c>
      <c r="BF130" s="206">
        <f t="shared" si="292"/>
        <v>0</v>
      </c>
      <c r="BG130" s="207">
        <f t="shared" si="293"/>
        <v>0</v>
      </c>
      <c r="BH130" s="160">
        <f t="shared" si="294"/>
        <v>0</v>
      </c>
      <c r="BI130" s="200"/>
      <c r="BJ130" s="462"/>
      <c r="BK130" s="462"/>
      <c r="BL130" s="462"/>
      <c r="BM130" s="463"/>
      <c r="BN130" s="463"/>
      <c r="BO130" s="463"/>
      <c r="BP130" s="462"/>
      <c r="BQ130" s="462"/>
      <c r="BR130" s="462"/>
      <c r="BS130" s="462"/>
      <c r="BT130" s="462"/>
      <c r="BU130" s="462"/>
      <c r="BV130" s="462"/>
      <c r="BW130" s="462"/>
      <c r="BX130" s="462"/>
      <c r="BY130" s="462"/>
      <c r="BZ130" s="462"/>
      <c r="CA130" s="462"/>
      <c r="CB130" s="464"/>
      <c r="CC130" s="462"/>
      <c r="CD130" s="462"/>
      <c r="CE130" s="464"/>
      <c r="CF130" s="464"/>
      <c r="CG130" s="464"/>
      <c r="CH130" s="464"/>
      <c r="CI130" s="462"/>
      <c r="CJ130" s="462"/>
      <c r="CK130" s="464"/>
      <c r="CL130" s="464"/>
      <c r="CM130" s="464"/>
      <c r="CN130" s="357"/>
      <c r="CO130" s="346"/>
      <c r="CP130" s="346"/>
      <c r="CQ130" s="171"/>
      <c r="CR130" s="171"/>
      <c r="CS130" s="171"/>
      <c r="CT130" s="171"/>
      <c r="CU130" s="171"/>
      <c r="CV130" s="171"/>
      <c r="CW130" s="171"/>
      <c r="CX130" s="171"/>
      <c r="CY130" s="171"/>
      <c r="CZ130" s="171"/>
      <c r="DA130" s="171"/>
      <c r="DB130" s="171"/>
      <c r="DC130" s="171"/>
      <c r="DD130" s="171"/>
      <c r="DE130" s="171"/>
      <c r="DF130" s="171"/>
      <c r="DG130" s="171"/>
      <c r="DH130" s="171"/>
      <c r="DI130" s="171"/>
      <c r="DJ130" s="171"/>
      <c r="DK130" s="171"/>
      <c r="DL130" s="171"/>
      <c r="DM130" s="171"/>
      <c r="DN130" s="171"/>
      <c r="DO130" s="171"/>
      <c r="DP130" s="171"/>
      <c r="DQ130" s="171"/>
      <c r="DR130" s="171"/>
      <c r="DS130" s="171"/>
      <c r="DT130" s="171"/>
      <c r="DU130" s="171"/>
      <c r="DV130" s="171"/>
      <c r="DW130" s="170"/>
      <c r="DX130" s="170"/>
      <c r="DY130" s="170"/>
      <c r="DZ130" s="170"/>
      <c r="EA130" s="170"/>
      <c r="EB130" s="170"/>
      <c r="EC130" s="170"/>
      <c r="ED130" s="170"/>
    </row>
    <row r="131" spans="1:134" s="147" customFormat="1" hidden="1" x14ac:dyDescent="0.25">
      <c r="A131" s="146"/>
      <c r="B131" s="455"/>
      <c r="C131" s="111"/>
      <c r="D131" s="205">
        <f t="shared" si="257"/>
        <v>0</v>
      </c>
      <c r="E131" s="91"/>
      <c r="F131" s="91"/>
      <c r="G131" s="91"/>
      <c r="H131" s="91"/>
      <c r="I131" s="91"/>
      <c r="J131" s="91"/>
      <c r="K131" s="91"/>
      <c r="L131" s="91"/>
      <c r="M131" s="91"/>
      <c r="N131" s="91"/>
      <c r="O131" s="91"/>
      <c r="P131" s="91"/>
      <c r="Q131" s="206">
        <f t="shared" si="258"/>
        <v>0</v>
      </c>
      <c r="R131" s="205">
        <f t="shared" si="259"/>
        <v>0</v>
      </c>
      <c r="S131" s="206">
        <f t="shared" si="260"/>
        <v>0</v>
      </c>
      <c r="T131" s="206">
        <f t="shared" si="261"/>
        <v>0</v>
      </c>
      <c r="U131" s="206">
        <f t="shared" si="262"/>
        <v>0</v>
      </c>
      <c r="V131" s="92"/>
      <c r="W131" s="207">
        <f t="shared" si="263"/>
        <v>0</v>
      </c>
      <c r="X131" s="208">
        <f t="shared" si="264"/>
        <v>0</v>
      </c>
      <c r="Y131" s="209">
        <f t="shared" si="265"/>
        <v>0</v>
      </c>
      <c r="Z131" s="207">
        <f t="shared" si="266"/>
        <v>0</v>
      </c>
      <c r="AA131" s="210">
        <f t="shared" si="267"/>
        <v>0</v>
      </c>
      <c r="AB131" s="210">
        <f t="shared" si="268"/>
        <v>0</v>
      </c>
      <c r="AC131" s="207">
        <f t="shared" si="269"/>
        <v>0</v>
      </c>
      <c r="AD131" s="210">
        <f t="shared" si="270"/>
        <v>0</v>
      </c>
      <c r="AE131" s="211">
        <f t="shared" si="271"/>
        <v>0</v>
      </c>
      <c r="AF131" s="209">
        <f t="shared" si="272"/>
        <v>0</v>
      </c>
      <c r="AG131" s="207">
        <f t="shared" si="273"/>
        <v>0</v>
      </c>
      <c r="AH131" s="212">
        <f t="shared" si="274"/>
        <v>0</v>
      </c>
      <c r="AI131" s="212">
        <f t="shared" si="275"/>
        <v>0</v>
      </c>
      <c r="AJ131" s="207">
        <f t="shared" si="276"/>
        <v>0</v>
      </c>
      <c r="AK131" s="210">
        <f t="shared" si="277"/>
        <v>0</v>
      </c>
      <c r="AL131" s="211">
        <f t="shared" si="278"/>
        <v>0</v>
      </c>
      <c r="AM131" s="209">
        <f t="shared" si="279"/>
        <v>0</v>
      </c>
      <c r="AN131" s="207">
        <f t="shared" si="280"/>
        <v>0</v>
      </c>
      <c r="AO131" s="212">
        <f t="shared" si="281"/>
        <v>0</v>
      </c>
      <c r="AP131" s="212">
        <f t="shared" si="282"/>
        <v>0</v>
      </c>
      <c r="AQ131" s="207">
        <f t="shared" si="283"/>
        <v>0</v>
      </c>
      <c r="AR131" s="210">
        <f t="shared" si="284"/>
        <v>0</v>
      </c>
      <c r="AS131" s="213">
        <v>0</v>
      </c>
      <c r="AT131" s="209">
        <v>0</v>
      </c>
      <c r="AU131" s="207">
        <v>0</v>
      </c>
      <c r="AV131" s="212">
        <f t="shared" si="285"/>
        <v>0</v>
      </c>
      <c r="AW131" s="207">
        <f t="shared" si="286"/>
        <v>0</v>
      </c>
      <c r="AX131" s="210">
        <f t="shared" si="287"/>
        <v>0</v>
      </c>
      <c r="AY131" s="213">
        <v>0</v>
      </c>
      <c r="AZ131" s="209">
        <v>0</v>
      </c>
      <c r="BA131" s="207">
        <v>0</v>
      </c>
      <c r="BB131" s="212">
        <f t="shared" si="288"/>
        <v>0</v>
      </c>
      <c r="BC131" s="212">
        <f t="shared" si="289"/>
        <v>0</v>
      </c>
      <c r="BD131" s="207">
        <f t="shared" si="290"/>
        <v>0</v>
      </c>
      <c r="BE131" s="210">
        <f t="shared" si="291"/>
        <v>0</v>
      </c>
      <c r="BF131" s="206">
        <f t="shared" si="292"/>
        <v>0</v>
      </c>
      <c r="BG131" s="207">
        <f t="shared" si="293"/>
        <v>0</v>
      </c>
      <c r="BH131" s="160">
        <f t="shared" si="294"/>
        <v>0</v>
      </c>
      <c r="BI131" s="200"/>
      <c r="BJ131" s="462"/>
      <c r="BK131" s="462"/>
      <c r="BL131" s="462"/>
      <c r="BM131" s="463"/>
      <c r="BN131" s="463"/>
      <c r="BO131" s="463"/>
      <c r="BP131" s="462"/>
      <c r="BQ131" s="462"/>
      <c r="BR131" s="462"/>
      <c r="BS131" s="462"/>
      <c r="BT131" s="462"/>
      <c r="BU131" s="462"/>
      <c r="BV131" s="462"/>
      <c r="BW131" s="462"/>
      <c r="BX131" s="462"/>
      <c r="BY131" s="462"/>
      <c r="BZ131" s="462"/>
      <c r="CA131" s="462"/>
      <c r="CB131" s="464"/>
      <c r="CC131" s="462"/>
      <c r="CD131" s="462"/>
      <c r="CE131" s="464"/>
      <c r="CF131" s="464"/>
      <c r="CG131" s="464"/>
      <c r="CH131" s="464"/>
      <c r="CI131" s="462"/>
      <c r="CJ131" s="462"/>
      <c r="CK131" s="464"/>
      <c r="CL131" s="464"/>
      <c r="CM131" s="464"/>
      <c r="CN131" s="357"/>
      <c r="CO131" s="346"/>
      <c r="CP131" s="346"/>
      <c r="CQ131" s="171"/>
      <c r="CR131" s="171"/>
      <c r="CS131" s="171"/>
      <c r="CT131" s="171"/>
      <c r="CU131" s="171"/>
      <c r="CV131" s="171"/>
      <c r="CW131" s="171"/>
      <c r="CX131" s="171"/>
      <c r="CY131" s="171"/>
      <c r="CZ131" s="171"/>
      <c r="DA131" s="171"/>
      <c r="DB131" s="171"/>
      <c r="DC131" s="171"/>
      <c r="DD131" s="171"/>
      <c r="DE131" s="171"/>
      <c r="DF131" s="171"/>
      <c r="DG131" s="171"/>
      <c r="DH131" s="171"/>
      <c r="DI131" s="171"/>
      <c r="DJ131" s="171"/>
      <c r="DK131" s="171"/>
      <c r="DL131" s="171"/>
      <c r="DM131" s="171"/>
      <c r="DN131" s="171"/>
      <c r="DO131" s="171"/>
      <c r="DP131" s="171"/>
      <c r="DQ131" s="171"/>
      <c r="DR131" s="171"/>
      <c r="DS131" s="171"/>
      <c r="DT131" s="171"/>
      <c r="DU131" s="171"/>
      <c r="DV131" s="171"/>
      <c r="DW131" s="170"/>
      <c r="DX131" s="170"/>
      <c r="DY131" s="170"/>
      <c r="DZ131" s="170"/>
      <c r="EA131" s="170"/>
      <c r="EB131" s="170"/>
      <c r="EC131" s="170"/>
      <c r="ED131" s="170"/>
    </row>
    <row r="132" spans="1:134" s="147" customFormat="1" ht="15" hidden="1" customHeight="1" x14ac:dyDescent="0.25">
      <c r="A132" s="146"/>
      <c r="B132" s="453" t="s">
        <v>600</v>
      </c>
      <c r="C132" s="111"/>
      <c r="D132" s="205">
        <f t="shared" si="257"/>
        <v>0</v>
      </c>
      <c r="E132" s="91"/>
      <c r="F132" s="91"/>
      <c r="G132" s="91"/>
      <c r="H132" s="91"/>
      <c r="I132" s="91"/>
      <c r="J132" s="91"/>
      <c r="K132" s="91"/>
      <c r="L132" s="91"/>
      <c r="M132" s="91"/>
      <c r="N132" s="91"/>
      <c r="O132" s="91"/>
      <c r="P132" s="91"/>
      <c r="Q132" s="206">
        <f t="shared" si="258"/>
        <v>0</v>
      </c>
      <c r="R132" s="205">
        <f t="shared" si="259"/>
        <v>0</v>
      </c>
      <c r="S132" s="206">
        <f t="shared" si="260"/>
        <v>0</v>
      </c>
      <c r="T132" s="206">
        <f t="shared" si="261"/>
        <v>0</v>
      </c>
      <c r="U132" s="206">
        <f t="shared" si="262"/>
        <v>0</v>
      </c>
      <c r="V132" s="92"/>
      <c r="W132" s="207">
        <f t="shared" si="263"/>
        <v>0</v>
      </c>
      <c r="X132" s="208">
        <f t="shared" si="264"/>
        <v>0</v>
      </c>
      <c r="Y132" s="209">
        <f t="shared" si="265"/>
        <v>0</v>
      </c>
      <c r="Z132" s="207">
        <f t="shared" si="266"/>
        <v>0</v>
      </c>
      <c r="AA132" s="210">
        <f t="shared" si="267"/>
        <v>0</v>
      </c>
      <c r="AB132" s="210">
        <f t="shared" si="268"/>
        <v>0</v>
      </c>
      <c r="AC132" s="207">
        <f t="shared" si="269"/>
        <v>0</v>
      </c>
      <c r="AD132" s="210">
        <f t="shared" si="270"/>
        <v>0</v>
      </c>
      <c r="AE132" s="211">
        <f t="shared" si="271"/>
        <v>0</v>
      </c>
      <c r="AF132" s="209">
        <f t="shared" si="272"/>
        <v>0</v>
      </c>
      <c r="AG132" s="207">
        <f t="shared" si="273"/>
        <v>0</v>
      </c>
      <c r="AH132" s="212">
        <f t="shared" si="274"/>
        <v>0</v>
      </c>
      <c r="AI132" s="212">
        <f t="shared" si="275"/>
        <v>0</v>
      </c>
      <c r="AJ132" s="207">
        <f t="shared" si="276"/>
        <v>0</v>
      </c>
      <c r="AK132" s="210">
        <f t="shared" si="277"/>
        <v>0</v>
      </c>
      <c r="AL132" s="211">
        <f t="shared" si="278"/>
        <v>0</v>
      </c>
      <c r="AM132" s="209">
        <f t="shared" si="279"/>
        <v>0</v>
      </c>
      <c r="AN132" s="207">
        <f t="shared" si="280"/>
        <v>0</v>
      </c>
      <c r="AO132" s="212">
        <f t="shared" si="281"/>
        <v>0</v>
      </c>
      <c r="AP132" s="212">
        <f t="shared" si="282"/>
        <v>0</v>
      </c>
      <c r="AQ132" s="207">
        <f t="shared" si="283"/>
        <v>0</v>
      </c>
      <c r="AR132" s="210">
        <f t="shared" si="284"/>
        <v>0</v>
      </c>
      <c r="AS132" s="213">
        <v>0</v>
      </c>
      <c r="AT132" s="209">
        <v>0</v>
      </c>
      <c r="AU132" s="207">
        <v>0</v>
      </c>
      <c r="AV132" s="212">
        <f t="shared" si="285"/>
        <v>0</v>
      </c>
      <c r="AW132" s="207">
        <f t="shared" si="286"/>
        <v>0</v>
      </c>
      <c r="AX132" s="210">
        <f t="shared" si="287"/>
        <v>0</v>
      </c>
      <c r="AY132" s="213">
        <v>0</v>
      </c>
      <c r="AZ132" s="209">
        <v>0</v>
      </c>
      <c r="BA132" s="207">
        <v>0</v>
      </c>
      <c r="BB132" s="212">
        <f t="shared" si="288"/>
        <v>0</v>
      </c>
      <c r="BC132" s="212">
        <f t="shared" si="289"/>
        <v>0</v>
      </c>
      <c r="BD132" s="207">
        <f t="shared" si="290"/>
        <v>0</v>
      </c>
      <c r="BE132" s="210">
        <f t="shared" si="291"/>
        <v>0</v>
      </c>
      <c r="BF132" s="206">
        <f t="shared" si="292"/>
        <v>0</v>
      </c>
      <c r="BG132" s="207">
        <f t="shared" si="293"/>
        <v>0</v>
      </c>
      <c r="BH132" s="160">
        <f t="shared" si="294"/>
        <v>0</v>
      </c>
      <c r="BI132" s="200"/>
      <c r="BJ132" s="462"/>
      <c r="BK132" s="462"/>
      <c r="BL132" s="462"/>
      <c r="BM132" s="463"/>
      <c r="BN132" s="463"/>
      <c r="BO132" s="463"/>
      <c r="BP132" s="462"/>
      <c r="BQ132" s="462"/>
      <c r="BR132" s="462"/>
      <c r="BS132" s="462"/>
      <c r="BT132" s="462"/>
      <c r="BU132" s="462"/>
      <c r="BV132" s="462"/>
      <c r="BW132" s="462"/>
      <c r="BX132" s="462"/>
      <c r="BY132" s="462"/>
      <c r="BZ132" s="462"/>
      <c r="CA132" s="462"/>
      <c r="CB132" s="464"/>
      <c r="CC132" s="462"/>
      <c r="CD132" s="462"/>
      <c r="CE132" s="464"/>
      <c r="CF132" s="464"/>
      <c r="CG132" s="464"/>
      <c r="CH132" s="464"/>
      <c r="CI132" s="462"/>
      <c r="CJ132" s="462"/>
      <c r="CK132" s="464"/>
      <c r="CL132" s="464"/>
      <c r="CM132" s="464"/>
      <c r="CN132" s="357"/>
      <c r="CO132" s="346"/>
      <c r="CP132" s="346"/>
      <c r="CQ132" s="171"/>
      <c r="CR132" s="171"/>
      <c r="CS132" s="171"/>
      <c r="CT132" s="171"/>
      <c r="CU132" s="171"/>
      <c r="CV132" s="171"/>
      <c r="CW132" s="171"/>
      <c r="CX132" s="171"/>
      <c r="CY132" s="171"/>
      <c r="CZ132" s="171"/>
      <c r="DA132" s="171"/>
      <c r="DB132" s="171"/>
      <c r="DC132" s="171"/>
      <c r="DD132" s="171"/>
      <c r="DE132" s="171"/>
      <c r="DF132" s="171"/>
      <c r="DG132" s="171"/>
      <c r="DH132" s="171"/>
      <c r="DI132" s="171"/>
      <c r="DJ132" s="171"/>
      <c r="DK132" s="171"/>
      <c r="DL132" s="171"/>
      <c r="DM132" s="171"/>
      <c r="DN132" s="171"/>
      <c r="DO132" s="171"/>
      <c r="DP132" s="171"/>
      <c r="DQ132" s="171"/>
      <c r="DR132" s="171"/>
      <c r="DS132" s="171"/>
      <c r="DT132" s="171"/>
      <c r="DU132" s="171"/>
      <c r="DV132" s="171"/>
      <c r="DW132" s="170"/>
      <c r="DX132" s="170"/>
      <c r="DY132" s="170"/>
      <c r="DZ132" s="170"/>
      <c r="EA132" s="170"/>
      <c r="EB132" s="170"/>
      <c r="EC132" s="170"/>
      <c r="ED132" s="170"/>
    </row>
    <row r="133" spans="1:134" s="147" customFormat="1" hidden="1" x14ac:dyDescent="0.25">
      <c r="A133" s="146"/>
      <c r="B133" s="454" t="s">
        <v>594</v>
      </c>
      <c r="C133" s="111"/>
      <c r="D133" s="205">
        <f t="shared" si="257"/>
        <v>0</v>
      </c>
      <c r="E133" s="91"/>
      <c r="F133" s="91"/>
      <c r="G133" s="91"/>
      <c r="H133" s="91"/>
      <c r="I133" s="91"/>
      <c r="J133" s="91"/>
      <c r="K133" s="91"/>
      <c r="L133" s="91"/>
      <c r="M133" s="91"/>
      <c r="N133" s="91"/>
      <c r="O133" s="91"/>
      <c r="P133" s="91"/>
      <c r="Q133" s="206">
        <f t="shared" si="258"/>
        <v>0</v>
      </c>
      <c r="R133" s="205">
        <f t="shared" si="259"/>
        <v>0</v>
      </c>
      <c r="S133" s="206">
        <f t="shared" si="260"/>
        <v>0</v>
      </c>
      <c r="T133" s="206">
        <f t="shared" si="261"/>
        <v>0</v>
      </c>
      <c r="U133" s="206">
        <f t="shared" si="262"/>
        <v>0</v>
      </c>
      <c r="V133" s="92"/>
      <c r="W133" s="207">
        <f t="shared" si="263"/>
        <v>0</v>
      </c>
      <c r="X133" s="208">
        <f t="shared" si="264"/>
        <v>0</v>
      </c>
      <c r="Y133" s="209">
        <f t="shared" si="265"/>
        <v>0</v>
      </c>
      <c r="Z133" s="207">
        <f t="shared" si="266"/>
        <v>0</v>
      </c>
      <c r="AA133" s="210">
        <f t="shared" si="267"/>
        <v>0</v>
      </c>
      <c r="AB133" s="210">
        <f t="shared" si="268"/>
        <v>0</v>
      </c>
      <c r="AC133" s="207">
        <f t="shared" si="269"/>
        <v>0</v>
      </c>
      <c r="AD133" s="210">
        <f t="shared" si="270"/>
        <v>0</v>
      </c>
      <c r="AE133" s="211">
        <f t="shared" si="271"/>
        <v>0</v>
      </c>
      <c r="AF133" s="209">
        <f t="shared" si="272"/>
        <v>0</v>
      </c>
      <c r="AG133" s="207">
        <f t="shared" si="273"/>
        <v>0</v>
      </c>
      <c r="AH133" s="212">
        <f t="shared" si="274"/>
        <v>0</v>
      </c>
      <c r="AI133" s="212">
        <f t="shared" si="275"/>
        <v>0</v>
      </c>
      <c r="AJ133" s="207">
        <f t="shared" si="276"/>
        <v>0</v>
      </c>
      <c r="AK133" s="210">
        <f t="shared" si="277"/>
        <v>0</v>
      </c>
      <c r="AL133" s="211">
        <f t="shared" si="278"/>
        <v>0</v>
      </c>
      <c r="AM133" s="209">
        <f t="shared" si="279"/>
        <v>0</v>
      </c>
      <c r="AN133" s="207">
        <f t="shared" si="280"/>
        <v>0</v>
      </c>
      <c r="AO133" s="212">
        <f t="shared" si="281"/>
        <v>0</v>
      </c>
      <c r="AP133" s="212">
        <f t="shared" si="282"/>
        <v>0</v>
      </c>
      <c r="AQ133" s="207">
        <f t="shared" si="283"/>
        <v>0</v>
      </c>
      <c r="AR133" s="210">
        <f t="shared" si="284"/>
        <v>0</v>
      </c>
      <c r="AS133" s="213">
        <v>0</v>
      </c>
      <c r="AT133" s="209">
        <v>0</v>
      </c>
      <c r="AU133" s="207">
        <v>0</v>
      </c>
      <c r="AV133" s="212">
        <f t="shared" si="285"/>
        <v>0</v>
      </c>
      <c r="AW133" s="207">
        <f t="shared" si="286"/>
        <v>0</v>
      </c>
      <c r="AX133" s="210">
        <f t="shared" si="287"/>
        <v>0</v>
      </c>
      <c r="AY133" s="213">
        <v>0</v>
      </c>
      <c r="AZ133" s="209">
        <v>0</v>
      </c>
      <c r="BA133" s="207">
        <v>0</v>
      </c>
      <c r="BB133" s="212">
        <f t="shared" si="288"/>
        <v>0</v>
      </c>
      <c r="BC133" s="212">
        <f t="shared" si="289"/>
        <v>0</v>
      </c>
      <c r="BD133" s="207">
        <f t="shared" si="290"/>
        <v>0</v>
      </c>
      <c r="BE133" s="210">
        <f t="shared" si="291"/>
        <v>0</v>
      </c>
      <c r="BF133" s="206">
        <f t="shared" si="292"/>
        <v>0</v>
      </c>
      <c r="BG133" s="207">
        <f t="shared" si="293"/>
        <v>0</v>
      </c>
      <c r="BH133" s="160">
        <f t="shared" si="294"/>
        <v>0</v>
      </c>
      <c r="BI133" s="200"/>
      <c r="BJ133" s="462"/>
      <c r="BK133" s="462"/>
      <c r="BL133" s="462"/>
      <c r="BM133" s="463"/>
      <c r="BN133" s="463"/>
      <c r="BO133" s="463"/>
      <c r="BP133" s="462"/>
      <c r="BQ133" s="462"/>
      <c r="BR133" s="462"/>
      <c r="BS133" s="462"/>
      <c r="BT133" s="462"/>
      <c r="BU133" s="462"/>
      <c r="BV133" s="462"/>
      <c r="BW133" s="462"/>
      <c r="BX133" s="462"/>
      <c r="BY133" s="462"/>
      <c r="BZ133" s="462"/>
      <c r="CA133" s="462"/>
      <c r="CB133" s="464"/>
      <c r="CC133" s="462"/>
      <c r="CD133" s="462"/>
      <c r="CE133" s="464"/>
      <c r="CF133" s="464"/>
      <c r="CG133" s="464"/>
      <c r="CH133" s="464"/>
      <c r="CI133" s="462"/>
      <c r="CJ133" s="462"/>
      <c r="CK133" s="464"/>
      <c r="CL133" s="464"/>
      <c r="CM133" s="464"/>
      <c r="CN133" s="357"/>
      <c r="CO133" s="346"/>
      <c r="CP133" s="346"/>
      <c r="CQ133" s="171"/>
      <c r="CR133" s="171"/>
      <c r="CS133" s="171"/>
      <c r="CT133" s="171"/>
      <c r="CU133" s="171"/>
      <c r="CV133" s="171"/>
      <c r="CW133" s="171"/>
      <c r="CX133" s="171"/>
      <c r="CY133" s="171"/>
      <c r="CZ133" s="171"/>
      <c r="DA133" s="171"/>
      <c r="DB133" s="171"/>
      <c r="DC133" s="171"/>
      <c r="DD133" s="171"/>
      <c r="DE133" s="171"/>
      <c r="DF133" s="171"/>
      <c r="DG133" s="171"/>
      <c r="DH133" s="171"/>
      <c r="DI133" s="171"/>
      <c r="DJ133" s="171"/>
      <c r="DK133" s="171"/>
      <c r="DL133" s="171"/>
      <c r="DM133" s="171"/>
      <c r="DN133" s="171"/>
      <c r="DO133" s="171"/>
      <c r="DP133" s="171"/>
      <c r="DQ133" s="171"/>
      <c r="DR133" s="171"/>
      <c r="DS133" s="171"/>
      <c r="DT133" s="171"/>
      <c r="DU133" s="171"/>
      <c r="DV133" s="171"/>
      <c r="DW133" s="170"/>
      <c r="DX133" s="170"/>
      <c r="DY133" s="170"/>
      <c r="DZ133" s="170"/>
      <c r="EA133" s="170"/>
      <c r="EB133" s="170"/>
      <c r="EC133" s="170"/>
      <c r="ED133" s="170"/>
    </row>
    <row r="134" spans="1:134" s="147" customFormat="1" hidden="1" x14ac:dyDescent="0.25">
      <c r="A134" s="146"/>
      <c r="B134" s="454"/>
      <c r="C134" s="111"/>
      <c r="D134" s="205">
        <f t="shared" si="257"/>
        <v>0</v>
      </c>
      <c r="E134" s="91"/>
      <c r="F134" s="91"/>
      <c r="G134" s="91"/>
      <c r="H134" s="91"/>
      <c r="I134" s="91"/>
      <c r="J134" s="91"/>
      <c r="K134" s="91"/>
      <c r="L134" s="91"/>
      <c r="M134" s="91"/>
      <c r="N134" s="91"/>
      <c r="O134" s="91"/>
      <c r="P134" s="91"/>
      <c r="Q134" s="206">
        <f t="shared" si="258"/>
        <v>0</v>
      </c>
      <c r="R134" s="205">
        <f t="shared" si="259"/>
        <v>0</v>
      </c>
      <c r="S134" s="206">
        <f t="shared" si="260"/>
        <v>0</v>
      </c>
      <c r="T134" s="206">
        <f t="shared" si="261"/>
        <v>0</v>
      </c>
      <c r="U134" s="206">
        <f t="shared" si="262"/>
        <v>0</v>
      </c>
      <c r="V134" s="92"/>
      <c r="W134" s="207">
        <f t="shared" si="263"/>
        <v>0</v>
      </c>
      <c r="X134" s="208">
        <f t="shared" si="264"/>
        <v>0</v>
      </c>
      <c r="Y134" s="209">
        <f t="shared" si="265"/>
        <v>0</v>
      </c>
      <c r="Z134" s="207">
        <f t="shared" si="266"/>
        <v>0</v>
      </c>
      <c r="AA134" s="210">
        <f t="shared" si="267"/>
        <v>0</v>
      </c>
      <c r="AB134" s="210">
        <f t="shared" si="268"/>
        <v>0</v>
      </c>
      <c r="AC134" s="207">
        <f t="shared" si="269"/>
        <v>0</v>
      </c>
      <c r="AD134" s="210">
        <f t="shared" si="270"/>
        <v>0</v>
      </c>
      <c r="AE134" s="211">
        <f t="shared" si="271"/>
        <v>0</v>
      </c>
      <c r="AF134" s="209">
        <f t="shared" si="272"/>
        <v>0</v>
      </c>
      <c r="AG134" s="207">
        <f t="shared" si="273"/>
        <v>0</v>
      </c>
      <c r="AH134" s="212">
        <f t="shared" si="274"/>
        <v>0</v>
      </c>
      <c r="AI134" s="212">
        <f t="shared" si="275"/>
        <v>0</v>
      </c>
      <c r="AJ134" s="207">
        <f t="shared" si="276"/>
        <v>0</v>
      </c>
      <c r="AK134" s="210">
        <f t="shared" si="277"/>
        <v>0</v>
      </c>
      <c r="AL134" s="211">
        <f t="shared" si="278"/>
        <v>0</v>
      </c>
      <c r="AM134" s="209">
        <f t="shared" si="279"/>
        <v>0</v>
      </c>
      <c r="AN134" s="207">
        <f t="shared" si="280"/>
        <v>0</v>
      </c>
      <c r="AO134" s="212">
        <f t="shared" si="281"/>
        <v>0</v>
      </c>
      <c r="AP134" s="212">
        <f t="shared" si="282"/>
        <v>0</v>
      </c>
      <c r="AQ134" s="207">
        <f t="shared" si="283"/>
        <v>0</v>
      </c>
      <c r="AR134" s="210">
        <f t="shared" si="284"/>
        <v>0</v>
      </c>
      <c r="AS134" s="213">
        <v>0</v>
      </c>
      <c r="AT134" s="209">
        <v>0</v>
      </c>
      <c r="AU134" s="207">
        <v>0</v>
      </c>
      <c r="AV134" s="212">
        <f t="shared" si="285"/>
        <v>0</v>
      </c>
      <c r="AW134" s="207">
        <f t="shared" si="286"/>
        <v>0</v>
      </c>
      <c r="AX134" s="210">
        <f t="shared" si="287"/>
        <v>0</v>
      </c>
      <c r="AY134" s="213">
        <v>0</v>
      </c>
      <c r="AZ134" s="209">
        <v>0</v>
      </c>
      <c r="BA134" s="207">
        <v>0</v>
      </c>
      <c r="BB134" s="212">
        <f t="shared" si="288"/>
        <v>0</v>
      </c>
      <c r="BC134" s="212">
        <f t="shared" si="289"/>
        <v>0</v>
      </c>
      <c r="BD134" s="207">
        <f t="shared" si="290"/>
        <v>0</v>
      </c>
      <c r="BE134" s="210">
        <f t="shared" si="291"/>
        <v>0</v>
      </c>
      <c r="BF134" s="206">
        <f t="shared" si="292"/>
        <v>0</v>
      </c>
      <c r="BG134" s="207">
        <f t="shared" si="293"/>
        <v>0</v>
      </c>
      <c r="BH134" s="160">
        <f t="shared" si="294"/>
        <v>0</v>
      </c>
      <c r="BI134" s="200"/>
      <c r="BJ134" s="462"/>
      <c r="BK134" s="462"/>
      <c r="BL134" s="462"/>
      <c r="BM134" s="463"/>
      <c r="BN134" s="463"/>
      <c r="BO134" s="463"/>
      <c r="BP134" s="462"/>
      <c r="BQ134" s="462"/>
      <c r="BR134" s="462"/>
      <c r="BS134" s="462"/>
      <c r="BT134" s="462"/>
      <c r="BU134" s="462"/>
      <c r="BV134" s="462"/>
      <c r="BW134" s="462"/>
      <c r="BX134" s="462"/>
      <c r="BY134" s="462"/>
      <c r="BZ134" s="462"/>
      <c r="CA134" s="462"/>
      <c r="CB134" s="464"/>
      <c r="CC134" s="462"/>
      <c r="CD134" s="462"/>
      <c r="CE134" s="464"/>
      <c r="CF134" s="464"/>
      <c r="CG134" s="464"/>
      <c r="CH134" s="464"/>
      <c r="CI134" s="462"/>
      <c r="CJ134" s="462"/>
      <c r="CK134" s="464"/>
      <c r="CL134" s="464"/>
      <c r="CM134" s="464"/>
      <c r="CN134" s="357"/>
      <c r="CO134" s="346"/>
      <c r="CP134" s="346"/>
      <c r="CQ134" s="171"/>
      <c r="CR134" s="171"/>
      <c r="CS134" s="171"/>
      <c r="CT134" s="171"/>
      <c r="CU134" s="171"/>
      <c r="CV134" s="171"/>
      <c r="CW134" s="171"/>
      <c r="CX134" s="171"/>
      <c r="CY134" s="171"/>
      <c r="CZ134" s="171"/>
      <c r="DA134" s="171"/>
      <c r="DB134" s="171"/>
      <c r="DC134" s="171"/>
      <c r="DD134" s="171"/>
      <c r="DE134" s="171"/>
      <c r="DF134" s="171"/>
      <c r="DG134" s="171"/>
      <c r="DH134" s="171"/>
      <c r="DI134" s="171"/>
      <c r="DJ134" s="171"/>
      <c r="DK134" s="171"/>
      <c r="DL134" s="171"/>
      <c r="DM134" s="171"/>
      <c r="DN134" s="171"/>
      <c r="DO134" s="171"/>
      <c r="DP134" s="171"/>
      <c r="DQ134" s="171"/>
      <c r="DR134" s="171"/>
      <c r="DS134" s="171"/>
      <c r="DT134" s="171"/>
      <c r="DU134" s="171"/>
      <c r="DV134" s="171"/>
      <c r="DW134" s="170"/>
      <c r="DX134" s="170"/>
      <c r="DY134" s="170"/>
      <c r="DZ134" s="170"/>
      <c r="EA134" s="170"/>
      <c r="EB134" s="170"/>
      <c r="EC134" s="170"/>
      <c r="ED134" s="170"/>
    </row>
    <row r="135" spans="1:134" s="147" customFormat="1" ht="15" hidden="1" customHeight="1" x14ac:dyDescent="0.25">
      <c r="A135" s="146"/>
      <c r="B135" s="759" t="s">
        <v>448</v>
      </c>
      <c r="C135" s="111"/>
      <c r="D135" s="205">
        <f t="shared" si="257"/>
        <v>0</v>
      </c>
      <c r="E135" s="91"/>
      <c r="F135" s="91"/>
      <c r="G135" s="91"/>
      <c r="H135" s="91"/>
      <c r="I135" s="91"/>
      <c r="J135" s="91"/>
      <c r="K135" s="91"/>
      <c r="L135" s="91"/>
      <c r="M135" s="91"/>
      <c r="N135" s="91"/>
      <c r="O135" s="91"/>
      <c r="P135" s="91"/>
      <c r="Q135" s="206">
        <f t="shared" si="258"/>
        <v>0</v>
      </c>
      <c r="R135" s="205">
        <f t="shared" si="259"/>
        <v>0</v>
      </c>
      <c r="S135" s="206">
        <f t="shared" si="260"/>
        <v>0</v>
      </c>
      <c r="T135" s="206">
        <f t="shared" si="261"/>
        <v>0</v>
      </c>
      <c r="U135" s="206">
        <f t="shared" si="262"/>
        <v>0</v>
      </c>
      <c r="V135" s="92"/>
      <c r="W135" s="207">
        <f t="shared" si="263"/>
        <v>0</v>
      </c>
      <c r="X135" s="208">
        <f t="shared" si="264"/>
        <v>0</v>
      </c>
      <c r="Y135" s="209">
        <f t="shared" si="265"/>
        <v>0</v>
      </c>
      <c r="Z135" s="207">
        <f t="shared" si="266"/>
        <v>0</v>
      </c>
      <c r="AA135" s="210">
        <f t="shared" si="267"/>
        <v>0</v>
      </c>
      <c r="AB135" s="210">
        <f t="shared" si="268"/>
        <v>0</v>
      </c>
      <c r="AC135" s="207">
        <f t="shared" si="269"/>
        <v>0</v>
      </c>
      <c r="AD135" s="210">
        <f t="shared" si="270"/>
        <v>0</v>
      </c>
      <c r="AE135" s="211">
        <f t="shared" si="271"/>
        <v>0</v>
      </c>
      <c r="AF135" s="209">
        <f t="shared" si="272"/>
        <v>0</v>
      </c>
      <c r="AG135" s="207">
        <f t="shared" si="273"/>
        <v>0</v>
      </c>
      <c r="AH135" s="212">
        <f t="shared" si="274"/>
        <v>0</v>
      </c>
      <c r="AI135" s="212">
        <f t="shared" si="275"/>
        <v>0</v>
      </c>
      <c r="AJ135" s="207">
        <f t="shared" si="276"/>
        <v>0</v>
      </c>
      <c r="AK135" s="210">
        <f t="shared" si="277"/>
        <v>0</v>
      </c>
      <c r="AL135" s="211">
        <f t="shared" si="278"/>
        <v>0</v>
      </c>
      <c r="AM135" s="209">
        <f t="shared" si="279"/>
        <v>0</v>
      </c>
      <c r="AN135" s="207">
        <f t="shared" si="280"/>
        <v>0</v>
      </c>
      <c r="AO135" s="212">
        <f t="shared" si="281"/>
        <v>0</v>
      </c>
      <c r="AP135" s="212">
        <f t="shared" si="282"/>
        <v>0</v>
      </c>
      <c r="AQ135" s="207">
        <f t="shared" si="283"/>
        <v>0</v>
      </c>
      <c r="AR135" s="210">
        <f t="shared" si="284"/>
        <v>0</v>
      </c>
      <c r="AS135" s="213">
        <v>0</v>
      </c>
      <c r="AT135" s="209">
        <v>0</v>
      </c>
      <c r="AU135" s="207">
        <v>0</v>
      </c>
      <c r="AV135" s="212">
        <f t="shared" si="285"/>
        <v>0</v>
      </c>
      <c r="AW135" s="207">
        <f t="shared" si="286"/>
        <v>0</v>
      </c>
      <c r="AX135" s="210">
        <f t="shared" si="287"/>
        <v>0</v>
      </c>
      <c r="AY135" s="213">
        <v>0</v>
      </c>
      <c r="AZ135" s="209">
        <v>0</v>
      </c>
      <c r="BA135" s="207">
        <v>0</v>
      </c>
      <c r="BB135" s="212">
        <f t="shared" si="288"/>
        <v>0</v>
      </c>
      <c r="BC135" s="212">
        <f t="shared" si="289"/>
        <v>0</v>
      </c>
      <c r="BD135" s="207">
        <f t="shared" si="290"/>
        <v>0</v>
      </c>
      <c r="BE135" s="210">
        <f t="shared" si="291"/>
        <v>0</v>
      </c>
      <c r="BF135" s="206">
        <f t="shared" si="292"/>
        <v>0</v>
      </c>
      <c r="BG135" s="207">
        <f t="shared" si="293"/>
        <v>0</v>
      </c>
      <c r="BH135" s="160">
        <f t="shared" si="294"/>
        <v>0</v>
      </c>
      <c r="BI135" s="200"/>
      <c r="BJ135" s="462"/>
      <c r="BK135" s="462"/>
      <c r="BL135" s="462"/>
      <c r="BM135" s="463"/>
      <c r="BN135" s="463"/>
      <c r="BO135" s="463"/>
      <c r="BP135" s="462"/>
      <c r="BQ135" s="462"/>
      <c r="BR135" s="462"/>
      <c r="BS135" s="462"/>
      <c r="BT135" s="462"/>
      <c r="BU135" s="462"/>
      <c r="BV135" s="462"/>
      <c r="BW135" s="462"/>
      <c r="BX135" s="462"/>
      <c r="BY135" s="462"/>
      <c r="BZ135" s="462"/>
      <c r="CA135" s="462"/>
      <c r="CB135" s="464"/>
      <c r="CC135" s="462"/>
      <c r="CD135" s="462"/>
      <c r="CE135" s="464"/>
      <c r="CF135" s="464"/>
      <c r="CG135" s="464"/>
      <c r="CH135" s="464"/>
      <c r="CI135" s="462"/>
      <c r="CJ135" s="462"/>
      <c r="CK135" s="464"/>
      <c r="CL135" s="464"/>
      <c r="CM135" s="464"/>
      <c r="CN135" s="357"/>
      <c r="CO135" s="346"/>
      <c r="CP135" s="346"/>
      <c r="CQ135" s="171"/>
      <c r="CR135" s="171"/>
      <c r="CS135" s="171"/>
      <c r="CT135" s="171"/>
      <c r="CU135" s="171"/>
      <c r="CV135" s="171"/>
      <c r="CW135" s="171"/>
      <c r="CX135" s="171"/>
      <c r="CY135" s="171"/>
      <c r="CZ135" s="171"/>
      <c r="DA135" s="171"/>
      <c r="DB135" s="171"/>
      <c r="DC135" s="171"/>
      <c r="DD135" s="171"/>
      <c r="DE135" s="171"/>
      <c r="DF135" s="171"/>
      <c r="DG135" s="171"/>
      <c r="DH135" s="171"/>
      <c r="DI135" s="171"/>
      <c r="DJ135" s="171"/>
      <c r="DK135" s="171"/>
      <c r="DL135" s="171"/>
      <c r="DM135" s="171"/>
      <c r="DN135" s="171"/>
      <c r="DO135" s="171"/>
      <c r="DP135" s="171"/>
      <c r="DQ135" s="171"/>
      <c r="DR135" s="171"/>
      <c r="DS135" s="171"/>
      <c r="DT135" s="171"/>
      <c r="DU135" s="171"/>
      <c r="DV135" s="171"/>
      <c r="DW135" s="170"/>
      <c r="DX135" s="170"/>
      <c r="DY135" s="170"/>
      <c r="DZ135" s="170"/>
      <c r="EA135" s="170"/>
      <c r="EB135" s="170"/>
      <c r="EC135" s="170"/>
      <c r="ED135" s="170"/>
    </row>
    <row r="136" spans="1:134" s="147" customFormat="1" hidden="1" x14ac:dyDescent="0.25">
      <c r="A136" s="146"/>
      <c r="B136" s="761"/>
      <c r="C136" s="111"/>
      <c r="D136" s="205">
        <f t="shared" si="257"/>
        <v>0</v>
      </c>
      <c r="E136" s="91"/>
      <c r="F136" s="91"/>
      <c r="G136" s="91"/>
      <c r="H136" s="91"/>
      <c r="I136" s="91"/>
      <c r="J136" s="91"/>
      <c r="K136" s="91"/>
      <c r="L136" s="91"/>
      <c r="M136" s="91"/>
      <c r="N136" s="91"/>
      <c r="O136" s="91"/>
      <c r="P136" s="142"/>
      <c r="Q136" s="206">
        <f t="shared" si="258"/>
        <v>0</v>
      </c>
      <c r="R136" s="205">
        <f t="shared" si="259"/>
        <v>0</v>
      </c>
      <c r="S136" s="206">
        <f t="shared" si="260"/>
        <v>0</v>
      </c>
      <c r="T136" s="206">
        <f t="shared" si="261"/>
        <v>0</v>
      </c>
      <c r="U136" s="206">
        <f t="shared" si="262"/>
        <v>0</v>
      </c>
      <c r="V136" s="92"/>
      <c r="W136" s="207">
        <f t="shared" si="263"/>
        <v>0</v>
      </c>
      <c r="X136" s="208">
        <f t="shared" si="264"/>
        <v>0</v>
      </c>
      <c r="Y136" s="209">
        <f t="shared" si="265"/>
        <v>0</v>
      </c>
      <c r="Z136" s="207">
        <f t="shared" si="266"/>
        <v>0</v>
      </c>
      <c r="AA136" s="210">
        <f t="shared" si="267"/>
        <v>0</v>
      </c>
      <c r="AB136" s="210">
        <f t="shared" si="268"/>
        <v>0</v>
      </c>
      <c r="AC136" s="207">
        <f t="shared" si="269"/>
        <v>0</v>
      </c>
      <c r="AD136" s="210">
        <f t="shared" si="270"/>
        <v>0</v>
      </c>
      <c r="AE136" s="211">
        <f t="shared" si="271"/>
        <v>0</v>
      </c>
      <c r="AF136" s="209">
        <f t="shared" si="272"/>
        <v>0</v>
      </c>
      <c r="AG136" s="207">
        <f t="shared" si="273"/>
        <v>0</v>
      </c>
      <c r="AH136" s="212">
        <f t="shared" si="274"/>
        <v>0</v>
      </c>
      <c r="AI136" s="212">
        <f t="shared" si="275"/>
        <v>0</v>
      </c>
      <c r="AJ136" s="207">
        <f t="shared" si="276"/>
        <v>0</v>
      </c>
      <c r="AK136" s="210">
        <f t="shared" si="277"/>
        <v>0</v>
      </c>
      <c r="AL136" s="211">
        <f t="shared" si="278"/>
        <v>0</v>
      </c>
      <c r="AM136" s="209">
        <f t="shared" si="279"/>
        <v>0</v>
      </c>
      <c r="AN136" s="207">
        <f t="shared" si="280"/>
        <v>0</v>
      </c>
      <c r="AO136" s="212">
        <f t="shared" si="281"/>
        <v>0</v>
      </c>
      <c r="AP136" s="212">
        <f t="shared" si="282"/>
        <v>0</v>
      </c>
      <c r="AQ136" s="207">
        <f t="shared" si="283"/>
        <v>0</v>
      </c>
      <c r="AR136" s="210">
        <f t="shared" si="284"/>
        <v>0</v>
      </c>
      <c r="AS136" s="213">
        <v>0</v>
      </c>
      <c r="AT136" s="209">
        <v>0</v>
      </c>
      <c r="AU136" s="207">
        <v>0</v>
      </c>
      <c r="AV136" s="212">
        <f t="shared" si="285"/>
        <v>0</v>
      </c>
      <c r="AW136" s="207">
        <f t="shared" si="286"/>
        <v>0</v>
      </c>
      <c r="AX136" s="210">
        <f t="shared" si="287"/>
        <v>0</v>
      </c>
      <c r="AY136" s="213">
        <v>0</v>
      </c>
      <c r="AZ136" s="209">
        <v>0</v>
      </c>
      <c r="BA136" s="207">
        <v>0</v>
      </c>
      <c r="BB136" s="212">
        <f t="shared" si="288"/>
        <v>0</v>
      </c>
      <c r="BC136" s="212">
        <f t="shared" si="289"/>
        <v>0</v>
      </c>
      <c r="BD136" s="207">
        <f t="shared" si="290"/>
        <v>0</v>
      </c>
      <c r="BE136" s="210">
        <f t="shared" si="291"/>
        <v>0</v>
      </c>
      <c r="BF136" s="206">
        <f t="shared" si="292"/>
        <v>0</v>
      </c>
      <c r="BG136" s="207">
        <f t="shared" si="293"/>
        <v>0</v>
      </c>
      <c r="BH136" s="160">
        <f t="shared" si="294"/>
        <v>0</v>
      </c>
      <c r="BI136" s="200"/>
      <c r="BJ136" s="462"/>
      <c r="BK136" s="462"/>
      <c r="BL136" s="462"/>
      <c r="BM136" s="463"/>
      <c r="BN136" s="463"/>
      <c r="BO136" s="463"/>
      <c r="BP136" s="462"/>
      <c r="BQ136" s="462"/>
      <c r="BR136" s="462"/>
      <c r="BS136" s="462"/>
      <c r="BT136" s="462"/>
      <c r="BU136" s="462"/>
      <c r="BV136" s="462"/>
      <c r="BW136" s="462"/>
      <c r="BX136" s="462"/>
      <c r="BY136" s="462"/>
      <c r="BZ136" s="462"/>
      <c r="CA136" s="462"/>
      <c r="CB136" s="464"/>
      <c r="CC136" s="462"/>
      <c r="CD136" s="462"/>
      <c r="CE136" s="464"/>
      <c r="CF136" s="464"/>
      <c r="CG136" s="464"/>
      <c r="CH136" s="464"/>
      <c r="CI136" s="462"/>
      <c r="CJ136" s="462"/>
      <c r="CK136" s="464"/>
      <c r="CL136" s="464"/>
      <c r="CM136" s="464"/>
      <c r="CN136" s="357"/>
      <c r="CO136" s="346"/>
      <c r="CP136" s="346"/>
      <c r="CQ136" s="171"/>
      <c r="CR136" s="171"/>
      <c r="CS136" s="171"/>
      <c r="CT136" s="171"/>
      <c r="CU136" s="171"/>
      <c r="CV136" s="171"/>
      <c r="CW136" s="171"/>
      <c r="CX136" s="171"/>
      <c r="CY136" s="171"/>
      <c r="CZ136" s="171"/>
      <c r="DA136" s="171"/>
      <c r="DB136" s="171"/>
      <c r="DC136" s="171"/>
      <c r="DD136" s="171"/>
      <c r="DE136" s="171"/>
      <c r="DF136" s="171"/>
      <c r="DG136" s="171"/>
      <c r="DH136" s="171"/>
      <c r="DI136" s="171"/>
      <c r="DJ136" s="171"/>
      <c r="DK136" s="171"/>
      <c r="DL136" s="171"/>
      <c r="DM136" s="171"/>
      <c r="DN136" s="171"/>
      <c r="DO136" s="171"/>
      <c r="DP136" s="171"/>
      <c r="DQ136" s="171"/>
      <c r="DR136" s="171"/>
      <c r="DS136" s="171"/>
      <c r="DT136" s="171"/>
      <c r="DU136" s="171"/>
      <c r="DV136" s="171"/>
      <c r="DW136" s="170"/>
      <c r="DX136" s="170"/>
      <c r="DY136" s="170"/>
      <c r="DZ136" s="170"/>
      <c r="EA136" s="170"/>
      <c r="EB136" s="170"/>
      <c r="EC136" s="170"/>
      <c r="ED136" s="170"/>
    </row>
    <row r="137" spans="1:134" s="147" customFormat="1" hidden="1" x14ac:dyDescent="0.25">
      <c r="A137" s="146"/>
      <c r="B137" s="760"/>
      <c r="C137" s="111"/>
      <c r="D137" s="205">
        <f t="shared" si="257"/>
        <v>0</v>
      </c>
      <c r="E137" s="91"/>
      <c r="F137" s="91"/>
      <c r="G137" s="91"/>
      <c r="H137" s="91"/>
      <c r="I137" s="91"/>
      <c r="J137" s="91"/>
      <c r="K137" s="91"/>
      <c r="L137" s="91"/>
      <c r="M137" s="91"/>
      <c r="N137" s="91"/>
      <c r="O137" s="91"/>
      <c r="P137" s="91"/>
      <c r="Q137" s="206">
        <f t="shared" si="258"/>
        <v>0</v>
      </c>
      <c r="R137" s="205">
        <f t="shared" si="259"/>
        <v>0</v>
      </c>
      <c r="S137" s="206">
        <f t="shared" si="260"/>
        <v>0</v>
      </c>
      <c r="T137" s="206">
        <f t="shared" si="261"/>
        <v>0</v>
      </c>
      <c r="U137" s="206">
        <f t="shared" si="262"/>
        <v>0</v>
      </c>
      <c r="V137" s="92"/>
      <c r="W137" s="207">
        <f t="shared" si="263"/>
        <v>0</v>
      </c>
      <c r="X137" s="208">
        <f t="shared" si="264"/>
        <v>0</v>
      </c>
      <c r="Y137" s="209">
        <f t="shared" si="265"/>
        <v>0</v>
      </c>
      <c r="Z137" s="207">
        <f t="shared" si="266"/>
        <v>0</v>
      </c>
      <c r="AA137" s="210">
        <f t="shared" si="267"/>
        <v>0</v>
      </c>
      <c r="AB137" s="210">
        <f t="shared" si="268"/>
        <v>0</v>
      </c>
      <c r="AC137" s="207">
        <f t="shared" si="269"/>
        <v>0</v>
      </c>
      <c r="AD137" s="210">
        <f t="shared" si="270"/>
        <v>0</v>
      </c>
      <c r="AE137" s="211">
        <f t="shared" si="271"/>
        <v>0</v>
      </c>
      <c r="AF137" s="209">
        <f t="shared" si="272"/>
        <v>0</v>
      </c>
      <c r="AG137" s="207">
        <f t="shared" si="273"/>
        <v>0</v>
      </c>
      <c r="AH137" s="212">
        <f t="shared" si="274"/>
        <v>0</v>
      </c>
      <c r="AI137" s="212">
        <f t="shared" si="275"/>
        <v>0</v>
      </c>
      <c r="AJ137" s="207">
        <f t="shared" si="276"/>
        <v>0</v>
      </c>
      <c r="AK137" s="210">
        <f t="shared" si="277"/>
        <v>0</v>
      </c>
      <c r="AL137" s="211">
        <f t="shared" si="278"/>
        <v>0</v>
      </c>
      <c r="AM137" s="209">
        <f t="shared" si="279"/>
        <v>0</v>
      </c>
      <c r="AN137" s="207">
        <f t="shared" si="280"/>
        <v>0</v>
      </c>
      <c r="AO137" s="212">
        <f t="shared" si="281"/>
        <v>0</v>
      </c>
      <c r="AP137" s="212">
        <f t="shared" si="282"/>
        <v>0</v>
      </c>
      <c r="AQ137" s="207">
        <f t="shared" si="283"/>
        <v>0</v>
      </c>
      <c r="AR137" s="210">
        <f t="shared" si="284"/>
        <v>0</v>
      </c>
      <c r="AS137" s="213">
        <v>0</v>
      </c>
      <c r="AT137" s="209">
        <v>0</v>
      </c>
      <c r="AU137" s="207">
        <v>0</v>
      </c>
      <c r="AV137" s="212">
        <f t="shared" si="285"/>
        <v>0</v>
      </c>
      <c r="AW137" s="207">
        <f t="shared" si="286"/>
        <v>0</v>
      </c>
      <c r="AX137" s="210">
        <f t="shared" si="287"/>
        <v>0</v>
      </c>
      <c r="AY137" s="213">
        <v>0</v>
      </c>
      <c r="AZ137" s="209">
        <v>0</v>
      </c>
      <c r="BA137" s="207">
        <v>0</v>
      </c>
      <c r="BB137" s="212">
        <f t="shared" si="288"/>
        <v>0</v>
      </c>
      <c r="BC137" s="212">
        <f t="shared" si="289"/>
        <v>0</v>
      </c>
      <c r="BD137" s="207">
        <f t="shared" si="290"/>
        <v>0</v>
      </c>
      <c r="BE137" s="210">
        <f t="shared" si="291"/>
        <v>0</v>
      </c>
      <c r="BF137" s="206">
        <f t="shared" si="292"/>
        <v>0</v>
      </c>
      <c r="BG137" s="207">
        <f t="shared" si="293"/>
        <v>0</v>
      </c>
      <c r="BH137" s="160">
        <f t="shared" si="294"/>
        <v>0</v>
      </c>
      <c r="BI137" s="200"/>
      <c r="BJ137" s="462"/>
      <c r="BK137" s="462"/>
      <c r="BL137" s="462"/>
      <c r="BM137" s="463"/>
      <c r="BN137" s="463"/>
      <c r="BO137" s="463"/>
      <c r="BP137" s="462"/>
      <c r="BQ137" s="462"/>
      <c r="BR137" s="462"/>
      <c r="BS137" s="462"/>
      <c r="BT137" s="462"/>
      <c r="BU137" s="462"/>
      <c r="BV137" s="462"/>
      <c r="BW137" s="462"/>
      <c r="BX137" s="462"/>
      <c r="BY137" s="462"/>
      <c r="BZ137" s="462"/>
      <c r="CA137" s="462"/>
      <c r="CB137" s="464"/>
      <c r="CC137" s="462"/>
      <c r="CD137" s="462"/>
      <c r="CE137" s="464"/>
      <c r="CF137" s="464"/>
      <c r="CG137" s="464"/>
      <c r="CH137" s="464"/>
      <c r="CI137" s="462"/>
      <c r="CJ137" s="462"/>
      <c r="CK137" s="464"/>
      <c r="CL137" s="464"/>
      <c r="CM137" s="464"/>
      <c r="CN137" s="357"/>
      <c r="CO137" s="346"/>
      <c r="CP137" s="346"/>
      <c r="CQ137" s="171"/>
      <c r="CR137" s="171"/>
      <c r="CS137" s="171"/>
      <c r="CT137" s="171"/>
      <c r="CU137" s="171"/>
      <c r="CV137" s="171"/>
      <c r="CW137" s="171"/>
      <c r="CX137" s="171"/>
      <c r="CY137" s="171"/>
      <c r="CZ137" s="171"/>
      <c r="DA137" s="171"/>
      <c r="DB137" s="171"/>
      <c r="DC137" s="171"/>
      <c r="DD137" s="171"/>
      <c r="DE137" s="171"/>
      <c r="DF137" s="171"/>
      <c r="DG137" s="171"/>
      <c r="DH137" s="171"/>
      <c r="DI137" s="171"/>
      <c r="DJ137" s="171"/>
      <c r="DK137" s="171"/>
      <c r="DL137" s="171"/>
      <c r="DM137" s="171"/>
      <c r="DN137" s="171"/>
      <c r="DO137" s="171"/>
      <c r="DP137" s="171"/>
      <c r="DQ137" s="171"/>
      <c r="DR137" s="171"/>
      <c r="DS137" s="171"/>
      <c r="DT137" s="171"/>
      <c r="DU137" s="171"/>
      <c r="DV137" s="171"/>
      <c r="DW137" s="170"/>
      <c r="DX137" s="170"/>
      <c r="DY137" s="170"/>
      <c r="DZ137" s="170"/>
      <c r="EA137" s="170"/>
      <c r="EB137" s="170"/>
      <c r="EC137" s="170"/>
      <c r="ED137" s="170"/>
    </row>
    <row r="138" spans="1:134" s="147" customFormat="1" hidden="1" x14ac:dyDescent="0.25">
      <c r="A138" s="146"/>
      <c r="B138" s="216" t="s">
        <v>129</v>
      </c>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c r="AA138" s="218"/>
      <c r="AB138" s="219">
        <f>SUM(AB128:AB137)</f>
        <v>0</v>
      </c>
      <c r="AC138" s="220">
        <f>IF(AB138&gt;0,SQRT(SUM(AD128:AD137))/AB138,0)</f>
        <v>0</v>
      </c>
      <c r="AD138" s="224"/>
      <c r="AE138" s="221"/>
      <c r="AF138" s="216"/>
      <c r="AG138" s="216"/>
      <c r="AH138" s="222"/>
      <c r="AI138" s="219">
        <f>SUM(AI128:AI137)</f>
        <v>0</v>
      </c>
      <c r="AJ138" s="220">
        <f>IF(AI138&gt;0,SQRT(SUM(AK128:AK137))/AI138,0)</f>
        <v>0</v>
      </c>
      <c r="AK138" s="224"/>
      <c r="AL138" s="216"/>
      <c r="AM138" s="216"/>
      <c r="AN138" s="216"/>
      <c r="AO138" s="216"/>
      <c r="AP138" s="219">
        <f>SUM(AP128:AP137)</f>
        <v>0</v>
      </c>
      <c r="AQ138" s="220">
        <f>IF(AP138&gt;0,SQRT(SUM(AR128:AR137))/AP138,0)</f>
        <v>0</v>
      </c>
      <c r="AR138" s="224"/>
      <c r="AS138" s="216"/>
      <c r="AT138" s="216"/>
      <c r="AU138" s="216"/>
      <c r="AV138" s="219">
        <f>SUM(AV128:AV137)</f>
        <v>0</v>
      </c>
      <c r="AW138" s="220">
        <f>IF(AV138&gt;0,SQRT(SUM(AX128:AX137))/AV138,0)</f>
        <v>0</v>
      </c>
      <c r="AX138" s="224"/>
      <c r="AY138" s="216"/>
      <c r="AZ138" s="216"/>
      <c r="BA138" s="223"/>
      <c r="BB138" s="224"/>
      <c r="BC138" s="219">
        <f>SUM(BC128:BC137)</f>
        <v>0</v>
      </c>
      <c r="BD138" s="220">
        <f>IF(BC138&gt;0,SQRT(SUM(BE128:BE137))/BC138,0)</f>
        <v>0</v>
      </c>
      <c r="BE138" s="224"/>
      <c r="BF138" s="219">
        <f>SUM(BF128:BF137)</f>
        <v>0</v>
      </c>
      <c r="BG138" s="220">
        <f>IF(BF138&gt;0,SQRT(SUM(BH128:BH137))/BF138,0)</f>
        <v>0</v>
      </c>
      <c r="BH138" s="160">
        <f t="shared" si="294"/>
        <v>0</v>
      </c>
      <c r="BI138" s="200"/>
      <c r="BJ138" s="462"/>
      <c r="BK138" s="462"/>
      <c r="BL138" s="462"/>
      <c r="BM138" s="463"/>
      <c r="BN138" s="463"/>
      <c r="BO138" s="463"/>
      <c r="BP138" s="462"/>
      <c r="BQ138" s="462"/>
      <c r="BR138" s="462"/>
      <c r="BS138" s="462"/>
      <c r="BT138" s="462"/>
      <c r="BU138" s="462"/>
      <c r="BV138" s="462"/>
      <c r="BW138" s="462"/>
      <c r="BX138" s="462"/>
      <c r="BY138" s="462"/>
      <c r="BZ138" s="462"/>
      <c r="CA138" s="462"/>
      <c r="CB138" s="464"/>
      <c r="CC138" s="462"/>
      <c r="CD138" s="462"/>
      <c r="CE138" s="464"/>
      <c r="CF138" s="464"/>
      <c r="CG138" s="464"/>
      <c r="CH138" s="464"/>
      <c r="CI138" s="462"/>
      <c r="CJ138" s="462"/>
      <c r="CK138" s="464"/>
      <c r="CL138" s="464"/>
      <c r="CM138" s="464"/>
      <c r="CN138" s="357"/>
      <c r="CO138" s="346"/>
      <c r="CP138" s="346"/>
      <c r="CQ138" s="171"/>
      <c r="CR138" s="171"/>
      <c r="CS138" s="171"/>
      <c r="CT138" s="171"/>
      <c r="CU138" s="171"/>
      <c r="CV138" s="171"/>
      <c r="CW138" s="171"/>
      <c r="CX138" s="171"/>
      <c r="CY138" s="171"/>
      <c r="CZ138" s="171"/>
      <c r="DA138" s="171"/>
      <c r="DB138" s="171"/>
      <c r="DC138" s="171"/>
      <c r="DD138" s="171"/>
      <c r="DE138" s="171"/>
      <c r="DF138" s="171"/>
      <c r="DG138" s="171"/>
      <c r="DH138" s="171"/>
      <c r="DI138" s="171"/>
      <c r="DJ138" s="171"/>
      <c r="DK138" s="171"/>
      <c r="DL138" s="171"/>
      <c r="DM138" s="171"/>
      <c r="DN138" s="171"/>
      <c r="DO138" s="171"/>
      <c r="DP138" s="171"/>
      <c r="DQ138" s="171"/>
      <c r="DR138" s="171"/>
      <c r="DS138" s="171"/>
      <c r="DT138" s="171"/>
      <c r="DU138" s="171"/>
      <c r="DV138" s="171"/>
      <c r="DW138" s="170"/>
      <c r="DX138" s="170"/>
      <c r="DY138" s="170"/>
      <c r="DZ138" s="170"/>
      <c r="EA138" s="170"/>
      <c r="EB138" s="170"/>
      <c r="EC138" s="170"/>
      <c r="ED138" s="170"/>
    </row>
    <row r="139" spans="1:134" s="147" customFormat="1" ht="15" hidden="1" customHeight="1" x14ac:dyDescent="0.25">
      <c r="A139" s="146"/>
      <c r="B139" s="453" t="s">
        <v>597</v>
      </c>
      <c r="C139" s="111"/>
      <c r="D139" s="205">
        <f t="shared" ref="D139:D148" si="295">VLOOKUP($C139,$BI$195:$CM$609,2,FALSE)</f>
        <v>0</v>
      </c>
      <c r="E139" s="91"/>
      <c r="F139" s="91"/>
      <c r="G139" s="91"/>
      <c r="H139" s="91"/>
      <c r="I139" s="91"/>
      <c r="J139" s="91"/>
      <c r="K139" s="91"/>
      <c r="L139" s="91"/>
      <c r="M139" s="91"/>
      <c r="N139" s="91"/>
      <c r="O139" s="91"/>
      <c r="P139" s="91"/>
      <c r="Q139" s="206">
        <f t="shared" ref="Q139:Q148" si="296">SUM(E139:P139)</f>
        <v>0</v>
      </c>
      <c r="R139" s="205">
        <f t="shared" ref="R139:R148" si="297">COUNT(E139:P139)</f>
        <v>0</v>
      </c>
      <c r="S139" s="206">
        <f t="shared" ref="S139:S148" si="298">IF(R139&gt;1,AVERAGE(E139:P139),0)</f>
        <v>0</v>
      </c>
      <c r="T139" s="206">
        <f t="shared" ref="T139:T148" si="299">IF(R139&gt;1,STDEV(E139:P139),0)</f>
        <v>0</v>
      </c>
      <c r="U139" s="206">
        <f t="shared" ref="U139:U148" si="300">IF(R139&gt;1,VLOOKUP($R139,$BI$529:$BJ$541,2,FALSE),0)</f>
        <v>0</v>
      </c>
      <c r="V139" s="92"/>
      <c r="W139" s="207">
        <f t="shared" ref="W139:W148" si="301">IF(R139&gt;1,1-((S139-((T139*U139)/(SQRT(R139))))/S139),VLOOKUP($C139,$BI$195:$CP$609,34,FALSE))</f>
        <v>0</v>
      </c>
      <c r="X139" s="208">
        <v>0</v>
      </c>
      <c r="Y139" s="209">
        <v>0</v>
      </c>
      <c r="Z139" s="207">
        <v>0</v>
      </c>
      <c r="AA139" s="210">
        <f t="shared" ref="AA139:AA148" si="302">($Q139*X139)/1000</f>
        <v>0</v>
      </c>
      <c r="AB139" s="210">
        <f t="shared" ref="AB139:AB148" si="303">AA139*$BJ$547</f>
        <v>0</v>
      </c>
      <c r="AC139" s="207">
        <f t="shared" ref="AC139:AC147" si="304">IF(AA139&gt;0,SQRT(($W139*$W139)+(Z139*Z139)+($V139*$V139)),0)</f>
        <v>0</v>
      </c>
      <c r="AD139" s="210">
        <f t="shared" ref="AD139:AD150" si="305">(AB139*AC139)^2</f>
        <v>0</v>
      </c>
      <c r="AE139" s="211">
        <v>0</v>
      </c>
      <c r="AF139" s="209">
        <v>0</v>
      </c>
      <c r="AG139" s="207">
        <v>0</v>
      </c>
      <c r="AH139" s="212">
        <f t="shared" ref="AH139:AH148" si="306">($Q139*AE139)/1000</f>
        <v>0</v>
      </c>
      <c r="AI139" s="212">
        <f t="shared" ref="AI139:AI148" si="307">AH139*$BJ$548</f>
        <v>0</v>
      </c>
      <c r="AJ139" s="207">
        <f t="shared" ref="AJ139:AJ148" si="308">IF(AH139&gt;0,SQRT(($W139*$W139)+(AG139*AG139)+($V139*$V139)),0)</f>
        <v>0</v>
      </c>
      <c r="AK139" s="210">
        <f t="shared" ref="AK139:AK150" si="309">(AI139*AJ139)^2</f>
        <v>0</v>
      </c>
      <c r="AL139" s="211">
        <v>0</v>
      </c>
      <c r="AM139" s="209">
        <f>VLOOKUP($C139,$BI$195:$CM$609,28,FALSE)</f>
        <v>0</v>
      </c>
      <c r="AN139" s="207">
        <v>0</v>
      </c>
      <c r="AO139" s="212">
        <f>(W139*AL139)/1000</f>
        <v>0</v>
      </c>
      <c r="AP139" s="212">
        <f t="shared" ref="AP139:AP148" si="310">AO139*$BJ$549</f>
        <v>0</v>
      </c>
      <c r="AQ139" s="207">
        <f t="shared" ref="AQ139:AQ148" si="311">IF(AO139&gt;0,SQRT(($W139*$W139)+(AN139*AN139)+($V139*$V139)),0)</f>
        <v>0</v>
      </c>
      <c r="AR139" s="210">
        <f t="shared" ref="AR139:AR150" si="312">(AP139*AQ139)^2</f>
        <v>0</v>
      </c>
      <c r="AS139" s="213">
        <f>VLOOKUP($C139,$BI$195:$CM$609,3,FALSE)</f>
        <v>0</v>
      </c>
      <c r="AT139" s="209">
        <f>VLOOKUP($C139,$BI$195:$CM$609,4,FALSE)</f>
        <v>0</v>
      </c>
      <c r="AU139" s="207">
        <f>IF($Q139&gt;0,VLOOKUP($C139,$BI$195:$CM$609,6,FALSE),0)</f>
        <v>0</v>
      </c>
      <c r="AV139" s="212">
        <f t="shared" ref="AV139:AV148" si="313">($Q139*AS139)/1000</f>
        <v>0</v>
      </c>
      <c r="AW139" s="207">
        <f t="shared" ref="AW139:AW148" si="314">IF(AV139&gt;0,SQRT(($W139*$W139)+(AU139*AU139)+($V139*$V139)),0)</f>
        <v>0</v>
      </c>
      <c r="AX139" s="210">
        <f>(AV139*AW139)^2</f>
        <v>0</v>
      </c>
      <c r="AY139" s="213">
        <v>0</v>
      </c>
      <c r="AZ139" s="209">
        <v>0</v>
      </c>
      <c r="BA139" s="207">
        <v>0</v>
      </c>
      <c r="BB139" s="212">
        <f>($Q139*AY139)/1000</f>
        <v>0</v>
      </c>
      <c r="BC139" s="212">
        <f t="shared" ref="BC139:BC148" si="315">BB139*$BJ$550</f>
        <v>0</v>
      </c>
      <c r="BD139" s="207">
        <v>0</v>
      </c>
      <c r="BE139" s="210">
        <f t="shared" ref="BE139:BE150" si="316">(BC139*BD139)^2</f>
        <v>0</v>
      </c>
      <c r="BF139" s="206">
        <f t="shared" ref="BF139:BF148" si="317">AB139+AI139+AP139+AV139+BC139</f>
        <v>0</v>
      </c>
      <c r="BG139" s="207">
        <f t="shared" ref="BG139:BG148" si="318">IF(BF139&gt;0,SQRT(AD139+AK139+AR139+AX139+BE139)/BF139,0)</f>
        <v>0</v>
      </c>
      <c r="BH139" s="160">
        <f t="shared" si="294"/>
        <v>0</v>
      </c>
      <c r="BI139" s="200"/>
      <c r="BJ139" s="462"/>
      <c r="BK139" s="462"/>
      <c r="BL139" s="462"/>
      <c r="BM139" s="463"/>
      <c r="BN139" s="463"/>
      <c r="BO139" s="463"/>
      <c r="BP139" s="462"/>
      <c r="BQ139" s="462"/>
      <c r="BR139" s="462"/>
      <c r="BS139" s="462"/>
      <c r="BT139" s="462"/>
      <c r="BU139" s="462"/>
      <c r="BV139" s="462"/>
      <c r="BW139" s="462"/>
      <c r="BX139" s="462"/>
      <c r="BY139" s="462"/>
      <c r="BZ139" s="462"/>
      <c r="CA139" s="462"/>
      <c r="CB139" s="464"/>
      <c r="CC139" s="462"/>
      <c r="CD139" s="462"/>
      <c r="CE139" s="464"/>
      <c r="CF139" s="464"/>
      <c r="CG139" s="464"/>
      <c r="CH139" s="464"/>
      <c r="CI139" s="462"/>
      <c r="CJ139" s="462"/>
      <c r="CK139" s="464"/>
      <c r="CL139" s="464"/>
      <c r="CM139" s="464"/>
      <c r="CN139" s="357"/>
      <c r="CO139" s="346"/>
      <c r="CP139" s="346"/>
      <c r="CQ139" s="171"/>
      <c r="CR139" s="171"/>
      <c r="CS139" s="171"/>
      <c r="CT139" s="171"/>
      <c r="CU139" s="171"/>
      <c r="CV139" s="171"/>
      <c r="CW139" s="171"/>
      <c r="CX139" s="171"/>
      <c r="CY139" s="171"/>
      <c r="CZ139" s="171"/>
      <c r="DA139" s="171"/>
      <c r="DB139" s="171"/>
      <c r="DC139" s="171"/>
      <c r="DD139" s="171"/>
      <c r="DE139" s="171"/>
      <c r="DF139" s="171"/>
      <c r="DG139" s="171"/>
      <c r="DH139" s="171"/>
      <c r="DI139" s="171"/>
      <c r="DJ139" s="171"/>
      <c r="DK139" s="171"/>
      <c r="DL139" s="171"/>
      <c r="DM139" s="171"/>
      <c r="DN139" s="171"/>
      <c r="DO139" s="171"/>
      <c r="DP139" s="171"/>
      <c r="DQ139" s="171"/>
      <c r="DR139" s="171"/>
      <c r="DS139" s="171"/>
      <c r="DT139" s="171"/>
      <c r="DU139" s="171"/>
      <c r="DV139" s="171"/>
      <c r="DW139" s="170"/>
      <c r="DX139" s="170"/>
      <c r="DY139" s="170"/>
      <c r="DZ139" s="170"/>
      <c r="EA139" s="170"/>
      <c r="EB139" s="170"/>
      <c r="EC139" s="170"/>
      <c r="ED139" s="170"/>
    </row>
    <row r="140" spans="1:134" s="147" customFormat="1" hidden="1" x14ac:dyDescent="0.25">
      <c r="A140" s="146"/>
      <c r="B140" s="454" t="s">
        <v>598</v>
      </c>
      <c r="C140" s="111"/>
      <c r="D140" s="205">
        <f t="shared" si="295"/>
        <v>0</v>
      </c>
      <c r="E140" s="91"/>
      <c r="F140" s="91"/>
      <c r="G140" s="91"/>
      <c r="H140" s="91"/>
      <c r="I140" s="91"/>
      <c r="J140" s="91"/>
      <c r="K140" s="91"/>
      <c r="L140" s="91"/>
      <c r="M140" s="91"/>
      <c r="N140" s="91"/>
      <c r="O140" s="91"/>
      <c r="P140" s="91"/>
      <c r="Q140" s="206">
        <f t="shared" si="296"/>
        <v>0</v>
      </c>
      <c r="R140" s="205">
        <f t="shared" si="297"/>
        <v>0</v>
      </c>
      <c r="S140" s="206">
        <f t="shared" si="298"/>
        <v>0</v>
      </c>
      <c r="T140" s="206">
        <f t="shared" si="299"/>
        <v>0</v>
      </c>
      <c r="U140" s="206">
        <f t="shared" si="300"/>
        <v>0</v>
      </c>
      <c r="V140" s="92"/>
      <c r="W140" s="207">
        <f t="shared" si="301"/>
        <v>0</v>
      </c>
      <c r="X140" s="208">
        <v>0</v>
      </c>
      <c r="Y140" s="209">
        <v>0</v>
      </c>
      <c r="Z140" s="207">
        <v>0</v>
      </c>
      <c r="AA140" s="210">
        <f t="shared" si="302"/>
        <v>0</v>
      </c>
      <c r="AB140" s="210">
        <f t="shared" si="303"/>
        <v>0</v>
      </c>
      <c r="AC140" s="207">
        <f t="shared" si="304"/>
        <v>0</v>
      </c>
      <c r="AD140" s="210">
        <f t="shared" si="305"/>
        <v>0</v>
      </c>
      <c r="AE140" s="211">
        <v>0</v>
      </c>
      <c r="AF140" s="209">
        <v>0</v>
      </c>
      <c r="AG140" s="207">
        <v>0</v>
      </c>
      <c r="AH140" s="212">
        <f t="shared" si="306"/>
        <v>0</v>
      </c>
      <c r="AI140" s="212">
        <f t="shared" si="307"/>
        <v>0</v>
      </c>
      <c r="AJ140" s="207">
        <f t="shared" si="308"/>
        <v>0</v>
      </c>
      <c r="AK140" s="210">
        <f t="shared" si="309"/>
        <v>0</v>
      </c>
      <c r="AL140" s="211">
        <v>0</v>
      </c>
      <c r="AM140" s="209">
        <v>0</v>
      </c>
      <c r="AN140" s="207">
        <v>0</v>
      </c>
      <c r="AO140" s="212">
        <f>(W140*AL140)/1000</f>
        <v>0</v>
      </c>
      <c r="AP140" s="212">
        <f t="shared" si="310"/>
        <v>0</v>
      </c>
      <c r="AQ140" s="207">
        <f t="shared" si="311"/>
        <v>0</v>
      </c>
      <c r="AR140" s="210">
        <f t="shared" si="312"/>
        <v>0</v>
      </c>
      <c r="AS140" s="213">
        <f>VLOOKUP($C140,$BI$195:$CM$609,3,FALSE)</f>
        <v>0</v>
      </c>
      <c r="AT140" s="209">
        <f>VLOOKUP($C140,$BI$195:$CM$609,4,FALSE)</f>
        <v>0</v>
      </c>
      <c r="AU140" s="207">
        <f>IF($Q140&gt;0,VLOOKUP($C140,$BI$195:$CM$609,6,FALSE),0)</f>
        <v>0</v>
      </c>
      <c r="AV140" s="212">
        <f t="shared" si="313"/>
        <v>0</v>
      </c>
      <c r="AW140" s="207">
        <f t="shared" si="314"/>
        <v>0</v>
      </c>
      <c r="AX140" s="210">
        <f t="shared" ref="AX140:AX150" si="319">(AV140*AW140)^2</f>
        <v>0</v>
      </c>
      <c r="AY140" s="213">
        <v>0</v>
      </c>
      <c r="AZ140" s="209">
        <v>0</v>
      </c>
      <c r="BA140" s="207">
        <v>0</v>
      </c>
      <c r="BB140" s="212">
        <f t="shared" ref="BB140:BB147" si="320">($Q140*AY140)/1000</f>
        <v>0</v>
      </c>
      <c r="BC140" s="212">
        <f t="shared" si="315"/>
        <v>0</v>
      </c>
      <c r="BD140" s="207">
        <v>0</v>
      </c>
      <c r="BE140" s="210">
        <f t="shared" si="316"/>
        <v>0</v>
      </c>
      <c r="BF140" s="206">
        <f t="shared" si="317"/>
        <v>0</v>
      </c>
      <c r="BG140" s="207">
        <f t="shared" si="318"/>
        <v>0</v>
      </c>
      <c r="BH140" s="160">
        <f t="shared" si="294"/>
        <v>0</v>
      </c>
      <c r="BI140" s="200"/>
      <c r="BJ140" s="462"/>
      <c r="BK140" s="462"/>
      <c r="BL140" s="462"/>
      <c r="BM140" s="463"/>
      <c r="BN140" s="463"/>
      <c r="BO140" s="463"/>
      <c r="BP140" s="462"/>
      <c r="BQ140" s="462"/>
      <c r="BR140" s="462"/>
      <c r="BS140" s="462"/>
      <c r="BT140" s="462"/>
      <c r="BU140" s="462"/>
      <c r="BV140" s="462"/>
      <c r="BW140" s="462"/>
      <c r="BX140" s="462"/>
      <c r="BY140" s="462"/>
      <c r="BZ140" s="462"/>
      <c r="CA140" s="462"/>
      <c r="CB140" s="464"/>
      <c r="CC140" s="462"/>
      <c r="CD140" s="462"/>
      <c r="CE140" s="464"/>
      <c r="CF140" s="464"/>
      <c r="CG140" s="464"/>
      <c r="CH140" s="464"/>
      <c r="CI140" s="462"/>
      <c r="CJ140" s="462"/>
      <c r="CK140" s="464"/>
      <c r="CL140" s="464"/>
      <c r="CM140" s="464"/>
      <c r="CN140" s="357"/>
      <c r="CO140" s="346"/>
      <c r="CP140" s="346"/>
      <c r="CQ140" s="171"/>
      <c r="CR140" s="171"/>
      <c r="CS140" s="171"/>
      <c r="CT140" s="171"/>
      <c r="CU140" s="171"/>
      <c r="CV140" s="171"/>
      <c r="CW140" s="171"/>
      <c r="CX140" s="171"/>
      <c r="CY140" s="171"/>
      <c r="CZ140" s="171"/>
      <c r="DA140" s="171"/>
      <c r="DB140" s="171"/>
      <c r="DC140" s="171"/>
      <c r="DD140" s="171"/>
      <c r="DE140" s="171"/>
      <c r="DF140" s="171"/>
      <c r="DG140" s="171"/>
      <c r="DH140" s="171"/>
      <c r="DI140" s="171"/>
      <c r="DJ140" s="171"/>
      <c r="DK140" s="171"/>
      <c r="DL140" s="171"/>
      <c r="DM140" s="171"/>
      <c r="DN140" s="171"/>
      <c r="DO140" s="171"/>
      <c r="DP140" s="171"/>
      <c r="DQ140" s="171"/>
      <c r="DR140" s="171"/>
      <c r="DS140" s="171"/>
      <c r="DT140" s="171"/>
      <c r="DU140" s="171"/>
      <c r="DV140" s="171"/>
      <c r="DW140" s="170"/>
      <c r="DX140" s="170"/>
      <c r="DY140" s="170"/>
      <c r="DZ140" s="170"/>
      <c r="EA140" s="170"/>
      <c r="EB140" s="170"/>
      <c r="EC140" s="170"/>
      <c r="ED140" s="170"/>
    </row>
    <row r="141" spans="1:134" s="147" customFormat="1" hidden="1" x14ac:dyDescent="0.25">
      <c r="A141" s="146"/>
      <c r="B141" s="454"/>
      <c r="C141" s="111"/>
      <c r="D141" s="205">
        <f t="shared" si="295"/>
        <v>0</v>
      </c>
      <c r="E141" s="91"/>
      <c r="F141" s="91"/>
      <c r="G141" s="91"/>
      <c r="H141" s="91"/>
      <c r="I141" s="91"/>
      <c r="J141" s="91"/>
      <c r="K141" s="91"/>
      <c r="L141" s="91"/>
      <c r="M141" s="91"/>
      <c r="N141" s="91"/>
      <c r="O141" s="91"/>
      <c r="P141" s="91"/>
      <c r="Q141" s="206">
        <f t="shared" si="296"/>
        <v>0</v>
      </c>
      <c r="R141" s="205">
        <f t="shared" si="297"/>
        <v>0</v>
      </c>
      <c r="S141" s="206">
        <f t="shared" si="298"/>
        <v>0</v>
      </c>
      <c r="T141" s="206">
        <f t="shared" si="299"/>
        <v>0</v>
      </c>
      <c r="U141" s="206">
        <f t="shared" si="300"/>
        <v>0</v>
      </c>
      <c r="V141" s="92"/>
      <c r="W141" s="207">
        <f t="shared" si="301"/>
        <v>0</v>
      </c>
      <c r="X141" s="208">
        <v>0</v>
      </c>
      <c r="Y141" s="209">
        <v>0</v>
      </c>
      <c r="Z141" s="207">
        <v>0</v>
      </c>
      <c r="AA141" s="210">
        <f t="shared" si="302"/>
        <v>0</v>
      </c>
      <c r="AB141" s="210">
        <f t="shared" si="303"/>
        <v>0</v>
      </c>
      <c r="AC141" s="207">
        <f t="shared" si="304"/>
        <v>0</v>
      </c>
      <c r="AD141" s="210">
        <f t="shared" si="305"/>
        <v>0</v>
      </c>
      <c r="AE141" s="211">
        <v>0</v>
      </c>
      <c r="AF141" s="209">
        <v>0</v>
      </c>
      <c r="AG141" s="207">
        <v>0</v>
      </c>
      <c r="AH141" s="212">
        <f t="shared" si="306"/>
        <v>0</v>
      </c>
      <c r="AI141" s="212">
        <f t="shared" si="307"/>
        <v>0</v>
      </c>
      <c r="AJ141" s="207">
        <f t="shared" si="308"/>
        <v>0</v>
      </c>
      <c r="AK141" s="210">
        <f t="shared" si="309"/>
        <v>0</v>
      </c>
      <c r="AL141" s="211">
        <v>0</v>
      </c>
      <c r="AM141" s="209">
        <v>0</v>
      </c>
      <c r="AN141" s="207">
        <v>0</v>
      </c>
      <c r="AO141" s="212">
        <f>(W141*AL141)/1000</f>
        <v>0</v>
      </c>
      <c r="AP141" s="212">
        <f t="shared" si="310"/>
        <v>0</v>
      </c>
      <c r="AQ141" s="207">
        <f t="shared" si="311"/>
        <v>0</v>
      </c>
      <c r="AR141" s="210">
        <f t="shared" si="312"/>
        <v>0</v>
      </c>
      <c r="AS141" s="213">
        <f>VLOOKUP($C141,$BI$195:$CM$609,3,FALSE)</f>
        <v>0</v>
      </c>
      <c r="AT141" s="209">
        <f>VLOOKUP($C141,$BI$195:$CM$609,4,FALSE)</f>
        <v>0</v>
      </c>
      <c r="AU141" s="207">
        <f>IF($Q141&gt;0,VLOOKUP($C141,$BI$195:$CM$609,6,FALSE),0)</f>
        <v>0</v>
      </c>
      <c r="AV141" s="212">
        <f t="shared" si="313"/>
        <v>0</v>
      </c>
      <c r="AW141" s="207">
        <f t="shared" si="314"/>
        <v>0</v>
      </c>
      <c r="AX141" s="210">
        <f t="shared" si="319"/>
        <v>0</v>
      </c>
      <c r="AY141" s="213">
        <v>0</v>
      </c>
      <c r="AZ141" s="209">
        <v>0</v>
      </c>
      <c r="BA141" s="207">
        <v>0</v>
      </c>
      <c r="BB141" s="212">
        <f t="shared" si="320"/>
        <v>0</v>
      </c>
      <c r="BC141" s="212">
        <f t="shared" si="315"/>
        <v>0</v>
      </c>
      <c r="BD141" s="207">
        <v>0</v>
      </c>
      <c r="BE141" s="210">
        <f t="shared" si="316"/>
        <v>0</v>
      </c>
      <c r="BF141" s="206">
        <f t="shared" si="317"/>
        <v>0</v>
      </c>
      <c r="BG141" s="207">
        <f t="shared" si="318"/>
        <v>0</v>
      </c>
      <c r="BH141" s="160">
        <f t="shared" si="294"/>
        <v>0</v>
      </c>
      <c r="BI141" s="200"/>
      <c r="BJ141" s="462"/>
      <c r="BK141" s="462"/>
      <c r="BL141" s="462"/>
      <c r="BM141" s="463"/>
      <c r="BN141" s="463"/>
      <c r="BO141" s="463"/>
      <c r="BP141" s="462"/>
      <c r="BQ141" s="462"/>
      <c r="BR141" s="462"/>
      <c r="BS141" s="462"/>
      <c r="BT141" s="462"/>
      <c r="BU141" s="462"/>
      <c r="BV141" s="462"/>
      <c r="BW141" s="462"/>
      <c r="BX141" s="462"/>
      <c r="BY141" s="462"/>
      <c r="BZ141" s="462"/>
      <c r="CA141" s="462"/>
      <c r="CB141" s="464"/>
      <c r="CC141" s="462"/>
      <c r="CD141" s="462"/>
      <c r="CE141" s="464"/>
      <c r="CF141" s="464"/>
      <c r="CG141" s="464"/>
      <c r="CH141" s="464"/>
      <c r="CI141" s="462"/>
      <c r="CJ141" s="462"/>
      <c r="CK141" s="464"/>
      <c r="CL141" s="464"/>
      <c r="CM141" s="464"/>
      <c r="CN141" s="357"/>
      <c r="CO141" s="346"/>
      <c r="CP141" s="346"/>
      <c r="CQ141" s="171"/>
      <c r="CR141" s="171"/>
      <c r="CS141" s="171"/>
      <c r="CT141" s="171"/>
      <c r="CU141" s="171"/>
      <c r="CV141" s="171"/>
      <c r="CW141" s="171"/>
      <c r="CX141" s="171"/>
      <c r="CY141" s="171"/>
      <c r="CZ141" s="171"/>
      <c r="DA141" s="171"/>
      <c r="DB141" s="171"/>
      <c r="DC141" s="171"/>
      <c r="DD141" s="171"/>
      <c r="DE141" s="171"/>
      <c r="DF141" s="171"/>
      <c r="DG141" s="171"/>
      <c r="DH141" s="171"/>
      <c r="DI141" s="171"/>
      <c r="DJ141" s="171"/>
      <c r="DK141" s="171"/>
      <c r="DL141" s="171"/>
      <c r="DM141" s="171"/>
      <c r="DN141" s="171"/>
      <c r="DO141" s="171"/>
      <c r="DP141" s="171"/>
      <c r="DQ141" s="171"/>
      <c r="DR141" s="171"/>
      <c r="DS141" s="171"/>
      <c r="DT141" s="171"/>
      <c r="DU141" s="171"/>
      <c r="DV141" s="171"/>
      <c r="DW141" s="170"/>
      <c r="DX141" s="170"/>
      <c r="DY141" s="170"/>
      <c r="DZ141" s="170"/>
      <c r="EA141" s="170"/>
      <c r="EB141" s="170"/>
      <c r="EC141" s="170"/>
      <c r="ED141" s="170"/>
    </row>
    <row r="142" spans="1:134" s="147" customFormat="1" hidden="1" x14ac:dyDescent="0.25">
      <c r="A142" s="146"/>
      <c r="B142" s="454"/>
      <c r="C142" s="111"/>
      <c r="D142" s="205">
        <f t="shared" si="295"/>
        <v>0</v>
      </c>
      <c r="E142" s="91"/>
      <c r="F142" s="91"/>
      <c r="G142" s="91"/>
      <c r="H142" s="91"/>
      <c r="I142" s="91"/>
      <c r="J142" s="91"/>
      <c r="K142" s="91"/>
      <c r="L142" s="91"/>
      <c r="M142" s="91"/>
      <c r="N142" s="91"/>
      <c r="O142" s="91"/>
      <c r="P142" s="91"/>
      <c r="Q142" s="206">
        <f t="shared" si="296"/>
        <v>0</v>
      </c>
      <c r="R142" s="205">
        <f t="shared" si="297"/>
        <v>0</v>
      </c>
      <c r="S142" s="206">
        <f t="shared" si="298"/>
        <v>0</v>
      </c>
      <c r="T142" s="206">
        <f t="shared" si="299"/>
        <v>0</v>
      </c>
      <c r="U142" s="206">
        <f t="shared" si="300"/>
        <v>0</v>
      </c>
      <c r="V142" s="92"/>
      <c r="W142" s="207">
        <f t="shared" si="301"/>
        <v>0</v>
      </c>
      <c r="X142" s="208">
        <v>0</v>
      </c>
      <c r="Y142" s="209">
        <v>0</v>
      </c>
      <c r="Z142" s="207">
        <v>0</v>
      </c>
      <c r="AA142" s="210">
        <f t="shared" si="302"/>
        <v>0</v>
      </c>
      <c r="AB142" s="210">
        <f t="shared" si="303"/>
        <v>0</v>
      </c>
      <c r="AC142" s="207">
        <f t="shared" si="304"/>
        <v>0</v>
      </c>
      <c r="AD142" s="210">
        <f t="shared" si="305"/>
        <v>0</v>
      </c>
      <c r="AE142" s="211">
        <v>0</v>
      </c>
      <c r="AF142" s="209">
        <v>0</v>
      </c>
      <c r="AG142" s="207">
        <v>0</v>
      </c>
      <c r="AH142" s="212">
        <f t="shared" si="306"/>
        <v>0</v>
      </c>
      <c r="AI142" s="212">
        <f t="shared" si="307"/>
        <v>0</v>
      </c>
      <c r="AJ142" s="207">
        <f t="shared" si="308"/>
        <v>0</v>
      </c>
      <c r="AK142" s="210">
        <f t="shared" si="309"/>
        <v>0</v>
      </c>
      <c r="AL142" s="211">
        <v>0</v>
      </c>
      <c r="AM142" s="209">
        <v>0</v>
      </c>
      <c r="AN142" s="207">
        <v>0</v>
      </c>
      <c r="AO142" s="212">
        <f>(W142*AL142)/1000</f>
        <v>0</v>
      </c>
      <c r="AP142" s="212">
        <f t="shared" si="310"/>
        <v>0</v>
      </c>
      <c r="AQ142" s="207">
        <f t="shared" si="311"/>
        <v>0</v>
      </c>
      <c r="AR142" s="210">
        <f t="shared" si="312"/>
        <v>0</v>
      </c>
      <c r="AS142" s="213">
        <f>VLOOKUP($C142,$BI$195:$CM$609,3,FALSE)</f>
        <v>0</v>
      </c>
      <c r="AT142" s="209">
        <f>VLOOKUP($C142,$BI$195:$CM$609,4,FALSE)</f>
        <v>0</v>
      </c>
      <c r="AU142" s="207">
        <f>IF($Q142&gt;0,VLOOKUP($C142,$BI$195:$CM$609,6,FALSE),0)</f>
        <v>0</v>
      </c>
      <c r="AV142" s="212">
        <f t="shared" si="313"/>
        <v>0</v>
      </c>
      <c r="AW142" s="207">
        <f t="shared" si="314"/>
        <v>0</v>
      </c>
      <c r="AX142" s="210">
        <f t="shared" si="319"/>
        <v>0</v>
      </c>
      <c r="AY142" s="213">
        <v>0</v>
      </c>
      <c r="AZ142" s="209">
        <v>0</v>
      </c>
      <c r="BA142" s="207">
        <v>0</v>
      </c>
      <c r="BB142" s="212">
        <f t="shared" si="320"/>
        <v>0</v>
      </c>
      <c r="BC142" s="212">
        <f t="shared" si="315"/>
        <v>0</v>
      </c>
      <c r="BD142" s="207">
        <v>0</v>
      </c>
      <c r="BE142" s="210">
        <f t="shared" si="316"/>
        <v>0</v>
      </c>
      <c r="BF142" s="206">
        <f t="shared" si="317"/>
        <v>0</v>
      </c>
      <c r="BG142" s="207">
        <f t="shared" si="318"/>
        <v>0</v>
      </c>
      <c r="BH142" s="160">
        <f t="shared" si="294"/>
        <v>0</v>
      </c>
      <c r="BI142" s="200"/>
      <c r="BJ142" s="462"/>
      <c r="BK142" s="462"/>
      <c r="BL142" s="462"/>
      <c r="BM142" s="463"/>
      <c r="BN142" s="463"/>
      <c r="BO142" s="463"/>
      <c r="BP142" s="462"/>
      <c r="BQ142" s="462"/>
      <c r="BR142" s="462"/>
      <c r="BS142" s="462"/>
      <c r="BT142" s="462"/>
      <c r="BU142" s="462"/>
      <c r="BV142" s="462"/>
      <c r="BW142" s="462"/>
      <c r="BX142" s="462"/>
      <c r="BY142" s="462"/>
      <c r="BZ142" s="462"/>
      <c r="CA142" s="462"/>
      <c r="CB142" s="464"/>
      <c r="CC142" s="462"/>
      <c r="CD142" s="462"/>
      <c r="CE142" s="464"/>
      <c r="CF142" s="464"/>
      <c r="CG142" s="464"/>
      <c r="CH142" s="464"/>
      <c r="CI142" s="462"/>
      <c r="CJ142" s="462"/>
      <c r="CK142" s="464"/>
      <c r="CL142" s="464"/>
      <c r="CM142" s="464"/>
      <c r="CN142" s="357"/>
      <c r="CO142" s="346"/>
      <c r="CP142" s="346"/>
      <c r="CQ142" s="171"/>
      <c r="CR142" s="171"/>
      <c r="CS142" s="171"/>
      <c r="CT142" s="171"/>
      <c r="CU142" s="171"/>
      <c r="CV142" s="171"/>
      <c r="CW142" s="171"/>
      <c r="CX142" s="171"/>
      <c r="CY142" s="171"/>
      <c r="CZ142" s="171"/>
      <c r="DA142" s="171"/>
      <c r="DB142" s="171"/>
      <c r="DC142" s="171"/>
      <c r="DD142" s="171"/>
      <c r="DE142" s="171"/>
      <c r="DF142" s="171"/>
      <c r="DG142" s="171"/>
      <c r="DH142" s="171"/>
      <c r="DI142" s="171"/>
      <c r="DJ142" s="171"/>
      <c r="DK142" s="171"/>
      <c r="DL142" s="171"/>
      <c r="DM142" s="171"/>
      <c r="DN142" s="171"/>
      <c r="DO142" s="171"/>
      <c r="DP142" s="171"/>
      <c r="DQ142" s="171"/>
      <c r="DR142" s="171"/>
      <c r="DS142" s="171"/>
      <c r="DT142" s="171"/>
      <c r="DU142" s="171"/>
      <c r="DV142" s="171"/>
      <c r="DW142" s="170"/>
      <c r="DX142" s="170"/>
      <c r="DY142" s="170"/>
      <c r="DZ142" s="170"/>
      <c r="EA142" s="170"/>
      <c r="EB142" s="170"/>
      <c r="EC142" s="170"/>
      <c r="ED142" s="170"/>
    </row>
    <row r="143" spans="1:134" s="147" customFormat="1" hidden="1" x14ac:dyDescent="0.25">
      <c r="A143" s="146"/>
      <c r="B143" s="751" t="s">
        <v>447</v>
      </c>
      <c r="C143" s="111"/>
      <c r="D143" s="205">
        <f t="shared" si="295"/>
        <v>0</v>
      </c>
      <c r="E143" s="91"/>
      <c r="F143" s="91"/>
      <c r="G143" s="91"/>
      <c r="H143" s="91"/>
      <c r="I143" s="91"/>
      <c r="J143" s="91"/>
      <c r="K143" s="91"/>
      <c r="L143" s="143"/>
      <c r="M143" s="143"/>
      <c r="N143" s="143"/>
      <c r="O143" s="143"/>
      <c r="P143" s="143"/>
      <c r="Q143" s="206">
        <f t="shared" si="296"/>
        <v>0</v>
      </c>
      <c r="R143" s="205">
        <f t="shared" si="297"/>
        <v>0</v>
      </c>
      <c r="S143" s="206">
        <f t="shared" si="298"/>
        <v>0</v>
      </c>
      <c r="T143" s="206">
        <f t="shared" si="299"/>
        <v>0</v>
      </c>
      <c r="U143" s="206">
        <f t="shared" si="300"/>
        <v>0</v>
      </c>
      <c r="V143" s="92"/>
      <c r="W143" s="207">
        <f t="shared" si="301"/>
        <v>0</v>
      </c>
      <c r="X143" s="208">
        <f>VLOOKUP($C143,$BI$195:$CM$609,3,FALSE)</f>
        <v>0</v>
      </c>
      <c r="Y143" s="209">
        <f>VLOOKUP($C143,$BI$195:$CM$609,4,FALSE)</f>
        <v>0</v>
      </c>
      <c r="Z143" s="207">
        <f>IF($Q143&gt;0,VLOOKUP($C143,$BI$195:$CM$609,6,FALSE),0)</f>
        <v>0</v>
      </c>
      <c r="AA143" s="210">
        <f t="shared" si="302"/>
        <v>0</v>
      </c>
      <c r="AB143" s="210">
        <f t="shared" si="303"/>
        <v>0</v>
      </c>
      <c r="AC143" s="207">
        <f t="shared" si="304"/>
        <v>0</v>
      </c>
      <c r="AD143" s="210">
        <f t="shared" si="305"/>
        <v>0</v>
      </c>
      <c r="AE143" s="211">
        <v>0</v>
      </c>
      <c r="AF143" s="209">
        <v>0</v>
      </c>
      <c r="AG143" s="207">
        <v>0</v>
      </c>
      <c r="AH143" s="212">
        <f t="shared" si="306"/>
        <v>0</v>
      </c>
      <c r="AI143" s="212">
        <f t="shared" si="307"/>
        <v>0</v>
      </c>
      <c r="AJ143" s="207">
        <f t="shared" si="308"/>
        <v>0</v>
      </c>
      <c r="AK143" s="210">
        <f t="shared" si="309"/>
        <v>0</v>
      </c>
      <c r="AL143" s="211">
        <v>0</v>
      </c>
      <c r="AM143" s="209">
        <v>0</v>
      </c>
      <c r="AN143" s="207">
        <v>0</v>
      </c>
      <c r="AO143" s="212">
        <f>($Q143*AL143)/1000</f>
        <v>0</v>
      </c>
      <c r="AP143" s="212">
        <f t="shared" si="310"/>
        <v>0</v>
      </c>
      <c r="AQ143" s="207">
        <f t="shared" si="311"/>
        <v>0</v>
      </c>
      <c r="AR143" s="210">
        <f t="shared" si="312"/>
        <v>0</v>
      </c>
      <c r="AS143" s="213">
        <v>0</v>
      </c>
      <c r="AT143" s="209">
        <v>0</v>
      </c>
      <c r="AU143" s="207">
        <v>0</v>
      </c>
      <c r="AV143" s="212">
        <f t="shared" si="313"/>
        <v>0</v>
      </c>
      <c r="AW143" s="207">
        <f t="shared" si="314"/>
        <v>0</v>
      </c>
      <c r="AX143" s="210">
        <f t="shared" si="319"/>
        <v>0</v>
      </c>
      <c r="AY143" s="213">
        <v>0</v>
      </c>
      <c r="AZ143" s="209">
        <v>0</v>
      </c>
      <c r="BA143" s="207">
        <v>0</v>
      </c>
      <c r="BB143" s="212">
        <f t="shared" si="320"/>
        <v>0</v>
      </c>
      <c r="BC143" s="212">
        <f t="shared" si="315"/>
        <v>0</v>
      </c>
      <c r="BD143" s="207">
        <f>IF(BB143&gt;0,SQRT(($W143*$W143)+(BA143*BA143)+($V143*$V143)),0)</f>
        <v>0</v>
      </c>
      <c r="BE143" s="210">
        <f t="shared" si="316"/>
        <v>0</v>
      </c>
      <c r="BF143" s="206">
        <f t="shared" si="317"/>
        <v>0</v>
      </c>
      <c r="BG143" s="207">
        <f t="shared" si="318"/>
        <v>0</v>
      </c>
      <c r="BH143" s="160">
        <f t="shared" si="294"/>
        <v>0</v>
      </c>
      <c r="BI143" s="200"/>
      <c r="BJ143" s="462"/>
      <c r="BK143" s="462"/>
      <c r="BL143" s="462"/>
      <c r="BM143" s="463"/>
      <c r="BN143" s="463"/>
      <c r="BO143" s="463"/>
      <c r="BP143" s="462"/>
      <c r="BQ143" s="462"/>
      <c r="BR143" s="462"/>
      <c r="BS143" s="462"/>
      <c r="BT143" s="462"/>
      <c r="BU143" s="462"/>
      <c r="BV143" s="462"/>
      <c r="BW143" s="462"/>
      <c r="BX143" s="462"/>
      <c r="BY143" s="462"/>
      <c r="BZ143" s="462"/>
      <c r="CA143" s="462"/>
      <c r="CB143" s="464"/>
      <c r="CC143" s="462"/>
      <c r="CD143" s="462"/>
      <c r="CE143" s="464"/>
      <c r="CF143" s="464"/>
      <c r="CG143" s="464"/>
      <c r="CH143" s="464"/>
      <c r="CI143" s="462"/>
      <c r="CJ143" s="462"/>
      <c r="CK143" s="464"/>
      <c r="CL143" s="464"/>
      <c r="CM143" s="464"/>
      <c r="CN143" s="357"/>
      <c r="CO143" s="346"/>
      <c r="CP143" s="346"/>
      <c r="CQ143" s="171"/>
      <c r="CR143" s="171"/>
      <c r="CS143" s="171"/>
      <c r="CT143" s="171"/>
      <c r="CU143" s="171"/>
      <c r="CV143" s="171"/>
      <c r="CW143" s="171"/>
      <c r="CX143" s="171"/>
      <c r="CY143" s="171"/>
      <c r="CZ143" s="171"/>
      <c r="DA143" s="171"/>
      <c r="DB143" s="171"/>
      <c r="DC143" s="171"/>
      <c r="DD143" s="171"/>
      <c r="DE143" s="171"/>
      <c r="DF143" s="171"/>
      <c r="DG143" s="171"/>
      <c r="DH143" s="171"/>
      <c r="DI143" s="171"/>
      <c r="DJ143" s="171"/>
      <c r="DK143" s="171"/>
      <c r="DL143" s="171"/>
      <c r="DM143" s="171"/>
      <c r="DN143" s="171"/>
      <c r="DO143" s="171"/>
      <c r="DP143" s="171"/>
      <c r="DQ143" s="171"/>
      <c r="DR143" s="171"/>
      <c r="DS143" s="171"/>
      <c r="DT143" s="171"/>
      <c r="DU143" s="171"/>
      <c r="DV143" s="171"/>
      <c r="DW143" s="170"/>
      <c r="DX143" s="170"/>
      <c r="DY143" s="170"/>
      <c r="DZ143" s="170"/>
      <c r="EA143" s="170"/>
      <c r="EB143" s="170"/>
      <c r="EC143" s="170"/>
      <c r="ED143" s="170"/>
    </row>
    <row r="144" spans="1:134" s="147" customFormat="1" hidden="1" x14ac:dyDescent="0.25">
      <c r="A144" s="146"/>
      <c r="B144" s="752"/>
      <c r="C144" s="111"/>
      <c r="D144" s="205">
        <f t="shared" si="295"/>
        <v>0</v>
      </c>
      <c r="E144" s="91"/>
      <c r="F144" s="91"/>
      <c r="G144" s="91"/>
      <c r="H144" s="91"/>
      <c r="I144" s="91"/>
      <c r="J144" s="91"/>
      <c r="K144" s="91"/>
      <c r="L144" s="143"/>
      <c r="M144" s="143"/>
      <c r="N144" s="143"/>
      <c r="O144" s="143"/>
      <c r="P144" s="143"/>
      <c r="Q144" s="206">
        <f t="shared" si="296"/>
        <v>0</v>
      </c>
      <c r="R144" s="205">
        <f t="shared" si="297"/>
        <v>0</v>
      </c>
      <c r="S144" s="206">
        <f t="shared" si="298"/>
        <v>0</v>
      </c>
      <c r="T144" s="206">
        <f t="shared" si="299"/>
        <v>0</v>
      </c>
      <c r="U144" s="206">
        <f t="shared" si="300"/>
        <v>0</v>
      </c>
      <c r="V144" s="92"/>
      <c r="W144" s="207">
        <f t="shared" si="301"/>
        <v>0</v>
      </c>
      <c r="X144" s="208">
        <v>0</v>
      </c>
      <c r="Y144" s="209">
        <v>0</v>
      </c>
      <c r="Z144" s="207">
        <v>0</v>
      </c>
      <c r="AA144" s="210">
        <f t="shared" si="302"/>
        <v>0</v>
      </c>
      <c r="AB144" s="210">
        <f t="shared" si="303"/>
        <v>0</v>
      </c>
      <c r="AC144" s="207">
        <f t="shared" si="304"/>
        <v>0</v>
      </c>
      <c r="AD144" s="210">
        <f t="shared" si="305"/>
        <v>0</v>
      </c>
      <c r="AE144" s="211">
        <v>0</v>
      </c>
      <c r="AF144" s="209">
        <v>0</v>
      </c>
      <c r="AG144" s="207">
        <v>0</v>
      </c>
      <c r="AH144" s="212">
        <f t="shared" si="306"/>
        <v>0</v>
      </c>
      <c r="AI144" s="212">
        <f t="shared" si="307"/>
        <v>0</v>
      </c>
      <c r="AJ144" s="207">
        <f t="shared" si="308"/>
        <v>0</v>
      </c>
      <c r="AK144" s="210">
        <f t="shared" si="309"/>
        <v>0</v>
      </c>
      <c r="AL144" s="211">
        <v>0</v>
      </c>
      <c r="AM144" s="209">
        <v>0</v>
      </c>
      <c r="AN144" s="207">
        <v>0</v>
      </c>
      <c r="AO144" s="212">
        <f>(W144*AL144)/1000</f>
        <v>0</v>
      </c>
      <c r="AP144" s="212">
        <f t="shared" si="310"/>
        <v>0</v>
      </c>
      <c r="AQ144" s="207">
        <f t="shared" si="311"/>
        <v>0</v>
      </c>
      <c r="AR144" s="210">
        <f t="shared" si="312"/>
        <v>0</v>
      </c>
      <c r="AS144" s="213">
        <f>VLOOKUP($C144,$BI$195:$CM$609,3,FALSE)</f>
        <v>0</v>
      </c>
      <c r="AT144" s="209">
        <f>VLOOKUP($C144,$BI$195:$CM$609,4,FALSE)</f>
        <v>0</v>
      </c>
      <c r="AU144" s="207">
        <f>IF($Q144&gt;0,VLOOKUP($C144,$BI$195:$CM$609,6,FALSE),0)</f>
        <v>0</v>
      </c>
      <c r="AV144" s="212">
        <f t="shared" si="313"/>
        <v>0</v>
      </c>
      <c r="AW144" s="207">
        <f t="shared" si="314"/>
        <v>0</v>
      </c>
      <c r="AX144" s="210">
        <f t="shared" si="319"/>
        <v>0</v>
      </c>
      <c r="AY144" s="213">
        <v>0</v>
      </c>
      <c r="AZ144" s="209">
        <v>0</v>
      </c>
      <c r="BA144" s="207">
        <v>0</v>
      </c>
      <c r="BB144" s="212">
        <f t="shared" si="320"/>
        <v>0</v>
      </c>
      <c r="BC144" s="212">
        <f t="shared" si="315"/>
        <v>0</v>
      </c>
      <c r="BD144" s="207">
        <v>0</v>
      </c>
      <c r="BE144" s="210">
        <f t="shared" si="316"/>
        <v>0</v>
      </c>
      <c r="BF144" s="206">
        <f t="shared" si="317"/>
        <v>0</v>
      </c>
      <c r="BG144" s="207">
        <f t="shared" si="318"/>
        <v>0</v>
      </c>
      <c r="BH144" s="160">
        <f t="shared" si="294"/>
        <v>0</v>
      </c>
      <c r="BI144" s="200"/>
      <c r="BJ144" s="462"/>
      <c r="BK144" s="462"/>
      <c r="BL144" s="462"/>
      <c r="BM144" s="463"/>
      <c r="BN144" s="463"/>
      <c r="BO144" s="463"/>
      <c r="BP144" s="462"/>
      <c r="BQ144" s="462"/>
      <c r="BR144" s="462"/>
      <c r="BS144" s="462"/>
      <c r="BT144" s="462"/>
      <c r="BU144" s="462"/>
      <c r="BV144" s="462"/>
      <c r="BW144" s="462"/>
      <c r="BX144" s="462"/>
      <c r="BY144" s="462"/>
      <c r="BZ144" s="462"/>
      <c r="CA144" s="462"/>
      <c r="CB144" s="464"/>
      <c r="CC144" s="462"/>
      <c r="CD144" s="462"/>
      <c r="CE144" s="464"/>
      <c r="CF144" s="464"/>
      <c r="CG144" s="464"/>
      <c r="CH144" s="464"/>
      <c r="CI144" s="462"/>
      <c r="CJ144" s="462"/>
      <c r="CK144" s="464"/>
      <c r="CL144" s="464"/>
      <c r="CM144" s="464"/>
      <c r="CN144" s="357"/>
      <c r="CO144" s="346"/>
      <c r="CP144" s="346"/>
      <c r="CQ144" s="171"/>
      <c r="CR144" s="171"/>
      <c r="CS144" s="171"/>
      <c r="CT144" s="171"/>
      <c r="CU144" s="171"/>
      <c r="CV144" s="171"/>
      <c r="CW144" s="171"/>
      <c r="CX144" s="171"/>
      <c r="CY144" s="171"/>
      <c r="CZ144" s="171"/>
      <c r="DA144" s="171"/>
      <c r="DB144" s="171"/>
      <c r="DC144" s="171"/>
      <c r="DD144" s="171"/>
      <c r="DE144" s="171"/>
      <c r="DF144" s="171"/>
      <c r="DG144" s="171"/>
      <c r="DH144" s="171"/>
      <c r="DI144" s="171"/>
      <c r="DJ144" s="171"/>
      <c r="DK144" s="171"/>
      <c r="DL144" s="171"/>
      <c r="DM144" s="171"/>
      <c r="DN144" s="171"/>
      <c r="DO144" s="171"/>
      <c r="DP144" s="171"/>
      <c r="DQ144" s="171"/>
      <c r="DR144" s="171"/>
      <c r="DS144" s="171"/>
      <c r="DT144" s="171"/>
      <c r="DU144" s="171"/>
      <c r="DV144" s="171"/>
      <c r="DW144" s="170"/>
      <c r="DX144" s="170"/>
      <c r="DY144" s="170"/>
      <c r="DZ144" s="170"/>
      <c r="EA144" s="170"/>
      <c r="EB144" s="170"/>
      <c r="EC144" s="170"/>
      <c r="ED144" s="170"/>
    </row>
    <row r="145" spans="1:134" s="147" customFormat="1" hidden="1" x14ac:dyDescent="0.25">
      <c r="A145" s="146"/>
      <c r="B145" s="751" t="s">
        <v>506</v>
      </c>
      <c r="C145" s="111"/>
      <c r="D145" s="205">
        <f t="shared" si="295"/>
        <v>0</v>
      </c>
      <c r="E145" s="91"/>
      <c r="F145" s="91"/>
      <c r="G145" s="91"/>
      <c r="H145" s="91"/>
      <c r="I145" s="91"/>
      <c r="J145" s="91"/>
      <c r="K145" s="91"/>
      <c r="L145" s="143"/>
      <c r="M145" s="143"/>
      <c r="N145" s="143"/>
      <c r="O145" s="143"/>
      <c r="P145" s="143"/>
      <c r="Q145" s="206">
        <f t="shared" si="296"/>
        <v>0</v>
      </c>
      <c r="R145" s="205">
        <f t="shared" si="297"/>
        <v>0</v>
      </c>
      <c r="S145" s="206">
        <f t="shared" si="298"/>
        <v>0</v>
      </c>
      <c r="T145" s="206">
        <f t="shared" si="299"/>
        <v>0</v>
      </c>
      <c r="U145" s="206">
        <f t="shared" si="300"/>
        <v>0</v>
      </c>
      <c r="V145" s="92"/>
      <c r="W145" s="207">
        <f t="shared" si="301"/>
        <v>0</v>
      </c>
      <c r="X145" s="208">
        <f>VLOOKUP($C145,$BI$195:$CM$609,3,FALSE)</f>
        <v>0</v>
      </c>
      <c r="Y145" s="209">
        <f>VLOOKUP($C145,$BI$195:$CM$609,4,FALSE)</f>
        <v>0</v>
      </c>
      <c r="Z145" s="207">
        <f>IF($Q145&gt;0,VLOOKUP($C145,$BI$195:$CM$609,6,FALSE),0)</f>
        <v>0</v>
      </c>
      <c r="AA145" s="210">
        <f t="shared" si="302"/>
        <v>0</v>
      </c>
      <c r="AB145" s="210">
        <f t="shared" si="303"/>
        <v>0</v>
      </c>
      <c r="AC145" s="207">
        <f t="shared" si="304"/>
        <v>0</v>
      </c>
      <c r="AD145" s="210">
        <f t="shared" si="305"/>
        <v>0</v>
      </c>
      <c r="AE145" s="211">
        <v>0</v>
      </c>
      <c r="AF145" s="209">
        <v>0</v>
      </c>
      <c r="AG145" s="207">
        <v>0</v>
      </c>
      <c r="AH145" s="212">
        <f t="shared" si="306"/>
        <v>0</v>
      </c>
      <c r="AI145" s="212">
        <f t="shared" si="307"/>
        <v>0</v>
      </c>
      <c r="AJ145" s="207">
        <f t="shared" si="308"/>
        <v>0</v>
      </c>
      <c r="AK145" s="210">
        <f t="shared" si="309"/>
        <v>0</v>
      </c>
      <c r="AL145" s="211">
        <v>0</v>
      </c>
      <c r="AM145" s="209">
        <v>0</v>
      </c>
      <c r="AN145" s="207">
        <v>0</v>
      </c>
      <c r="AO145" s="212">
        <f>($Q145*AL145)/1000</f>
        <v>0</v>
      </c>
      <c r="AP145" s="212">
        <f t="shared" si="310"/>
        <v>0</v>
      </c>
      <c r="AQ145" s="207">
        <f t="shared" si="311"/>
        <v>0</v>
      </c>
      <c r="AR145" s="210">
        <f t="shared" si="312"/>
        <v>0</v>
      </c>
      <c r="AS145" s="213">
        <v>0</v>
      </c>
      <c r="AT145" s="209">
        <v>0</v>
      </c>
      <c r="AU145" s="207">
        <v>0</v>
      </c>
      <c r="AV145" s="212">
        <f t="shared" si="313"/>
        <v>0</v>
      </c>
      <c r="AW145" s="207">
        <f t="shared" si="314"/>
        <v>0</v>
      </c>
      <c r="AX145" s="210">
        <f t="shared" si="319"/>
        <v>0</v>
      </c>
      <c r="AY145" s="213">
        <v>0</v>
      </c>
      <c r="AZ145" s="209">
        <v>0</v>
      </c>
      <c r="BA145" s="207">
        <v>0</v>
      </c>
      <c r="BB145" s="212">
        <f t="shared" si="320"/>
        <v>0</v>
      </c>
      <c r="BC145" s="212">
        <f t="shared" si="315"/>
        <v>0</v>
      </c>
      <c r="BD145" s="207">
        <f>IF(BB145&gt;0,SQRT(($W145*$W145)+(BA145*BA145)+($V145*$V145)),0)</f>
        <v>0</v>
      </c>
      <c r="BE145" s="210">
        <f t="shared" si="316"/>
        <v>0</v>
      </c>
      <c r="BF145" s="206">
        <f t="shared" si="317"/>
        <v>0</v>
      </c>
      <c r="BG145" s="207">
        <f t="shared" si="318"/>
        <v>0</v>
      </c>
      <c r="BH145" s="160">
        <f t="shared" si="294"/>
        <v>0</v>
      </c>
      <c r="BI145" s="200"/>
      <c r="BJ145" s="462"/>
      <c r="BK145" s="462"/>
      <c r="BL145" s="462"/>
      <c r="BM145" s="463"/>
      <c r="BN145" s="463"/>
      <c r="BO145" s="463"/>
      <c r="BP145" s="462"/>
      <c r="BQ145" s="462"/>
      <c r="BR145" s="462"/>
      <c r="BS145" s="462"/>
      <c r="BT145" s="462"/>
      <c r="BU145" s="462"/>
      <c r="BV145" s="462"/>
      <c r="BW145" s="462"/>
      <c r="BX145" s="462"/>
      <c r="BY145" s="462"/>
      <c r="BZ145" s="462"/>
      <c r="CA145" s="462"/>
      <c r="CB145" s="464"/>
      <c r="CC145" s="462"/>
      <c r="CD145" s="462"/>
      <c r="CE145" s="464"/>
      <c r="CF145" s="464"/>
      <c r="CG145" s="464"/>
      <c r="CH145" s="464"/>
      <c r="CI145" s="462"/>
      <c r="CJ145" s="462"/>
      <c r="CK145" s="464"/>
      <c r="CL145" s="464"/>
      <c r="CM145" s="464"/>
      <c r="CN145" s="357"/>
      <c r="CO145" s="346"/>
      <c r="CP145" s="346"/>
      <c r="CQ145" s="171"/>
      <c r="CR145" s="171"/>
      <c r="CS145" s="171"/>
      <c r="CT145" s="171"/>
      <c r="CU145" s="171"/>
      <c r="CV145" s="171"/>
      <c r="CW145" s="171"/>
      <c r="CX145" s="171"/>
      <c r="CY145" s="171"/>
      <c r="CZ145" s="171"/>
      <c r="DA145" s="171"/>
      <c r="DB145" s="171"/>
      <c r="DC145" s="171"/>
      <c r="DD145" s="171"/>
      <c r="DE145" s="171"/>
      <c r="DF145" s="171"/>
      <c r="DG145" s="171"/>
      <c r="DH145" s="171"/>
      <c r="DI145" s="171"/>
      <c r="DJ145" s="171"/>
      <c r="DK145" s="171"/>
      <c r="DL145" s="171"/>
      <c r="DM145" s="171"/>
      <c r="DN145" s="171"/>
      <c r="DO145" s="171"/>
      <c r="DP145" s="171"/>
      <c r="DQ145" s="171"/>
      <c r="DR145" s="171"/>
      <c r="DS145" s="171"/>
      <c r="DT145" s="171"/>
      <c r="DU145" s="171"/>
      <c r="DV145" s="171"/>
      <c r="DW145" s="170"/>
      <c r="DX145" s="170"/>
      <c r="DY145" s="170"/>
      <c r="DZ145" s="170"/>
      <c r="EA145" s="170"/>
      <c r="EB145" s="170"/>
      <c r="EC145" s="170"/>
      <c r="ED145" s="170"/>
    </row>
    <row r="146" spans="1:134" s="147" customFormat="1" hidden="1" x14ac:dyDescent="0.25">
      <c r="A146" s="146"/>
      <c r="B146" s="752"/>
      <c r="C146" s="111"/>
      <c r="D146" s="205">
        <f t="shared" si="295"/>
        <v>0</v>
      </c>
      <c r="E146" s="91"/>
      <c r="F146" s="91"/>
      <c r="G146" s="91"/>
      <c r="H146" s="91"/>
      <c r="I146" s="91"/>
      <c r="J146" s="91"/>
      <c r="K146" s="143"/>
      <c r="L146" s="143"/>
      <c r="M146" s="143"/>
      <c r="N146" s="143"/>
      <c r="O146" s="143"/>
      <c r="P146" s="143"/>
      <c r="Q146" s="206">
        <f t="shared" si="296"/>
        <v>0</v>
      </c>
      <c r="R146" s="205">
        <f t="shared" si="297"/>
        <v>0</v>
      </c>
      <c r="S146" s="206">
        <f t="shared" si="298"/>
        <v>0</v>
      </c>
      <c r="T146" s="206">
        <f t="shared" si="299"/>
        <v>0</v>
      </c>
      <c r="U146" s="206">
        <f t="shared" si="300"/>
        <v>0</v>
      </c>
      <c r="V146" s="92"/>
      <c r="W146" s="207">
        <f t="shared" si="301"/>
        <v>0</v>
      </c>
      <c r="X146" s="208">
        <f>VLOOKUP($C146,$BI$195:$CM$609,3,FALSE)</f>
        <v>0</v>
      </c>
      <c r="Y146" s="209">
        <f>VLOOKUP($C146,$BI$195:$CM$609,4,FALSE)</f>
        <v>0</v>
      </c>
      <c r="Z146" s="207">
        <f>IF($Q146&gt;0,VLOOKUP($C146,$BI$195:$CM$609,6,FALSE),0)</f>
        <v>0</v>
      </c>
      <c r="AA146" s="210">
        <f t="shared" si="302"/>
        <v>0</v>
      </c>
      <c r="AB146" s="210">
        <f t="shared" si="303"/>
        <v>0</v>
      </c>
      <c r="AC146" s="207">
        <f t="shared" si="304"/>
        <v>0</v>
      </c>
      <c r="AD146" s="210">
        <f t="shared" si="305"/>
        <v>0</v>
      </c>
      <c r="AE146" s="211">
        <v>0</v>
      </c>
      <c r="AF146" s="209">
        <v>0</v>
      </c>
      <c r="AG146" s="207">
        <v>0</v>
      </c>
      <c r="AH146" s="212">
        <f t="shared" si="306"/>
        <v>0</v>
      </c>
      <c r="AI146" s="212">
        <f t="shared" si="307"/>
        <v>0</v>
      </c>
      <c r="AJ146" s="207">
        <f t="shared" si="308"/>
        <v>0</v>
      </c>
      <c r="AK146" s="210">
        <f t="shared" si="309"/>
        <v>0</v>
      </c>
      <c r="AL146" s="211">
        <v>0</v>
      </c>
      <c r="AM146" s="209">
        <v>0</v>
      </c>
      <c r="AN146" s="207">
        <v>0</v>
      </c>
      <c r="AO146" s="212">
        <f>($Q146*AL146)/1000</f>
        <v>0</v>
      </c>
      <c r="AP146" s="212">
        <f t="shared" si="310"/>
        <v>0</v>
      </c>
      <c r="AQ146" s="207">
        <f t="shared" si="311"/>
        <v>0</v>
      </c>
      <c r="AR146" s="210">
        <f t="shared" si="312"/>
        <v>0</v>
      </c>
      <c r="AS146" s="213">
        <v>0</v>
      </c>
      <c r="AT146" s="209">
        <v>0</v>
      </c>
      <c r="AU146" s="207">
        <v>0</v>
      </c>
      <c r="AV146" s="212">
        <f t="shared" si="313"/>
        <v>0</v>
      </c>
      <c r="AW146" s="207">
        <f t="shared" si="314"/>
        <v>0</v>
      </c>
      <c r="AX146" s="210">
        <f t="shared" si="319"/>
        <v>0</v>
      </c>
      <c r="AY146" s="213">
        <v>0</v>
      </c>
      <c r="AZ146" s="209">
        <v>0</v>
      </c>
      <c r="BA146" s="207">
        <v>0</v>
      </c>
      <c r="BB146" s="212">
        <f t="shared" si="320"/>
        <v>0</v>
      </c>
      <c r="BC146" s="212">
        <f t="shared" si="315"/>
        <v>0</v>
      </c>
      <c r="BD146" s="207">
        <f>IF(BB146&gt;0,SQRT(($W146*$W146)+(BA146*BA146)+($V146*$V146)),0)</f>
        <v>0</v>
      </c>
      <c r="BE146" s="210">
        <f t="shared" si="316"/>
        <v>0</v>
      </c>
      <c r="BF146" s="206">
        <f t="shared" si="317"/>
        <v>0</v>
      </c>
      <c r="BG146" s="207">
        <f t="shared" si="318"/>
        <v>0</v>
      </c>
      <c r="BH146" s="160">
        <f t="shared" si="294"/>
        <v>0</v>
      </c>
      <c r="BI146" s="200"/>
      <c r="BJ146" s="462"/>
      <c r="BK146" s="462"/>
      <c r="BL146" s="462"/>
      <c r="BM146" s="463"/>
      <c r="BN146" s="463"/>
      <c r="BO146" s="463"/>
      <c r="BP146" s="462"/>
      <c r="BQ146" s="462"/>
      <c r="BR146" s="462"/>
      <c r="BS146" s="462"/>
      <c r="BT146" s="462"/>
      <c r="BU146" s="462"/>
      <c r="BV146" s="462"/>
      <c r="BW146" s="462"/>
      <c r="BX146" s="462"/>
      <c r="BY146" s="462"/>
      <c r="BZ146" s="462"/>
      <c r="CA146" s="462"/>
      <c r="CB146" s="464"/>
      <c r="CC146" s="462"/>
      <c r="CD146" s="462"/>
      <c r="CE146" s="464"/>
      <c r="CF146" s="464"/>
      <c r="CG146" s="464"/>
      <c r="CH146" s="464"/>
      <c r="CI146" s="462"/>
      <c r="CJ146" s="462"/>
      <c r="CK146" s="464"/>
      <c r="CL146" s="464"/>
      <c r="CM146" s="464"/>
      <c r="CN146" s="357"/>
      <c r="CO146" s="346"/>
      <c r="CP146" s="346"/>
      <c r="CQ146" s="171"/>
      <c r="CR146" s="171"/>
      <c r="CS146" s="171"/>
      <c r="CT146" s="171"/>
      <c r="CU146" s="171"/>
      <c r="CV146" s="171"/>
      <c r="CW146" s="171"/>
      <c r="CX146" s="171"/>
      <c r="CY146" s="171"/>
      <c r="CZ146" s="171"/>
      <c r="DA146" s="171"/>
      <c r="DB146" s="171"/>
      <c r="DC146" s="171"/>
      <c r="DD146" s="171"/>
      <c r="DE146" s="171"/>
      <c r="DF146" s="171"/>
      <c r="DG146" s="171"/>
      <c r="DH146" s="171"/>
      <c r="DI146" s="171"/>
      <c r="DJ146" s="171"/>
      <c r="DK146" s="171"/>
      <c r="DL146" s="171"/>
      <c r="DM146" s="171"/>
      <c r="DN146" s="171"/>
      <c r="DO146" s="171"/>
      <c r="DP146" s="171"/>
      <c r="DQ146" s="171"/>
      <c r="DR146" s="171"/>
      <c r="DS146" s="171"/>
      <c r="DT146" s="171"/>
      <c r="DU146" s="171"/>
      <c r="DV146" s="171"/>
      <c r="DW146" s="170"/>
      <c r="DX146" s="170"/>
      <c r="DY146" s="170"/>
      <c r="DZ146" s="170"/>
      <c r="EA146" s="170"/>
      <c r="EB146" s="170"/>
      <c r="EC146" s="170"/>
      <c r="ED146" s="170"/>
    </row>
    <row r="147" spans="1:134" s="147" customFormat="1" hidden="1" x14ac:dyDescent="0.25">
      <c r="A147" s="146"/>
      <c r="B147" s="452" t="s">
        <v>311</v>
      </c>
      <c r="C147" s="111"/>
      <c r="D147" s="205">
        <f t="shared" si="295"/>
        <v>0</v>
      </c>
      <c r="E147" s="91"/>
      <c r="F147" s="91"/>
      <c r="G147" s="91"/>
      <c r="H147" s="91"/>
      <c r="I147" s="91"/>
      <c r="J147" s="91"/>
      <c r="K147" s="143"/>
      <c r="L147" s="143"/>
      <c r="M147" s="143"/>
      <c r="N147" s="143"/>
      <c r="O147" s="143"/>
      <c r="P147" s="143"/>
      <c r="Q147" s="206">
        <f t="shared" si="296"/>
        <v>0</v>
      </c>
      <c r="R147" s="205">
        <f t="shared" si="297"/>
        <v>0</v>
      </c>
      <c r="S147" s="206">
        <f t="shared" si="298"/>
        <v>0</v>
      </c>
      <c r="T147" s="206">
        <f t="shared" si="299"/>
        <v>0</v>
      </c>
      <c r="U147" s="206">
        <f t="shared" si="300"/>
        <v>0</v>
      </c>
      <c r="V147" s="92"/>
      <c r="W147" s="207">
        <f t="shared" si="301"/>
        <v>0</v>
      </c>
      <c r="X147" s="208">
        <f>VLOOKUP($C147,$BI$195:$CM$609,3,FALSE)</f>
        <v>0</v>
      </c>
      <c r="Y147" s="209">
        <f>VLOOKUP($C147,$BI$195:$CM$609,4,FALSE)</f>
        <v>0</v>
      </c>
      <c r="Z147" s="207">
        <f>IF($Q147&gt;0,VLOOKUP($C147,$BI$195:$CM$609,6,FALSE),0)</f>
        <v>0</v>
      </c>
      <c r="AA147" s="210">
        <f t="shared" si="302"/>
        <v>0</v>
      </c>
      <c r="AB147" s="210">
        <f t="shared" si="303"/>
        <v>0</v>
      </c>
      <c r="AC147" s="207">
        <f t="shared" si="304"/>
        <v>0</v>
      </c>
      <c r="AD147" s="210">
        <f t="shared" si="305"/>
        <v>0</v>
      </c>
      <c r="AE147" s="211">
        <v>0</v>
      </c>
      <c r="AF147" s="209">
        <v>0</v>
      </c>
      <c r="AG147" s="207">
        <v>0</v>
      </c>
      <c r="AH147" s="212">
        <f t="shared" si="306"/>
        <v>0</v>
      </c>
      <c r="AI147" s="212">
        <f t="shared" si="307"/>
        <v>0</v>
      </c>
      <c r="AJ147" s="207">
        <f t="shared" si="308"/>
        <v>0</v>
      </c>
      <c r="AK147" s="210">
        <f t="shared" si="309"/>
        <v>0</v>
      </c>
      <c r="AL147" s="211">
        <v>0</v>
      </c>
      <c r="AM147" s="209">
        <v>0</v>
      </c>
      <c r="AN147" s="207">
        <v>0</v>
      </c>
      <c r="AO147" s="212">
        <f>($Q147*AL147)/1000</f>
        <v>0</v>
      </c>
      <c r="AP147" s="212">
        <f t="shared" si="310"/>
        <v>0</v>
      </c>
      <c r="AQ147" s="207">
        <f t="shared" si="311"/>
        <v>0</v>
      </c>
      <c r="AR147" s="210">
        <f t="shared" si="312"/>
        <v>0</v>
      </c>
      <c r="AS147" s="213">
        <v>0</v>
      </c>
      <c r="AT147" s="209">
        <v>0</v>
      </c>
      <c r="AU147" s="207">
        <v>0</v>
      </c>
      <c r="AV147" s="212">
        <f t="shared" si="313"/>
        <v>0</v>
      </c>
      <c r="AW147" s="207">
        <f t="shared" si="314"/>
        <v>0</v>
      </c>
      <c r="AX147" s="210">
        <f t="shared" si="319"/>
        <v>0</v>
      </c>
      <c r="AY147" s="213">
        <v>0</v>
      </c>
      <c r="AZ147" s="209">
        <v>0</v>
      </c>
      <c r="BA147" s="207">
        <v>0</v>
      </c>
      <c r="BB147" s="212">
        <f t="shared" si="320"/>
        <v>0</v>
      </c>
      <c r="BC147" s="212">
        <f t="shared" si="315"/>
        <v>0</v>
      </c>
      <c r="BD147" s="207">
        <f>IF(BB147&gt;0,SQRT(($W147*$W147)+(BA147*BA147)+($V147*$V147)),0)</f>
        <v>0</v>
      </c>
      <c r="BE147" s="210">
        <f t="shared" si="316"/>
        <v>0</v>
      </c>
      <c r="BF147" s="206">
        <f t="shared" si="317"/>
        <v>0</v>
      </c>
      <c r="BG147" s="207">
        <f t="shared" si="318"/>
        <v>0</v>
      </c>
      <c r="BH147" s="160">
        <f t="shared" si="294"/>
        <v>0</v>
      </c>
      <c r="BI147" s="200"/>
      <c r="BJ147" s="462"/>
      <c r="BK147" s="462"/>
      <c r="BL147" s="462"/>
      <c r="BM147" s="463"/>
      <c r="BN147" s="463"/>
      <c r="BO147" s="463"/>
      <c r="BP147" s="462"/>
      <c r="BQ147" s="462"/>
      <c r="BR147" s="462"/>
      <c r="BS147" s="462"/>
      <c r="BT147" s="462"/>
      <c r="BU147" s="462"/>
      <c r="BV147" s="462"/>
      <c r="BW147" s="462"/>
      <c r="BX147" s="462"/>
      <c r="BY147" s="462"/>
      <c r="BZ147" s="462"/>
      <c r="CA147" s="462"/>
      <c r="CB147" s="464"/>
      <c r="CC147" s="462"/>
      <c r="CD147" s="462"/>
      <c r="CE147" s="464"/>
      <c r="CF147" s="464"/>
      <c r="CG147" s="464"/>
      <c r="CH147" s="464"/>
      <c r="CI147" s="462"/>
      <c r="CJ147" s="462"/>
      <c r="CK147" s="464"/>
      <c r="CL147" s="464"/>
      <c r="CM147" s="464"/>
      <c r="CN147" s="357"/>
      <c r="CO147" s="346"/>
      <c r="CP147" s="346"/>
      <c r="CQ147" s="171"/>
      <c r="CR147" s="171"/>
      <c r="CS147" s="171"/>
      <c r="CT147" s="171"/>
      <c r="CU147" s="171"/>
      <c r="CV147" s="171"/>
      <c r="CW147" s="171"/>
      <c r="CX147" s="171"/>
      <c r="CY147" s="171"/>
      <c r="CZ147" s="171"/>
      <c r="DA147" s="171"/>
      <c r="DB147" s="171"/>
      <c r="DC147" s="171"/>
      <c r="DD147" s="171"/>
      <c r="DE147" s="171"/>
      <c r="DF147" s="171"/>
      <c r="DG147" s="171"/>
      <c r="DH147" s="171"/>
      <c r="DI147" s="171"/>
      <c r="DJ147" s="171"/>
      <c r="DK147" s="171"/>
      <c r="DL147" s="171"/>
      <c r="DM147" s="171"/>
      <c r="DN147" s="171"/>
      <c r="DO147" s="171"/>
      <c r="DP147" s="171"/>
      <c r="DQ147" s="171"/>
      <c r="DR147" s="171"/>
      <c r="DS147" s="171"/>
      <c r="DT147" s="171"/>
      <c r="DU147" s="171"/>
      <c r="DV147" s="171"/>
      <c r="DW147" s="170"/>
      <c r="DX147" s="170"/>
      <c r="DY147" s="170"/>
      <c r="DZ147" s="170"/>
      <c r="EA147" s="170"/>
      <c r="EB147" s="170"/>
      <c r="EC147" s="170"/>
      <c r="ED147" s="170"/>
    </row>
    <row r="148" spans="1:134" s="147" customFormat="1" hidden="1" x14ac:dyDescent="0.25">
      <c r="A148" s="146"/>
      <c r="B148" s="452" t="s">
        <v>463</v>
      </c>
      <c r="C148" s="111"/>
      <c r="D148" s="205">
        <f t="shared" si="295"/>
        <v>0</v>
      </c>
      <c r="E148" s="91"/>
      <c r="F148" s="91"/>
      <c r="G148" s="91"/>
      <c r="H148" s="91"/>
      <c r="I148" s="91"/>
      <c r="J148" s="91"/>
      <c r="K148" s="91"/>
      <c r="L148" s="91"/>
      <c r="M148" s="91"/>
      <c r="N148" s="91"/>
      <c r="O148" s="91"/>
      <c r="P148" s="91"/>
      <c r="Q148" s="206">
        <f t="shared" si="296"/>
        <v>0</v>
      </c>
      <c r="R148" s="205">
        <f t="shared" si="297"/>
        <v>0</v>
      </c>
      <c r="S148" s="206">
        <f t="shared" si="298"/>
        <v>0</v>
      </c>
      <c r="T148" s="206">
        <f t="shared" si="299"/>
        <v>0</v>
      </c>
      <c r="U148" s="206">
        <f t="shared" si="300"/>
        <v>0</v>
      </c>
      <c r="V148" s="92"/>
      <c r="W148" s="207">
        <f t="shared" si="301"/>
        <v>0</v>
      </c>
      <c r="X148" s="208">
        <v>0</v>
      </c>
      <c r="Y148" s="209">
        <v>0</v>
      </c>
      <c r="Z148" s="207">
        <v>0</v>
      </c>
      <c r="AA148" s="210">
        <f t="shared" si="302"/>
        <v>0</v>
      </c>
      <c r="AB148" s="210">
        <f t="shared" si="303"/>
        <v>0</v>
      </c>
      <c r="AC148" s="207">
        <f>IF(AA148&gt;0,SQRT(($W148*$W148)+(BA148*BA148)+($V148*$V148)),0)</f>
        <v>0</v>
      </c>
      <c r="AD148" s="210">
        <f t="shared" si="305"/>
        <v>0</v>
      </c>
      <c r="AE148" s="211">
        <v>0</v>
      </c>
      <c r="AF148" s="209">
        <v>0</v>
      </c>
      <c r="AG148" s="207">
        <v>0</v>
      </c>
      <c r="AH148" s="212">
        <f t="shared" si="306"/>
        <v>0</v>
      </c>
      <c r="AI148" s="212">
        <f t="shared" si="307"/>
        <v>0</v>
      </c>
      <c r="AJ148" s="207">
        <f t="shared" si="308"/>
        <v>0</v>
      </c>
      <c r="AK148" s="210">
        <f t="shared" si="309"/>
        <v>0</v>
      </c>
      <c r="AL148" s="211">
        <v>0</v>
      </c>
      <c r="AM148" s="209">
        <v>0</v>
      </c>
      <c r="AN148" s="207">
        <v>0</v>
      </c>
      <c r="AO148" s="212">
        <f>($Q148*AL148)/1000</f>
        <v>0</v>
      </c>
      <c r="AP148" s="212">
        <f t="shared" si="310"/>
        <v>0</v>
      </c>
      <c r="AQ148" s="207">
        <f t="shared" si="311"/>
        <v>0</v>
      </c>
      <c r="AR148" s="210">
        <f t="shared" si="312"/>
        <v>0</v>
      </c>
      <c r="AS148" s="213">
        <v>0</v>
      </c>
      <c r="AT148" s="209">
        <v>0</v>
      </c>
      <c r="AU148" s="207">
        <v>0</v>
      </c>
      <c r="AV148" s="212">
        <f t="shared" si="313"/>
        <v>0</v>
      </c>
      <c r="AW148" s="207">
        <f t="shared" si="314"/>
        <v>0</v>
      </c>
      <c r="AX148" s="210">
        <f t="shared" si="319"/>
        <v>0</v>
      </c>
      <c r="AY148" s="208">
        <f>VLOOKUP($C148,$BI$195:$CM$609,3,FALSE)/BJ550</f>
        <v>0</v>
      </c>
      <c r="AZ148" s="209">
        <f>VLOOKUP($C148,$BI$195:$CM$609,4,FALSE)</f>
        <v>0</v>
      </c>
      <c r="BA148" s="207">
        <f>IF($Q148&gt;0,VLOOKUP($C148,$BI$195:$CM$609,6,FALSE),0)</f>
        <v>0</v>
      </c>
      <c r="BB148" s="212">
        <f>($Q148*AY148)/1000</f>
        <v>0</v>
      </c>
      <c r="BC148" s="212">
        <f t="shared" si="315"/>
        <v>0</v>
      </c>
      <c r="BD148" s="207">
        <f>IF(BB148&gt;0,SQRT(($W148*$W148)+(BA148*BA148)+($V148*$V148)),0)</f>
        <v>0</v>
      </c>
      <c r="BE148" s="210">
        <f t="shared" si="316"/>
        <v>0</v>
      </c>
      <c r="BF148" s="206">
        <f t="shared" si="317"/>
        <v>0</v>
      </c>
      <c r="BG148" s="207">
        <f t="shared" si="318"/>
        <v>0</v>
      </c>
      <c r="BH148" s="160">
        <f t="shared" si="294"/>
        <v>0</v>
      </c>
      <c r="BI148" s="200"/>
      <c r="BJ148" s="462"/>
      <c r="BK148" s="462"/>
      <c r="BL148" s="462"/>
      <c r="BM148" s="463"/>
      <c r="BN148" s="463"/>
      <c r="BO148" s="463"/>
      <c r="BP148" s="462"/>
      <c r="BQ148" s="462"/>
      <c r="BR148" s="462"/>
      <c r="BS148" s="462"/>
      <c r="BT148" s="462"/>
      <c r="BU148" s="462"/>
      <c r="BV148" s="462"/>
      <c r="BW148" s="462"/>
      <c r="BX148" s="462"/>
      <c r="BY148" s="462"/>
      <c r="BZ148" s="462"/>
      <c r="CA148" s="462"/>
      <c r="CB148" s="464"/>
      <c r="CC148" s="462"/>
      <c r="CD148" s="462"/>
      <c r="CE148" s="464"/>
      <c r="CF148" s="464"/>
      <c r="CG148" s="464"/>
      <c r="CH148" s="464"/>
      <c r="CI148" s="462"/>
      <c r="CJ148" s="462"/>
      <c r="CK148" s="464"/>
      <c r="CL148" s="464"/>
      <c r="CM148" s="464"/>
      <c r="CN148" s="357"/>
      <c r="CO148" s="346"/>
      <c r="CP148" s="346"/>
      <c r="CQ148" s="171"/>
      <c r="CR148" s="171"/>
      <c r="CS148" s="171"/>
      <c r="CT148" s="171"/>
      <c r="CU148" s="171"/>
      <c r="CV148" s="171"/>
      <c r="CW148" s="171"/>
      <c r="CX148" s="171"/>
      <c r="CY148" s="171"/>
      <c r="CZ148" s="171"/>
      <c r="DA148" s="171"/>
      <c r="DB148" s="171"/>
      <c r="DC148" s="171"/>
      <c r="DD148" s="171"/>
      <c r="DE148" s="171"/>
      <c r="DF148" s="171"/>
      <c r="DG148" s="171"/>
      <c r="DH148" s="171"/>
      <c r="DI148" s="171"/>
      <c r="DJ148" s="171"/>
      <c r="DK148" s="171"/>
      <c r="DL148" s="171"/>
      <c r="DM148" s="171"/>
      <c r="DN148" s="171"/>
      <c r="DO148" s="171"/>
      <c r="DP148" s="171"/>
      <c r="DQ148" s="171"/>
      <c r="DR148" s="171"/>
      <c r="DS148" s="171"/>
      <c r="DT148" s="171"/>
      <c r="DU148" s="171"/>
      <c r="DV148" s="171"/>
      <c r="DW148" s="170"/>
      <c r="DX148" s="170"/>
      <c r="DY148" s="170"/>
      <c r="DZ148" s="170"/>
      <c r="EA148" s="170"/>
      <c r="EB148" s="170"/>
      <c r="EC148" s="170"/>
      <c r="ED148" s="170"/>
    </row>
    <row r="149" spans="1:134" s="147" customFormat="1" hidden="1" x14ac:dyDescent="0.25">
      <c r="A149" s="146"/>
      <c r="B149" s="216" t="s">
        <v>445</v>
      </c>
      <c r="C149" s="216"/>
      <c r="D149" s="216"/>
      <c r="E149" s="216"/>
      <c r="F149" s="216"/>
      <c r="G149" s="216"/>
      <c r="H149" s="216"/>
      <c r="I149" s="216"/>
      <c r="J149" s="216"/>
      <c r="K149" s="216"/>
      <c r="L149" s="216"/>
      <c r="M149" s="216"/>
      <c r="N149" s="216"/>
      <c r="O149" s="216"/>
      <c r="P149" s="216"/>
      <c r="Q149" s="216"/>
      <c r="R149" s="216"/>
      <c r="S149" s="216"/>
      <c r="T149" s="216"/>
      <c r="U149" s="216"/>
      <c r="V149" s="216"/>
      <c r="W149" s="216"/>
      <c r="X149" s="216"/>
      <c r="Y149" s="216"/>
      <c r="Z149" s="216"/>
      <c r="AA149" s="218"/>
      <c r="AB149" s="219">
        <f>SUM(AB139:AB148)</f>
        <v>0</v>
      </c>
      <c r="AC149" s="220">
        <f>IF(AB149&gt;0,SQRT(SUM(AD139:AD148))/AB149,0)</f>
        <v>0</v>
      </c>
      <c r="AD149" s="219">
        <f t="shared" si="305"/>
        <v>0</v>
      </c>
      <c r="AE149" s="221"/>
      <c r="AF149" s="216"/>
      <c r="AG149" s="216"/>
      <c r="AH149" s="222"/>
      <c r="AI149" s="219">
        <f>SUM(AI139:AI148)</f>
        <v>0</v>
      </c>
      <c r="AJ149" s="220">
        <f>IF(AI149&gt;0,SQRT(SUM(AK139:AK148))/AI149,0)</f>
        <v>0</v>
      </c>
      <c r="AK149" s="219">
        <f t="shared" si="309"/>
        <v>0</v>
      </c>
      <c r="AL149" s="216"/>
      <c r="AM149" s="216"/>
      <c r="AN149" s="216"/>
      <c r="AO149" s="216"/>
      <c r="AP149" s="219">
        <f>SUM(AP139:AP148)</f>
        <v>0</v>
      </c>
      <c r="AQ149" s="220">
        <f>IF(AP149&gt;0,SQRT(SUM(AR139:AR148))/AP149,0)</f>
        <v>0</v>
      </c>
      <c r="AR149" s="219">
        <f t="shared" si="312"/>
        <v>0</v>
      </c>
      <c r="AS149" s="216"/>
      <c r="AT149" s="216"/>
      <c r="AU149" s="216"/>
      <c r="AV149" s="219">
        <f>SUM(AV139:AV148)</f>
        <v>0</v>
      </c>
      <c r="AW149" s="220">
        <f>IF(AV149&gt;0,SQRT(SUM(AX139:AX148))/AV149,0)</f>
        <v>0</v>
      </c>
      <c r="AX149" s="219">
        <f t="shared" si="319"/>
        <v>0</v>
      </c>
      <c r="AY149" s="216"/>
      <c r="AZ149" s="216"/>
      <c r="BA149" s="223"/>
      <c r="BB149" s="224"/>
      <c r="BC149" s="219">
        <f>SUM(BC139:BC148)</f>
        <v>0</v>
      </c>
      <c r="BD149" s="220">
        <f>IF(BC149&gt;0,SQRT(SUM(BE139:BE148))/BC149,0)</f>
        <v>0</v>
      </c>
      <c r="BE149" s="219">
        <f t="shared" si="316"/>
        <v>0</v>
      </c>
      <c r="BF149" s="219">
        <f>SUM(BF139:BF148)</f>
        <v>0</v>
      </c>
      <c r="BG149" s="220">
        <f>IF(BF149&gt;0,SQRT(SUM(BH139:BH148))/BF149,0)</f>
        <v>0</v>
      </c>
      <c r="BH149" s="160">
        <f t="shared" si="294"/>
        <v>0</v>
      </c>
      <c r="BI149" s="200"/>
      <c r="BJ149" s="462"/>
      <c r="BK149" s="462"/>
      <c r="BL149" s="462"/>
      <c r="BM149" s="463"/>
      <c r="BN149" s="463"/>
      <c r="BO149" s="463"/>
      <c r="BP149" s="462"/>
      <c r="BQ149" s="462"/>
      <c r="BR149" s="462"/>
      <c r="BS149" s="462"/>
      <c r="BT149" s="462"/>
      <c r="BU149" s="462"/>
      <c r="BV149" s="462"/>
      <c r="BW149" s="462"/>
      <c r="BX149" s="462"/>
      <c r="BY149" s="462"/>
      <c r="BZ149" s="462"/>
      <c r="CA149" s="462"/>
      <c r="CB149" s="464"/>
      <c r="CC149" s="462"/>
      <c r="CD149" s="462"/>
      <c r="CE149" s="464"/>
      <c r="CF149" s="464"/>
      <c r="CG149" s="464"/>
      <c r="CH149" s="464"/>
      <c r="CI149" s="462"/>
      <c r="CJ149" s="462"/>
      <c r="CK149" s="464"/>
      <c r="CL149" s="464"/>
      <c r="CM149" s="464"/>
      <c r="CN149" s="357"/>
      <c r="CO149" s="346"/>
      <c r="CP149" s="346"/>
      <c r="CQ149" s="171"/>
      <c r="CR149" s="171"/>
      <c r="CS149" s="171"/>
      <c r="CT149" s="171"/>
      <c r="CU149" s="171"/>
      <c r="CV149" s="171"/>
      <c r="CW149" s="171"/>
      <c r="CX149" s="171"/>
      <c r="CY149" s="171"/>
      <c r="CZ149" s="171"/>
      <c r="DA149" s="171"/>
      <c r="DB149" s="171"/>
      <c r="DC149" s="171"/>
      <c r="DD149" s="171"/>
      <c r="DE149" s="171"/>
      <c r="DF149" s="171"/>
      <c r="DG149" s="171"/>
      <c r="DH149" s="171"/>
      <c r="DI149" s="171"/>
      <c r="DJ149" s="171"/>
      <c r="DK149" s="171"/>
      <c r="DL149" s="171"/>
      <c r="DM149" s="171"/>
      <c r="DN149" s="171"/>
      <c r="DO149" s="171"/>
      <c r="DP149" s="171"/>
      <c r="DQ149" s="171"/>
      <c r="DR149" s="171"/>
      <c r="DS149" s="171"/>
      <c r="DT149" s="171"/>
      <c r="DU149" s="171"/>
      <c r="DV149" s="171"/>
      <c r="DW149" s="170"/>
      <c r="DX149" s="170"/>
      <c r="DY149" s="170"/>
      <c r="DZ149" s="170"/>
      <c r="EA149" s="170"/>
      <c r="EB149" s="170"/>
      <c r="EC149" s="170"/>
      <c r="ED149" s="170"/>
    </row>
    <row r="150" spans="1:134" s="147" customFormat="1" ht="15.75" hidden="1" x14ac:dyDescent="0.25">
      <c r="A150" s="146"/>
      <c r="B150" s="293" t="s">
        <v>133</v>
      </c>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4"/>
      <c r="AB150" s="295">
        <f>+AB138+AB149</f>
        <v>0</v>
      </c>
      <c r="AC150" s="296">
        <f>IF(AB150&gt;0,(SQRT(AD138+AD149))/AB150,0)</f>
        <v>0</v>
      </c>
      <c r="AD150" s="295">
        <f t="shared" si="305"/>
        <v>0</v>
      </c>
      <c r="AE150" s="297"/>
      <c r="AF150" s="293"/>
      <c r="AG150" s="293"/>
      <c r="AH150" s="298"/>
      <c r="AI150" s="295">
        <f>+AI138+AI149</f>
        <v>0</v>
      </c>
      <c r="AJ150" s="296">
        <f>IF(AI150&gt;0,(SQRT(AK138+AK149))/AI150,0)</f>
        <v>0</v>
      </c>
      <c r="AK150" s="295">
        <f t="shared" si="309"/>
        <v>0</v>
      </c>
      <c r="AL150" s="293"/>
      <c r="AM150" s="293"/>
      <c r="AN150" s="293"/>
      <c r="AO150" s="293"/>
      <c r="AP150" s="295">
        <f>+AP138+AP149</f>
        <v>0</v>
      </c>
      <c r="AQ150" s="296">
        <f>IF(AP150&gt;0,(SQRT(AR138+AR149))/AP150,0)</f>
        <v>0</v>
      </c>
      <c r="AR150" s="295">
        <f t="shared" si="312"/>
        <v>0</v>
      </c>
      <c r="AS150" s="293"/>
      <c r="AT150" s="293"/>
      <c r="AU150" s="293"/>
      <c r="AV150" s="295">
        <f>+AV138+AV149</f>
        <v>0</v>
      </c>
      <c r="AW150" s="296">
        <f>IF(AV150&gt;0,(SQRT(AX138+AX149))/AV150,0)</f>
        <v>0</v>
      </c>
      <c r="AX150" s="295">
        <f t="shared" si="319"/>
        <v>0</v>
      </c>
      <c r="AY150" s="293"/>
      <c r="AZ150" s="293"/>
      <c r="BA150" s="299"/>
      <c r="BB150" s="300"/>
      <c r="BC150" s="295">
        <f>+BC138+BC149</f>
        <v>0</v>
      </c>
      <c r="BD150" s="296">
        <f>IF(BC150&gt;0,(SQRT(BE138+BE149))/BC150,0)</f>
        <v>0</v>
      </c>
      <c r="BE150" s="295">
        <f t="shared" si="316"/>
        <v>0</v>
      </c>
      <c r="BF150" s="295">
        <f>+BF138+BF149</f>
        <v>0</v>
      </c>
      <c r="BG150" s="296">
        <f>IF(BF150&gt;0,(SQRT(BH138+BH149))/BF150,0)</f>
        <v>0</v>
      </c>
      <c r="BH150" s="160">
        <f t="shared" si="294"/>
        <v>0</v>
      </c>
      <c r="BI150" s="200"/>
      <c r="BJ150" s="462"/>
      <c r="BK150" s="462"/>
      <c r="BL150" s="462"/>
      <c r="BM150" s="463"/>
      <c r="BN150" s="463"/>
      <c r="BO150" s="463"/>
      <c r="BP150" s="462"/>
      <c r="BQ150" s="462"/>
      <c r="BR150" s="462"/>
      <c r="BS150" s="462"/>
      <c r="BT150" s="462"/>
      <c r="BU150" s="462"/>
      <c r="BV150" s="462"/>
      <c r="BW150" s="462"/>
      <c r="BX150" s="462"/>
      <c r="BY150" s="462"/>
      <c r="BZ150" s="462"/>
      <c r="CA150" s="462"/>
      <c r="CB150" s="464"/>
      <c r="CC150" s="462"/>
      <c r="CD150" s="462"/>
      <c r="CE150" s="464"/>
      <c r="CF150" s="464"/>
      <c r="CG150" s="464"/>
      <c r="CH150" s="464"/>
      <c r="CI150" s="462"/>
      <c r="CJ150" s="462"/>
      <c r="CK150" s="464"/>
      <c r="CL150" s="464"/>
      <c r="CM150" s="464"/>
      <c r="CN150" s="357"/>
      <c r="CO150" s="346"/>
      <c r="CP150" s="346"/>
      <c r="CQ150" s="171"/>
      <c r="CR150" s="171"/>
      <c r="CS150" s="171"/>
      <c r="CT150" s="171"/>
      <c r="CU150" s="171"/>
      <c r="CV150" s="171"/>
      <c r="CW150" s="171"/>
      <c r="CX150" s="171"/>
      <c r="CY150" s="171"/>
      <c r="CZ150" s="171"/>
      <c r="DA150" s="171"/>
      <c r="DB150" s="171"/>
      <c r="DC150" s="171"/>
      <c r="DD150" s="171"/>
      <c r="DE150" s="171"/>
      <c r="DF150" s="171"/>
      <c r="DG150" s="171"/>
      <c r="DH150" s="171"/>
      <c r="DI150" s="171"/>
      <c r="DJ150" s="171"/>
      <c r="DK150" s="171"/>
      <c r="DL150" s="171"/>
      <c r="DM150" s="171"/>
      <c r="DN150" s="171"/>
      <c r="DO150" s="171"/>
      <c r="DP150" s="171"/>
      <c r="DQ150" s="171"/>
      <c r="DR150" s="171"/>
      <c r="DS150" s="171"/>
      <c r="DT150" s="171"/>
      <c r="DU150" s="171"/>
      <c r="DV150" s="171"/>
      <c r="DW150" s="170"/>
      <c r="DX150" s="170"/>
      <c r="DY150" s="170"/>
      <c r="DZ150" s="170"/>
      <c r="EA150" s="170"/>
      <c r="EB150" s="170"/>
      <c r="EC150" s="170"/>
      <c r="ED150" s="170"/>
    </row>
    <row r="151" spans="1:134" s="147" customFormat="1" ht="15.75" hidden="1" x14ac:dyDescent="0.25">
      <c r="A151" s="146"/>
      <c r="B151" s="301"/>
      <c r="C151" s="301"/>
      <c r="D151" s="301"/>
      <c r="E151" s="301"/>
      <c r="F151" s="301"/>
      <c r="G151" s="301"/>
      <c r="H151" s="301"/>
      <c r="I151" s="301"/>
      <c r="J151" s="301"/>
      <c r="K151" s="301"/>
      <c r="L151" s="301"/>
      <c r="M151" s="301"/>
      <c r="N151" s="301"/>
      <c r="O151" s="301"/>
      <c r="P151" s="301"/>
      <c r="Q151" s="301"/>
      <c r="R151" s="301"/>
      <c r="S151" s="301"/>
      <c r="T151" s="301"/>
      <c r="U151" s="301"/>
      <c r="V151" s="301"/>
      <c r="W151" s="301"/>
      <c r="X151" s="301"/>
      <c r="Y151" s="301"/>
      <c r="Z151" s="301"/>
      <c r="AA151" s="302"/>
      <c r="AB151" s="303"/>
      <c r="AC151" s="304"/>
      <c r="AD151" s="303"/>
      <c r="AE151" s="305"/>
      <c r="AF151" s="301"/>
      <c r="AG151" s="301"/>
      <c r="AH151" s="306"/>
      <c r="AI151" s="303"/>
      <c r="AJ151" s="304"/>
      <c r="AK151" s="303"/>
      <c r="AL151" s="301"/>
      <c r="AM151" s="301"/>
      <c r="AN151" s="301"/>
      <c r="AO151" s="301"/>
      <c r="AP151" s="303"/>
      <c r="AQ151" s="304"/>
      <c r="AR151" s="303"/>
      <c r="AS151" s="301"/>
      <c r="AT151" s="301"/>
      <c r="AU151" s="301"/>
      <c r="AV151" s="303"/>
      <c r="AW151" s="304"/>
      <c r="AX151" s="303"/>
      <c r="AY151" s="301"/>
      <c r="AZ151" s="301"/>
      <c r="BA151" s="307"/>
      <c r="BB151" s="308"/>
      <c r="BC151" s="303"/>
      <c r="BD151" s="304"/>
      <c r="BE151" s="303"/>
      <c r="BF151" s="303"/>
      <c r="BG151" s="304"/>
      <c r="BH151" s="160"/>
      <c r="BI151" s="200"/>
      <c r="BJ151" s="462"/>
      <c r="BK151" s="462"/>
      <c r="BL151" s="462"/>
      <c r="BM151" s="463"/>
      <c r="BN151" s="463"/>
      <c r="BO151" s="463"/>
      <c r="BP151" s="462"/>
      <c r="BQ151" s="462"/>
      <c r="BR151" s="462"/>
      <c r="BS151" s="462"/>
      <c r="BT151" s="462"/>
      <c r="BU151" s="462"/>
      <c r="BV151" s="462"/>
      <c r="BW151" s="462"/>
      <c r="BX151" s="462"/>
      <c r="BY151" s="462"/>
      <c r="BZ151" s="462"/>
      <c r="CA151" s="462"/>
      <c r="CB151" s="464"/>
      <c r="CC151" s="462"/>
      <c r="CD151" s="462"/>
      <c r="CE151" s="464"/>
      <c r="CF151" s="464"/>
      <c r="CG151" s="464"/>
      <c r="CH151" s="464"/>
      <c r="CI151" s="462"/>
      <c r="CJ151" s="462"/>
      <c r="CK151" s="464"/>
      <c r="CL151" s="464"/>
      <c r="CM151" s="464"/>
      <c r="CN151" s="357"/>
      <c r="CO151" s="346"/>
      <c r="CP151" s="346"/>
      <c r="CQ151" s="171"/>
      <c r="CR151" s="171"/>
      <c r="CS151" s="171"/>
      <c r="CT151" s="171"/>
      <c r="CU151" s="171"/>
      <c r="CV151" s="171"/>
      <c r="CW151" s="171"/>
      <c r="CX151" s="171"/>
      <c r="CY151" s="171"/>
      <c r="CZ151" s="171"/>
      <c r="DA151" s="171"/>
      <c r="DB151" s="171"/>
      <c r="DC151" s="171"/>
      <c r="DD151" s="171"/>
      <c r="DE151" s="171"/>
      <c r="DF151" s="171"/>
      <c r="DG151" s="171"/>
      <c r="DH151" s="171"/>
      <c r="DI151" s="171"/>
      <c r="DJ151" s="171"/>
      <c r="DK151" s="171"/>
      <c r="DL151" s="171"/>
      <c r="DM151" s="171"/>
      <c r="DN151" s="171"/>
      <c r="DO151" s="171"/>
      <c r="DP151" s="171"/>
      <c r="DQ151" s="171"/>
      <c r="DR151" s="171"/>
      <c r="DS151" s="171"/>
      <c r="DT151" s="171"/>
      <c r="DU151" s="171"/>
      <c r="DV151" s="171"/>
      <c r="DW151" s="170"/>
      <c r="DX151" s="170"/>
      <c r="DY151" s="170"/>
      <c r="DZ151" s="170"/>
      <c r="EA151" s="170"/>
      <c r="EB151" s="170"/>
      <c r="EC151" s="170"/>
      <c r="ED151" s="170"/>
    </row>
    <row r="152" spans="1:134" s="200" customFormat="1" ht="19.5" customHeight="1" x14ac:dyDescent="0.25">
      <c r="A152" s="146"/>
      <c r="B152" s="745" t="s">
        <v>152</v>
      </c>
      <c r="C152" s="746"/>
      <c r="D152" s="746"/>
      <c r="E152" s="746"/>
      <c r="F152" s="746"/>
      <c r="G152" s="746"/>
      <c r="H152" s="746"/>
      <c r="I152" s="746"/>
      <c r="J152" s="746"/>
      <c r="K152" s="746"/>
      <c r="L152" s="746"/>
      <c r="M152" s="746"/>
      <c r="N152" s="746"/>
      <c r="O152" s="746"/>
      <c r="P152" s="746"/>
      <c r="Q152" s="746"/>
      <c r="R152" s="746"/>
      <c r="S152" s="746"/>
      <c r="T152" s="746"/>
      <c r="U152" s="746"/>
      <c r="V152" s="746"/>
      <c r="W152" s="746"/>
      <c r="X152" s="746"/>
      <c r="Y152" s="746"/>
      <c r="Z152" s="746"/>
      <c r="AA152" s="746"/>
      <c r="AB152" s="746"/>
      <c r="AC152" s="746"/>
      <c r="AD152" s="746"/>
      <c r="AE152" s="746"/>
      <c r="AF152" s="746"/>
      <c r="AG152" s="746"/>
      <c r="AH152" s="746"/>
      <c r="AI152" s="746"/>
      <c r="AJ152" s="746"/>
      <c r="AK152" s="746"/>
      <c r="AL152" s="746"/>
      <c r="AM152" s="746"/>
      <c r="AN152" s="746"/>
      <c r="AO152" s="746"/>
      <c r="AP152" s="746"/>
      <c r="AQ152" s="746"/>
      <c r="AR152" s="746"/>
      <c r="AS152" s="746"/>
      <c r="AT152" s="746"/>
      <c r="AU152" s="746"/>
      <c r="AV152" s="746"/>
      <c r="AW152" s="746"/>
      <c r="AX152" s="746"/>
      <c r="AY152" s="746"/>
      <c r="AZ152" s="746"/>
      <c r="BA152" s="746"/>
      <c r="BB152" s="746"/>
      <c r="BC152" s="746"/>
      <c r="BD152" s="746"/>
      <c r="BE152" s="746"/>
      <c r="BF152" s="746"/>
      <c r="BG152" s="747"/>
      <c r="BH152" s="160">
        <f>(BF152*BG152)^2</f>
        <v>0</v>
      </c>
      <c r="BJ152" s="462"/>
      <c r="BK152" s="462"/>
      <c r="BL152" s="462"/>
      <c r="BM152" s="463"/>
      <c r="BN152" s="463"/>
      <c r="BO152" s="463"/>
      <c r="BP152" s="462"/>
      <c r="BQ152" s="462"/>
      <c r="BR152" s="462"/>
      <c r="BS152" s="462"/>
      <c r="BT152" s="462"/>
      <c r="BU152" s="462"/>
      <c r="BV152" s="462"/>
      <c r="BW152" s="462"/>
      <c r="BX152" s="462"/>
      <c r="BY152" s="462"/>
      <c r="BZ152" s="462"/>
      <c r="CA152" s="462"/>
      <c r="CB152" s="464"/>
      <c r="CC152" s="462"/>
      <c r="CD152" s="462"/>
      <c r="CE152" s="464"/>
      <c r="CF152" s="464"/>
      <c r="CG152" s="464"/>
      <c r="CH152" s="464"/>
      <c r="CI152" s="462"/>
      <c r="CJ152" s="462"/>
      <c r="CK152" s="464"/>
      <c r="CL152" s="464"/>
      <c r="CM152" s="464"/>
      <c r="CN152" s="357"/>
      <c r="CO152" s="346"/>
      <c r="CP152" s="346"/>
      <c r="CQ152" s="171"/>
      <c r="CR152" s="171"/>
      <c r="CS152" s="171"/>
      <c r="CT152" s="171"/>
      <c r="CU152" s="171"/>
      <c r="CV152" s="171"/>
      <c r="CW152" s="171"/>
      <c r="CX152" s="171"/>
      <c r="CY152" s="171"/>
      <c r="CZ152" s="171"/>
      <c r="DA152" s="171"/>
      <c r="DB152" s="171"/>
      <c r="DC152" s="171"/>
      <c r="DD152" s="171"/>
      <c r="DE152" s="171"/>
      <c r="DF152" s="171"/>
      <c r="DG152" s="171"/>
      <c r="DH152" s="171"/>
      <c r="DI152" s="171"/>
      <c r="DJ152" s="171"/>
      <c r="DK152" s="171"/>
      <c r="DL152" s="171"/>
      <c r="DM152" s="171"/>
      <c r="DN152" s="171"/>
      <c r="DO152" s="171"/>
      <c r="DP152" s="171"/>
      <c r="DQ152" s="171"/>
      <c r="DR152" s="171"/>
      <c r="DS152" s="171"/>
      <c r="DT152" s="171"/>
      <c r="DU152" s="171"/>
      <c r="DV152" s="171"/>
      <c r="DW152" s="170"/>
      <c r="DX152" s="170"/>
      <c r="DY152" s="170"/>
      <c r="DZ152" s="170"/>
      <c r="EA152" s="170"/>
      <c r="EB152" s="170"/>
      <c r="EC152" s="170"/>
      <c r="ED152" s="170"/>
    </row>
    <row r="153" spans="1:134" s="200" customFormat="1" ht="15" customHeight="1" x14ac:dyDescent="0.25">
      <c r="A153" s="146"/>
      <c r="B153" s="739" t="s">
        <v>442</v>
      </c>
      <c r="C153" s="739" t="s">
        <v>446</v>
      </c>
      <c r="D153" s="739" t="s">
        <v>107</v>
      </c>
      <c r="E153" s="739"/>
      <c r="F153" s="739"/>
      <c r="G153" s="739"/>
      <c r="H153" s="739"/>
      <c r="I153" s="739"/>
      <c r="J153" s="739"/>
      <c r="K153" s="739"/>
      <c r="L153" s="739"/>
      <c r="M153" s="739"/>
      <c r="N153" s="739"/>
      <c r="O153" s="739"/>
      <c r="P153" s="739"/>
      <c r="Q153" s="739"/>
      <c r="R153" s="739"/>
      <c r="S153" s="739" t="s">
        <v>352</v>
      </c>
      <c r="T153" s="739"/>
      <c r="U153" s="739"/>
      <c r="V153" s="739"/>
      <c r="W153" s="739"/>
      <c r="X153" s="740" t="s">
        <v>360</v>
      </c>
      <c r="Y153" s="740"/>
      <c r="Z153" s="740"/>
      <c r="AA153" s="740"/>
      <c r="AB153" s="740"/>
      <c r="AC153" s="740"/>
      <c r="AD153" s="740"/>
      <c r="AE153" s="740" t="s">
        <v>359</v>
      </c>
      <c r="AF153" s="740"/>
      <c r="AG153" s="740"/>
      <c r="AH153" s="740"/>
      <c r="AI153" s="740"/>
      <c r="AJ153" s="740"/>
      <c r="AK153" s="740"/>
      <c r="AL153" s="740" t="s">
        <v>358</v>
      </c>
      <c r="AM153" s="740"/>
      <c r="AN153" s="740"/>
      <c r="AO153" s="740"/>
      <c r="AP153" s="740"/>
      <c r="AQ153" s="740"/>
      <c r="AR153" s="740"/>
      <c r="AS153" s="740" t="s">
        <v>543</v>
      </c>
      <c r="AT153" s="740"/>
      <c r="AU153" s="740"/>
      <c r="AV153" s="740"/>
      <c r="AW153" s="740"/>
      <c r="AX153" s="740"/>
      <c r="AY153" s="740" t="s">
        <v>357</v>
      </c>
      <c r="AZ153" s="740"/>
      <c r="BA153" s="740"/>
      <c r="BB153" s="740"/>
      <c r="BC153" s="740"/>
      <c r="BD153" s="740"/>
      <c r="BE153" s="740"/>
      <c r="BF153" s="744" t="s">
        <v>794</v>
      </c>
      <c r="BG153" s="744" t="s">
        <v>109</v>
      </c>
      <c r="BH153" s="160"/>
      <c r="BJ153" s="462"/>
      <c r="BK153" s="462"/>
      <c r="BL153" s="462"/>
      <c r="BM153" s="463"/>
      <c r="BN153" s="463"/>
      <c r="BO153" s="463"/>
      <c r="BP153" s="462"/>
      <c r="BQ153" s="462"/>
      <c r="BR153" s="462"/>
      <c r="BS153" s="462"/>
      <c r="BT153" s="462"/>
      <c r="BU153" s="462"/>
      <c r="BV153" s="462"/>
      <c r="BW153" s="462"/>
      <c r="BX153" s="462"/>
      <c r="BY153" s="462"/>
      <c r="BZ153" s="462"/>
      <c r="CA153" s="462"/>
      <c r="CB153" s="464"/>
      <c r="CC153" s="462"/>
      <c r="CD153" s="462"/>
      <c r="CE153" s="464"/>
      <c r="CF153" s="464"/>
      <c r="CG153" s="464"/>
      <c r="CH153" s="464"/>
      <c r="CI153" s="462"/>
      <c r="CJ153" s="462"/>
      <c r="CK153" s="464"/>
      <c r="CL153" s="464"/>
      <c r="CM153" s="464"/>
      <c r="CN153" s="357"/>
      <c r="CO153" s="346"/>
      <c r="CP153" s="346"/>
      <c r="CQ153" s="171"/>
      <c r="CR153" s="171"/>
      <c r="CS153" s="171"/>
      <c r="CT153" s="171"/>
      <c r="CU153" s="171"/>
      <c r="CV153" s="171"/>
      <c r="CW153" s="171"/>
      <c r="CX153" s="171"/>
      <c r="CY153" s="171"/>
      <c r="CZ153" s="171"/>
      <c r="DA153" s="171"/>
      <c r="DB153" s="171"/>
      <c r="DC153" s="171"/>
      <c r="DD153" s="171"/>
      <c r="DE153" s="171"/>
      <c r="DF153" s="171"/>
      <c r="DG153" s="171"/>
      <c r="DH153" s="171"/>
      <c r="DI153" s="171"/>
      <c r="DJ153" s="171"/>
      <c r="DK153" s="171"/>
      <c r="DL153" s="171"/>
      <c r="DM153" s="171"/>
      <c r="DN153" s="171"/>
      <c r="DO153" s="171"/>
      <c r="DP153" s="171"/>
      <c r="DQ153" s="171"/>
      <c r="DR153" s="171"/>
      <c r="DS153" s="171"/>
      <c r="DT153" s="171"/>
      <c r="DU153" s="171"/>
      <c r="DV153" s="171"/>
      <c r="DW153" s="170"/>
      <c r="DX153" s="170"/>
      <c r="DY153" s="170"/>
      <c r="DZ153" s="170"/>
      <c r="EA153" s="170"/>
      <c r="EB153" s="170"/>
      <c r="EC153" s="170"/>
      <c r="ED153" s="170"/>
    </row>
    <row r="154" spans="1:134" s="200" customFormat="1" ht="75" x14ac:dyDescent="0.25">
      <c r="A154" s="146"/>
      <c r="B154" s="740"/>
      <c r="C154" s="739"/>
      <c r="D154" s="201" t="s">
        <v>110</v>
      </c>
      <c r="E154" s="201" t="s">
        <v>111</v>
      </c>
      <c r="F154" s="201" t="s">
        <v>112</v>
      </c>
      <c r="G154" s="201" t="s">
        <v>113</v>
      </c>
      <c r="H154" s="201" t="s">
        <v>114</v>
      </c>
      <c r="I154" s="201" t="s">
        <v>115</v>
      </c>
      <c r="J154" s="201" t="s">
        <v>116</v>
      </c>
      <c r="K154" s="201" t="s">
        <v>117</v>
      </c>
      <c r="L154" s="201" t="s">
        <v>118</v>
      </c>
      <c r="M154" s="201" t="s">
        <v>119</v>
      </c>
      <c r="N154" s="201" t="s">
        <v>120</v>
      </c>
      <c r="O154" s="201" t="s">
        <v>121</v>
      </c>
      <c r="P154" s="201" t="s">
        <v>122</v>
      </c>
      <c r="Q154" s="201" t="s">
        <v>123</v>
      </c>
      <c r="R154" s="201" t="s">
        <v>124</v>
      </c>
      <c r="S154" s="201" t="s">
        <v>125</v>
      </c>
      <c r="T154" s="201" t="s">
        <v>126</v>
      </c>
      <c r="U154" s="201" t="s">
        <v>127</v>
      </c>
      <c r="V154" s="202" t="s">
        <v>369</v>
      </c>
      <c r="W154" s="201" t="s">
        <v>352</v>
      </c>
      <c r="X154" s="744" t="s">
        <v>353</v>
      </c>
      <c r="Y154" s="744"/>
      <c r="Z154" s="201" t="s">
        <v>361</v>
      </c>
      <c r="AA154" s="203" t="s">
        <v>793</v>
      </c>
      <c r="AB154" s="203" t="s">
        <v>806</v>
      </c>
      <c r="AC154" s="571" t="s">
        <v>362</v>
      </c>
      <c r="AD154" s="203" t="s">
        <v>453</v>
      </c>
      <c r="AE154" s="744" t="s">
        <v>354</v>
      </c>
      <c r="AF154" s="744"/>
      <c r="AG154" s="571" t="s">
        <v>363</v>
      </c>
      <c r="AH154" s="204" t="s">
        <v>807</v>
      </c>
      <c r="AI154" s="204" t="s">
        <v>808</v>
      </c>
      <c r="AJ154" s="201" t="s">
        <v>364</v>
      </c>
      <c r="AK154" s="203" t="s">
        <v>453</v>
      </c>
      <c r="AL154" s="744" t="s">
        <v>355</v>
      </c>
      <c r="AM154" s="744"/>
      <c r="AN154" s="201" t="s">
        <v>365</v>
      </c>
      <c r="AO154" s="201" t="s">
        <v>809</v>
      </c>
      <c r="AP154" s="201" t="s">
        <v>810</v>
      </c>
      <c r="AQ154" s="201" t="s">
        <v>366</v>
      </c>
      <c r="AR154" s="203" t="s">
        <v>453</v>
      </c>
      <c r="AS154" s="744" t="s">
        <v>811</v>
      </c>
      <c r="AT154" s="744"/>
      <c r="AU154" s="201" t="s">
        <v>546</v>
      </c>
      <c r="AV154" s="203" t="s">
        <v>812</v>
      </c>
      <c r="AW154" s="201" t="s">
        <v>545</v>
      </c>
      <c r="AX154" s="203" t="s">
        <v>453</v>
      </c>
      <c r="AY154" s="744" t="s">
        <v>356</v>
      </c>
      <c r="AZ154" s="744"/>
      <c r="BA154" s="201" t="s">
        <v>367</v>
      </c>
      <c r="BB154" s="203" t="s">
        <v>813</v>
      </c>
      <c r="BC154" s="203" t="s">
        <v>814</v>
      </c>
      <c r="BD154" s="201" t="s">
        <v>368</v>
      </c>
      <c r="BE154" s="203" t="s">
        <v>453</v>
      </c>
      <c r="BF154" s="744"/>
      <c r="BG154" s="744"/>
      <c r="BH154" s="160"/>
      <c r="BJ154" s="462"/>
      <c r="BK154" s="462"/>
      <c r="BL154" s="462"/>
      <c r="BM154" s="463"/>
      <c r="BN154" s="463"/>
      <c r="BO154" s="463"/>
      <c r="BP154" s="462"/>
      <c r="BQ154" s="462"/>
      <c r="BR154" s="462"/>
      <c r="BS154" s="462"/>
      <c r="BT154" s="462"/>
      <c r="BU154" s="462"/>
      <c r="BV154" s="462"/>
      <c r="BW154" s="462"/>
      <c r="BX154" s="462"/>
      <c r="BY154" s="462"/>
      <c r="BZ154" s="462"/>
      <c r="CA154" s="462"/>
      <c r="CB154" s="464"/>
      <c r="CC154" s="462"/>
      <c r="CD154" s="462"/>
      <c r="CE154" s="464"/>
      <c r="CF154" s="464"/>
      <c r="CG154" s="464"/>
      <c r="CH154" s="464"/>
      <c r="CI154" s="462"/>
      <c r="CJ154" s="462"/>
      <c r="CK154" s="464"/>
      <c r="CL154" s="464"/>
      <c r="CM154" s="464"/>
      <c r="CN154" s="357"/>
      <c r="CO154" s="346"/>
      <c r="CP154" s="346"/>
      <c r="CQ154" s="171"/>
      <c r="CR154" s="171"/>
      <c r="CS154" s="171"/>
      <c r="CT154" s="171"/>
      <c r="CU154" s="171"/>
      <c r="CV154" s="171"/>
      <c r="CW154" s="171"/>
      <c r="CX154" s="171"/>
      <c r="CY154" s="171"/>
      <c r="CZ154" s="171"/>
      <c r="DA154" s="171"/>
      <c r="DB154" s="171"/>
      <c r="DC154" s="171"/>
      <c r="DD154" s="171"/>
      <c r="DE154" s="171"/>
      <c r="DF154" s="171"/>
      <c r="DG154" s="171"/>
      <c r="DH154" s="171"/>
      <c r="DI154" s="171"/>
      <c r="DJ154" s="171"/>
      <c r="DK154" s="171"/>
      <c r="DL154" s="171"/>
      <c r="DM154" s="171"/>
      <c r="DN154" s="171"/>
      <c r="DO154" s="171"/>
      <c r="DP154" s="171"/>
      <c r="DQ154" s="171"/>
      <c r="DR154" s="171"/>
      <c r="DS154" s="171"/>
      <c r="DT154" s="171"/>
      <c r="DU154" s="171"/>
      <c r="DV154" s="171"/>
      <c r="DW154" s="170"/>
      <c r="DX154" s="170"/>
      <c r="DY154" s="170"/>
      <c r="DZ154" s="170"/>
      <c r="EA154" s="170"/>
      <c r="EB154" s="170"/>
      <c r="EC154" s="170"/>
      <c r="ED154" s="170"/>
    </row>
    <row r="155" spans="1:134" s="147" customFormat="1" x14ac:dyDescent="0.25">
      <c r="A155" s="146"/>
      <c r="B155" s="759" t="s">
        <v>499</v>
      </c>
      <c r="C155" s="111" t="s">
        <v>153</v>
      </c>
      <c r="D155" s="205" t="str">
        <f>VLOOKUP($C155,$BI$312:$BT$609,2,FALSE)</f>
        <v>kg</v>
      </c>
      <c r="E155" s="651">
        <v>7315.1306999999997</v>
      </c>
      <c r="F155" s="651">
        <v>8122.0599000000002</v>
      </c>
      <c r="G155" s="651">
        <v>9205.3727999999992</v>
      </c>
      <c r="H155" s="651">
        <v>8336.8899000000001</v>
      </c>
      <c r="I155" s="651">
        <v>8884.4508000000005</v>
      </c>
      <c r="J155" s="651">
        <v>9505.4130000000005</v>
      </c>
      <c r="K155" s="651">
        <v>7517.4021000000002</v>
      </c>
      <c r="L155" s="651">
        <v>7939.091699999999</v>
      </c>
      <c r="M155" s="651">
        <v>8884.3437000000013</v>
      </c>
      <c r="N155" s="651">
        <v>9193.6700999999994</v>
      </c>
      <c r="O155" s="651">
        <v>9466.230599999999</v>
      </c>
      <c r="P155" s="651">
        <v>8959.6925999999985</v>
      </c>
      <c r="Q155" s="206">
        <f>SUM(E155:P155)</f>
        <v>103329.74789999999</v>
      </c>
      <c r="R155" s="205">
        <f>COUNT(E155:P155)</f>
        <v>12</v>
      </c>
      <c r="S155" s="206">
        <f>IF(R155&gt;1,AVERAGE(E155:P155),0)</f>
        <v>8610.812324999999</v>
      </c>
      <c r="T155" s="206">
        <f>IF(R155&gt;1,STDEV(E155:P155),0)</f>
        <v>746.88132384708035</v>
      </c>
      <c r="U155" s="206">
        <f>IF(R155&gt;1,VLOOKUP($R155,$BI$529:$BJ$541,2,FALSE),0)</f>
        <v>2.2000000000000002</v>
      </c>
      <c r="V155" s="92"/>
      <c r="W155" s="207">
        <f>IF(R155&gt;1,1-((S155-((T155*U155)/(SQRT(R155))))/S155),VLOOKUP($C155,$BI$195:$CP$609,34,FALSE))</f>
        <v>5.5085783873869087E-2</v>
      </c>
      <c r="X155" s="213">
        <f>VLOOKUP($C155,$BI$195:$CM$609,3,FALSE)</f>
        <v>1.05</v>
      </c>
      <c r="Y155" s="209" t="str">
        <f>VLOOKUP($C155,$BI$195:$CM$609,4,FALSE)</f>
        <v>kgCO2 e/kg</v>
      </c>
      <c r="Z155" s="207">
        <f>IF($Q155&gt;0,VLOOKUP($C155,$BI$195:$CM$609,6,FALSE),0)</f>
        <v>0.5</v>
      </c>
      <c r="AA155" s="210">
        <f>($Q155*X155)/1000</f>
        <v>108.49623529499999</v>
      </c>
      <c r="AB155" s="210">
        <f>AA155*$BJ$547</f>
        <v>108.49623529499999</v>
      </c>
      <c r="AC155" s="207">
        <f>IF(AA155&gt;0,SQRT(($W155*$W155)+(Z155*Z155)+($V155*$V155)),0)</f>
        <v>0.50302529119816486</v>
      </c>
      <c r="AD155" s="210">
        <f>(AB155*AC155)^2</f>
        <v>2978.5780178721757</v>
      </c>
      <c r="AE155" s="211">
        <v>0</v>
      </c>
      <c r="AF155" s="209">
        <f>VLOOKUP($C155,$BI$195:$CM$609,10,FALSE)</f>
        <v>0</v>
      </c>
      <c r="AG155" s="207">
        <v>0</v>
      </c>
      <c r="AH155" s="212">
        <f>(P155*AE155)/1000</f>
        <v>0</v>
      </c>
      <c r="AI155" s="212">
        <f>AH155*$BJ$548</f>
        <v>0</v>
      </c>
      <c r="AJ155" s="207">
        <f>IF(AH155&gt;0,SQRT(($W155*$W155)+(AG155*AG155)+($V155*$V155)),0)</f>
        <v>0</v>
      </c>
      <c r="AK155" s="210">
        <f>(AI155*AJ155)^2</f>
        <v>0</v>
      </c>
      <c r="AL155" s="211">
        <v>0</v>
      </c>
      <c r="AM155" s="209">
        <v>0</v>
      </c>
      <c r="AN155" s="207">
        <v>0</v>
      </c>
      <c r="AO155" s="212">
        <f>(W155*AL155)/1000</f>
        <v>0</v>
      </c>
      <c r="AP155" s="212">
        <f>AO155*$BJ$549</f>
        <v>0</v>
      </c>
      <c r="AQ155" s="207">
        <f>IF(AO155&gt;0,SQRT(($W155*$W155)+(AN155*AN155)+($V155*$V155)),0)</f>
        <v>0</v>
      </c>
      <c r="AR155" s="210">
        <f>(AP155*AQ155)^2</f>
        <v>0</v>
      </c>
      <c r="AS155" s="213">
        <v>0</v>
      </c>
      <c r="AT155" s="209">
        <v>0</v>
      </c>
      <c r="AU155" s="207">
        <v>0</v>
      </c>
      <c r="AV155" s="212">
        <v>0</v>
      </c>
      <c r="AW155" s="207">
        <v>0</v>
      </c>
      <c r="AX155" s="210">
        <f>(AV155*AW155)^2</f>
        <v>0</v>
      </c>
      <c r="AY155" s="213">
        <v>0</v>
      </c>
      <c r="AZ155" s="209">
        <v>0</v>
      </c>
      <c r="BA155" s="207">
        <v>0</v>
      </c>
      <c r="BB155" s="212">
        <f>($Q155*AY155)/1000</f>
        <v>0</v>
      </c>
      <c r="BC155" s="212">
        <f>BB155*22800</f>
        <v>0</v>
      </c>
      <c r="BD155" s="207">
        <v>0</v>
      </c>
      <c r="BE155" s="210">
        <f>(BC155*BD155)^2</f>
        <v>0</v>
      </c>
      <c r="BF155" s="206">
        <f>AB155+AI155+AP155+AV155+BC155</f>
        <v>108.49623529499999</v>
      </c>
      <c r="BG155" s="207">
        <f>IF(BF155&gt;0,SQRT(AD155+AK155+AR155+AX155+BE155)/BF155,0)</f>
        <v>0.50302529119816486</v>
      </c>
      <c r="BH155" s="160">
        <f>(BF155*BG155)^2</f>
        <v>2978.5780178721757</v>
      </c>
      <c r="BI155" s="200"/>
      <c r="BJ155" s="462"/>
      <c r="BK155" s="462"/>
      <c r="BL155" s="462"/>
      <c r="BM155" s="463"/>
      <c r="BN155" s="463"/>
      <c r="BO155" s="463"/>
      <c r="BP155" s="462"/>
      <c r="BQ155" s="462"/>
      <c r="BR155" s="462"/>
      <c r="BS155" s="462"/>
      <c r="BT155" s="462"/>
      <c r="BU155" s="462"/>
      <c r="BV155" s="462"/>
      <c r="BW155" s="462"/>
      <c r="BX155" s="462"/>
      <c r="BY155" s="462"/>
      <c r="BZ155" s="462"/>
      <c r="CA155" s="462"/>
      <c r="CB155" s="464"/>
      <c r="CC155" s="462"/>
      <c r="CD155" s="462"/>
      <c r="CE155" s="464"/>
      <c r="CF155" s="464"/>
      <c r="CG155" s="464"/>
      <c r="CH155" s="464"/>
      <c r="CI155" s="462"/>
      <c r="CJ155" s="462"/>
      <c r="CK155" s="464"/>
      <c r="CL155" s="464"/>
      <c r="CM155" s="464"/>
      <c r="CN155" s="357"/>
      <c r="CO155" s="346"/>
      <c r="CP155" s="346"/>
      <c r="CQ155" s="171"/>
      <c r="CR155" s="171"/>
      <c r="CS155" s="171"/>
      <c r="CT155" s="171"/>
      <c r="CU155" s="171"/>
      <c r="CV155" s="171"/>
      <c r="CW155" s="171"/>
      <c r="CX155" s="171"/>
      <c r="CY155" s="171"/>
      <c r="CZ155" s="171"/>
      <c r="DA155" s="171"/>
      <c r="DB155" s="171"/>
      <c r="DC155" s="171"/>
      <c r="DD155" s="171"/>
      <c r="DE155" s="171"/>
      <c r="DF155" s="171"/>
      <c r="DG155" s="171"/>
      <c r="DH155" s="171"/>
      <c r="DI155" s="171"/>
      <c r="DJ155" s="171"/>
      <c r="DK155" s="171"/>
      <c r="DL155" s="171"/>
      <c r="DM155" s="171"/>
      <c r="DN155" s="171"/>
      <c r="DO155" s="171"/>
      <c r="DP155" s="171"/>
      <c r="DQ155" s="171"/>
      <c r="DR155" s="171"/>
      <c r="DS155" s="171"/>
      <c r="DT155" s="171"/>
      <c r="DU155" s="171"/>
      <c r="DV155" s="171"/>
      <c r="DW155" s="170"/>
      <c r="DX155" s="170"/>
      <c r="DY155" s="170"/>
      <c r="DZ155" s="170"/>
      <c r="EA155" s="170"/>
      <c r="EB155" s="170"/>
      <c r="EC155" s="170"/>
      <c r="ED155" s="170"/>
    </row>
    <row r="156" spans="1:134" s="147" customFormat="1" hidden="1" x14ac:dyDescent="0.25">
      <c r="A156" s="146"/>
      <c r="B156" s="760"/>
      <c r="C156" s="111"/>
      <c r="D156" s="205">
        <f>VLOOKUP($C156,$BI$312:$BT$609,2,FALSE)</f>
        <v>0</v>
      </c>
      <c r="E156" s="651"/>
      <c r="F156" s="651"/>
      <c r="G156" s="651"/>
      <c r="H156" s="651"/>
      <c r="I156" s="651"/>
      <c r="J156" s="651"/>
      <c r="K156" s="651"/>
      <c r="L156" s="651"/>
      <c r="M156" s="651"/>
      <c r="N156" s="651"/>
      <c r="O156" s="651"/>
      <c r="P156" s="651"/>
      <c r="Q156" s="206">
        <f>SUM(E156:P156)</f>
        <v>0</v>
      </c>
      <c r="R156" s="205">
        <f>COUNT(E156:P156)</f>
        <v>0</v>
      </c>
      <c r="S156" s="206">
        <f>IF(R156&gt;1,AVERAGE(E156:P156),0)</f>
        <v>0</v>
      </c>
      <c r="T156" s="206">
        <f>IF(R156&gt;1,STDEV(E156:P156),0)</f>
        <v>0</v>
      </c>
      <c r="U156" s="206">
        <f>IF(R156&gt;1,VLOOKUP($R156,$BI$529:$BJ$541,2,FALSE),0)</f>
        <v>0</v>
      </c>
      <c r="V156" s="92"/>
      <c r="W156" s="207">
        <f>IF(R156&gt;1,1-((S156-((T156*U156)/(SQRT(R156))))/S156),VLOOKUP($C156,$BI$195:$CP$609,34,FALSE))</f>
        <v>0</v>
      </c>
      <c r="X156" s="213">
        <f>VLOOKUP($C156,$BI$195:$CM$609,3,FALSE)</f>
        <v>0</v>
      </c>
      <c r="Y156" s="209">
        <f>VLOOKUP($C156,$BI$195:$CM$609,4,FALSE)</f>
        <v>0</v>
      </c>
      <c r="Z156" s="207">
        <f>IF($Q156&gt;0,VLOOKUP($C156,$BI$195:$CM$609,6,FALSE),0)</f>
        <v>0</v>
      </c>
      <c r="AA156" s="210">
        <f>($Q156*X156)/1000</f>
        <v>0</v>
      </c>
      <c r="AB156" s="210">
        <f>AA156*$BJ$547</f>
        <v>0</v>
      </c>
      <c r="AC156" s="207">
        <f>IF(AA156&gt;0,SQRT(($W156*$W156)+(Z156*Z156)+($V156*$V156)),0)</f>
        <v>0</v>
      </c>
      <c r="AD156" s="210">
        <f>(AB156*AC156)^2</f>
        <v>0</v>
      </c>
      <c r="AE156" s="211">
        <v>0</v>
      </c>
      <c r="AF156" s="209">
        <v>0</v>
      </c>
      <c r="AG156" s="207">
        <v>0</v>
      </c>
      <c r="AH156" s="212">
        <f>(P156*AE156)/1000</f>
        <v>0</v>
      </c>
      <c r="AI156" s="212">
        <f>AH156*$BJ$548</f>
        <v>0</v>
      </c>
      <c r="AJ156" s="207">
        <f>IF(AH156&gt;0,SQRT(($W156*$W156)+(AG156*AG156)+($V156*$V156)),0)</f>
        <v>0</v>
      </c>
      <c r="AK156" s="210">
        <f>(AI156*AJ156)^2</f>
        <v>0</v>
      </c>
      <c r="AL156" s="211">
        <v>0</v>
      </c>
      <c r="AM156" s="209">
        <v>0</v>
      </c>
      <c r="AN156" s="207">
        <v>0</v>
      </c>
      <c r="AO156" s="212">
        <f>(W156*AL156)/1000</f>
        <v>0</v>
      </c>
      <c r="AP156" s="212">
        <f>AO156*$BJ$549</f>
        <v>0</v>
      </c>
      <c r="AQ156" s="207">
        <f>IF(AO156&gt;0,SQRT(($W156*$W156)+(AN156*AN156)+($V156*$V156)),0)</f>
        <v>0</v>
      </c>
      <c r="AR156" s="210">
        <f>(AP156*AQ156)^2</f>
        <v>0</v>
      </c>
      <c r="AS156" s="213">
        <v>0</v>
      </c>
      <c r="AT156" s="209">
        <v>0</v>
      </c>
      <c r="AU156" s="207">
        <v>0</v>
      </c>
      <c r="AV156" s="212">
        <v>0</v>
      </c>
      <c r="AW156" s="207">
        <v>0</v>
      </c>
      <c r="AX156" s="210">
        <f>(AV156*AW156)^2</f>
        <v>0</v>
      </c>
      <c r="AY156" s="213">
        <v>0</v>
      </c>
      <c r="AZ156" s="209">
        <v>0</v>
      </c>
      <c r="BA156" s="207">
        <v>0</v>
      </c>
      <c r="BB156" s="212">
        <f>($Q156*AY156)/1000</f>
        <v>0</v>
      </c>
      <c r="BC156" s="212">
        <f>BB156*22800</f>
        <v>0</v>
      </c>
      <c r="BD156" s="207">
        <v>0</v>
      </c>
      <c r="BE156" s="210">
        <f>(BC156*BD156)^2</f>
        <v>0</v>
      </c>
      <c r="BF156" s="206">
        <f>AB156+AI156+AP156+AV156+BC156</f>
        <v>0</v>
      </c>
      <c r="BG156" s="207">
        <f>IF(BF156&gt;0,SQRT(AD156+AK156+AR156+AX156+BE156)/BF156,0)</f>
        <v>0</v>
      </c>
      <c r="BH156" s="160">
        <f>(BF156*BG156)^2</f>
        <v>0</v>
      </c>
      <c r="BI156" s="200"/>
      <c r="BJ156" s="462"/>
      <c r="BK156" s="462"/>
      <c r="BL156" s="462"/>
      <c r="BM156" s="463"/>
      <c r="BN156" s="463"/>
      <c r="BO156" s="463"/>
      <c r="BP156" s="462"/>
      <c r="BQ156" s="462"/>
      <c r="BR156" s="462"/>
      <c r="BS156" s="462"/>
      <c r="BT156" s="462"/>
      <c r="BU156" s="462"/>
      <c r="BV156" s="462"/>
      <c r="BW156" s="462"/>
      <c r="BX156" s="462"/>
      <c r="BY156" s="462"/>
      <c r="BZ156" s="462"/>
      <c r="CA156" s="462"/>
      <c r="CB156" s="464"/>
      <c r="CC156" s="462"/>
      <c r="CD156" s="462"/>
      <c r="CE156" s="464"/>
      <c r="CF156" s="464"/>
      <c r="CG156" s="464"/>
      <c r="CH156" s="464"/>
      <c r="CI156" s="462"/>
      <c r="CJ156" s="462"/>
      <c r="CK156" s="464"/>
      <c r="CL156" s="464"/>
      <c r="CM156" s="464"/>
      <c r="CN156" s="357"/>
      <c r="CO156" s="346"/>
      <c r="CP156" s="346"/>
      <c r="CQ156" s="171"/>
      <c r="CR156" s="171"/>
      <c r="CS156" s="171"/>
      <c r="CT156" s="171"/>
      <c r="CU156" s="171"/>
      <c r="CV156" s="171"/>
      <c r="CW156" s="171"/>
      <c r="CX156" s="171"/>
      <c r="CY156" s="171"/>
      <c r="CZ156" s="171"/>
      <c r="DA156" s="171"/>
      <c r="DB156" s="171"/>
      <c r="DC156" s="171"/>
      <c r="DD156" s="171"/>
      <c r="DE156" s="171"/>
      <c r="DF156" s="171"/>
      <c r="DG156" s="171"/>
      <c r="DH156" s="171"/>
      <c r="DI156" s="171"/>
      <c r="DJ156" s="171"/>
      <c r="DK156" s="171"/>
      <c r="DL156" s="171"/>
      <c r="DM156" s="171"/>
      <c r="DN156" s="171"/>
      <c r="DO156" s="171"/>
      <c r="DP156" s="171"/>
      <c r="DQ156" s="171"/>
      <c r="DR156" s="171"/>
      <c r="DS156" s="171"/>
      <c r="DT156" s="171"/>
      <c r="DU156" s="171"/>
      <c r="DV156" s="171"/>
      <c r="DW156" s="170"/>
      <c r="DX156" s="170"/>
      <c r="DY156" s="170"/>
      <c r="DZ156" s="170"/>
      <c r="EA156" s="170"/>
      <c r="EB156" s="170"/>
      <c r="EC156" s="170"/>
      <c r="ED156" s="170"/>
    </row>
    <row r="157" spans="1:134" s="147" customFormat="1" hidden="1" x14ac:dyDescent="0.25">
      <c r="A157" s="146"/>
      <c r="B157" s="759" t="s">
        <v>500</v>
      </c>
      <c r="C157" s="111"/>
      <c r="D157" s="205">
        <f>VLOOKUP($C157,$BI$195:$CM$609,2,FALSE)</f>
        <v>0</v>
      </c>
      <c r="E157" s="91"/>
      <c r="F157" s="91"/>
      <c r="G157" s="91"/>
      <c r="H157" s="143"/>
      <c r="I157" s="143"/>
      <c r="J157" s="143"/>
      <c r="K157" s="143"/>
      <c r="L157" s="143"/>
      <c r="M157" s="143"/>
      <c r="N157" s="143"/>
      <c r="O157" s="143"/>
      <c r="P157" s="143"/>
      <c r="Q157" s="206">
        <f>SUM(E157:P157)</f>
        <v>0</v>
      </c>
      <c r="R157" s="205">
        <f>COUNT(E157:P157)</f>
        <v>0</v>
      </c>
      <c r="S157" s="206">
        <f>IF(R157&gt;1,AVERAGE(E157:P157),0)</f>
        <v>0</v>
      </c>
      <c r="T157" s="206">
        <f>IF(R157&gt;1,STDEV(E157:P157),0)</f>
        <v>0</v>
      </c>
      <c r="U157" s="206">
        <f>IF(R157&gt;1,VLOOKUP($R157,$BI$529:$BJ$541,2,FALSE),0)</f>
        <v>0</v>
      </c>
      <c r="V157" s="92"/>
      <c r="W157" s="207">
        <f>IF(R157&gt;1,1-((S157-((T157*U157)/(SQRT(R157))))/S157),VLOOKUP($C157,$BI$195:$CP$609,34,FALSE))</f>
        <v>0</v>
      </c>
      <c r="X157" s="213">
        <v>0</v>
      </c>
      <c r="Y157" s="209">
        <v>0</v>
      </c>
      <c r="Z157" s="207">
        <v>0</v>
      </c>
      <c r="AA157" s="210">
        <f>($Q157*X157)/1000</f>
        <v>0</v>
      </c>
      <c r="AB157" s="210">
        <f>AA157*$BJ$547</f>
        <v>0</v>
      </c>
      <c r="AC157" s="207">
        <f>IF(AA157&gt;0,SQRT(($W157*$W157)+(Z157*Z157)+($V157*$V157)),0)</f>
        <v>0</v>
      </c>
      <c r="AD157" s="210">
        <f>(AB157*AC157)^2</f>
        <v>0</v>
      </c>
      <c r="AE157" s="213">
        <f>VLOOKUP($C157,$BI$195:$CM$609,3,FALSE)</f>
        <v>0</v>
      </c>
      <c r="AF157" s="209">
        <f>VLOOKUP($C157,$BI$195:$CM$609,4,FALSE)</f>
        <v>0</v>
      </c>
      <c r="AG157" s="207">
        <f>IF($Q157&gt;0,VLOOKUP($C157,$BI$195:$CM$609,6,FALSE),0)</f>
        <v>0</v>
      </c>
      <c r="AH157" s="210">
        <f>($Q157*AE157)/1000</f>
        <v>0</v>
      </c>
      <c r="AI157" s="212">
        <f>AH157*$BJ$548</f>
        <v>0</v>
      </c>
      <c r="AJ157" s="207">
        <f>IF(AH157&gt;0,SQRT(($W157*$W157)+(AG157*AG157)+($V157*$V157)),0)</f>
        <v>0</v>
      </c>
      <c r="AK157" s="210">
        <f>(AI157*AJ157)^2</f>
        <v>0</v>
      </c>
      <c r="AL157" s="211">
        <v>0</v>
      </c>
      <c r="AM157" s="209">
        <v>0</v>
      </c>
      <c r="AN157" s="207">
        <v>0</v>
      </c>
      <c r="AO157" s="212">
        <f>(W157*AL157)/1000</f>
        <v>0</v>
      </c>
      <c r="AP157" s="212">
        <f>AO157*$BJ$549</f>
        <v>0</v>
      </c>
      <c r="AQ157" s="207">
        <f>IF(AO157&gt;0,SQRT(($W157*$W157)+(AN157*AN157)+($V157*$V157)),0)</f>
        <v>0</v>
      </c>
      <c r="AR157" s="210">
        <f>(AP157*AQ157)^2</f>
        <v>0</v>
      </c>
      <c r="AS157" s="213">
        <v>0</v>
      </c>
      <c r="AT157" s="209">
        <v>0</v>
      </c>
      <c r="AU157" s="207">
        <v>0</v>
      </c>
      <c r="AV157" s="212">
        <v>0</v>
      </c>
      <c r="AW157" s="207">
        <v>0</v>
      </c>
      <c r="AX157" s="210">
        <f>(AV157*AW157)^2</f>
        <v>0</v>
      </c>
      <c r="AY157" s="213">
        <v>0</v>
      </c>
      <c r="AZ157" s="209">
        <v>0</v>
      </c>
      <c r="BA157" s="207">
        <v>0</v>
      </c>
      <c r="BB157" s="212">
        <f>($Q157*AY157)/1000</f>
        <v>0</v>
      </c>
      <c r="BC157" s="212">
        <f>BB157*$BJ$550</f>
        <v>0</v>
      </c>
      <c r="BD157" s="207">
        <v>0</v>
      </c>
      <c r="BE157" s="210">
        <f>(BC157*BD157)^2</f>
        <v>0</v>
      </c>
      <c r="BF157" s="206">
        <f>AB157+AI157+AP157+AV157+BC157</f>
        <v>0</v>
      </c>
      <c r="BG157" s="214">
        <f>IF(BF157&gt;0,SQRT(AD157+AK157+AR157+AX157+BE157)/BF157,0)</f>
        <v>0</v>
      </c>
      <c r="BH157" s="160">
        <f>(BF157*BG157)^2</f>
        <v>0</v>
      </c>
      <c r="BI157" s="200"/>
      <c r="BJ157" s="462"/>
      <c r="BK157" s="462"/>
      <c r="BL157" s="462"/>
      <c r="BM157" s="463"/>
      <c r="BN157" s="463"/>
      <c r="BO157" s="463"/>
      <c r="BP157" s="462"/>
      <c r="BQ157" s="462"/>
      <c r="BR157" s="462"/>
      <c r="BS157" s="462"/>
      <c r="BT157" s="462"/>
      <c r="BU157" s="462"/>
      <c r="BV157" s="462"/>
      <c r="BW157" s="462"/>
      <c r="BX157" s="462"/>
      <c r="BY157" s="462"/>
      <c r="BZ157" s="462"/>
      <c r="CA157" s="462"/>
      <c r="CB157" s="464"/>
      <c r="CC157" s="462"/>
      <c r="CD157" s="462"/>
      <c r="CE157" s="464"/>
      <c r="CF157" s="464"/>
      <c r="CG157" s="464"/>
      <c r="CH157" s="464"/>
      <c r="CI157" s="462"/>
      <c r="CJ157" s="462"/>
      <c r="CK157" s="464"/>
      <c r="CL157" s="464"/>
      <c r="CM157" s="464"/>
      <c r="CN157" s="357"/>
      <c r="CO157" s="346"/>
      <c r="CP157" s="346"/>
      <c r="CQ157" s="171"/>
      <c r="CR157" s="171"/>
      <c r="CS157" s="171"/>
      <c r="CT157" s="171"/>
      <c r="CU157" s="171"/>
      <c r="CV157" s="171"/>
      <c r="CW157" s="171"/>
      <c r="CX157" s="171"/>
      <c r="CY157" s="171"/>
      <c r="CZ157" s="171"/>
      <c r="DA157" s="171"/>
      <c r="DB157" s="171"/>
      <c r="DC157" s="171"/>
      <c r="DD157" s="171"/>
      <c r="DE157" s="171"/>
      <c r="DF157" s="171"/>
      <c r="DG157" s="171"/>
      <c r="DH157" s="171"/>
      <c r="DI157" s="171"/>
      <c r="DJ157" s="171"/>
      <c r="DK157" s="171"/>
      <c r="DL157" s="171"/>
      <c r="DM157" s="171"/>
      <c r="DN157" s="171"/>
      <c r="DO157" s="171"/>
      <c r="DP157" s="171"/>
      <c r="DQ157" s="171"/>
      <c r="DR157" s="171"/>
      <c r="DS157" s="171"/>
      <c r="DT157" s="171"/>
      <c r="DU157" s="171"/>
      <c r="DV157" s="171"/>
      <c r="DW157" s="170"/>
      <c r="DX157" s="170"/>
      <c r="DY157" s="170"/>
      <c r="DZ157" s="170"/>
      <c r="EA157" s="170"/>
      <c r="EB157" s="170"/>
      <c r="EC157" s="170"/>
      <c r="ED157" s="170"/>
    </row>
    <row r="158" spans="1:134" s="147" customFormat="1" hidden="1" x14ac:dyDescent="0.25">
      <c r="A158" s="146"/>
      <c r="B158" s="760"/>
      <c r="C158" s="111"/>
      <c r="D158" s="205">
        <f>VLOOKUP($C158,$BI$195:$CM$609,2,FALSE)</f>
        <v>0</v>
      </c>
      <c r="E158" s="91"/>
      <c r="F158" s="91"/>
      <c r="G158" s="91"/>
      <c r="H158" s="143"/>
      <c r="I158" s="143"/>
      <c r="J158" s="143"/>
      <c r="K158" s="143"/>
      <c r="L158" s="143"/>
      <c r="M158" s="143"/>
      <c r="N158" s="143"/>
      <c r="O158" s="143"/>
      <c r="P158" s="143"/>
      <c r="Q158" s="206">
        <f>SUM(E158:P158)</f>
        <v>0</v>
      </c>
      <c r="R158" s="205">
        <f>COUNT(E158:P158)</f>
        <v>0</v>
      </c>
      <c r="S158" s="206">
        <f>IF(R158&gt;1,AVERAGE(E158:P158),0)</f>
        <v>0</v>
      </c>
      <c r="T158" s="206">
        <f>IF(R158&gt;1,STDEV(E158:P158),0)</f>
        <v>0</v>
      </c>
      <c r="U158" s="206">
        <f>IF(R158&gt;1,VLOOKUP($R158,$BI$529:$BJ$541,2,FALSE),0)</f>
        <v>0</v>
      </c>
      <c r="V158" s="92"/>
      <c r="W158" s="207">
        <f>IF(R158&gt;1,1-((S158-((T158*U158)/(SQRT(R158))))/S158),VLOOKUP($C158,$BI$195:$CP$609,34,FALSE))</f>
        <v>0</v>
      </c>
      <c r="X158" s="213">
        <v>0</v>
      </c>
      <c r="Y158" s="209">
        <v>0</v>
      </c>
      <c r="Z158" s="207">
        <v>0</v>
      </c>
      <c r="AA158" s="210">
        <f>($Q158*X158)/1000</f>
        <v>0</v>
      </c>
      <c r="AB158" s="210">
        <f>AA158*$BJ$547</f>
        <v>0</v>
      </c>
      <c r="AC158" s="207">
        <f>IF(AA158&gt;0,SQRT(($W158*$W158)+(Z158*Z158)+($V158*$V158)),0)</f>
        <v>0</v>
      </c>
      <c r="AD158" s="210">
        <f>(AB158*AC158)^2</f>
        <v>0</v>
      </c>
      <c r="AE158" s="213">
        <f>VLOOKUP($C158,$BI$195:$CM$609,3,FALSE)</f>
        <v>0</v>
      </c>
      <c r="AF158" s="209">
        <f>VLOOKUP($C158,$BI$195:$CM$609,4,FALSE)</f>
        <v>0</v>
      </c>
      <c r="AG158" s="207">
        <f>IF($Q158&gt;0,VLOOKUP($C158,$BI$195:$CM$609,6,FALSE),0)</f>
        <v>0</v>
      </c>
      <c r="AH158" s="210">
        <f>($Q158*AE158)/1000</f>
        <v>0</v>
      </c>
      <c r="AI158" s="212">
        <f>AH158*$BJ$548</f>
        <v>0</v>
      </c>
      <c r="AJ158" s="207">
        <f>IF(AH158&gt;0,SQRT(($W158*$W158)+(AG158*AG158)+($V158*$V158)),0)</f>
        <v>0</v>
      </c>
      <c r="AK158" s="210">
        <f>(AI158*AJ158)^2</f>
        <v>0</v>
      </c>
      <c r="AL158" s="211">
        <v>0</v>
      </c>
      <c r="AM158" s="209">
        <v>0</v>
      </c>
      <c r="AN158" s="207">
        <v>0</v>
      </c>
      <c r="AO158" s="212">
        <f>(W158*AL158)/1000</f>
        <v>0</v>
      </c>
      <c r="AP158" s="212">
        <f>AO158*$BJ$549</f>
        <v>0</v>
      </c>
      <c r="AQ158" s="207">
        <f>IF(AO158&gt;0,SQRT(($W158*$W158)+(AN158*AN158)+($V158*$V158)),0)</f>
        <v>0</v>
      </c>
      <c r="AR158" s="210">
        <f>(AP158*AQ158)^2</f>
        <v>0</v>
      </c>
      <c r="AS158" s="213">
        <v>0</v>
      </c>
      <c r="AT158" s="209">
        <v>0</v>
      </c>
      <c r="AU158" s="207">
        <v>0</v>
      </c>
      <c r="AV158" s="212">
        <v>0</v>
      </c>
      <c r="AW158" s="207">
        <v>0</v>
      </c>
      <c r="AX158" s="210">
        <f>(AV158*AW158)^2</f>
        <v>0</v>
      </c>
      <c r="AY158" s="213">
        <v>0</v>
      </c>
      <c r="AZ158" s="209">
        <v>0</v>
      </c>
      <c r="BA158" s="207">
        <v>0</v>
      </c>
      <c r="BB158" s="212">
        <f>($Q158*AY158)/1000</f>
        <v>0</v>
      </c>
      <c r="BC158" s="212">
        <f>BB158*$BJ$550</f>
        <v>0</v>
      </c>
      <c r="BD158" s="207">
        <v>0</v>
      </c>
      <c r="BE158" s="210">
        <f>(BC158*BD158)^2</f>
        <v>0</v>
      </c>
      <c r="BF158" s="206">
        <f>AB158+AI158+AP158+AV158+BC158</f>
        <v>0</v>
      </c>
      <c r="BG158" s="214">
        <f>IF(BF158&gt;0,SQRT(AD158+AK158+AR158+AX158+BE158)/BF158,0)</f>
        <v>0</v>
      </c>
      <c r="BH158" s="160">
        <f>(BF158*BG158)^2</f>
        <v>0</v>
      </c>
      <c r="BI158" s="200"/>
      <c r="BJ158" s="462"/>
      <c r="BK158" s="462"/>
      <c r="BL158" s="462"/>
      <c r="BM158" s="463"/>
      <c r="BN158" s="463"/>
      <c r="BO158" s="463"/>
      <c r="BP158" s="462"/>
      <c r="BQ158" s="462"/>
      <c r="BR158" s="462"/>
      <c r="BS158" s="462"/>
      <c r="BT158" s="462"/>
      <c r="BU158" s="462"/>
      <c r="BV158" s="462"/>
      <c r="BW158" s="462"/>
      <c r="BX158" s="462"/>
      <c r="BY158" s="462"/>
      <c r="BZ158" s="462"/>
      <c r="CA158" s="462"/>
      <c r="CB158" s="464"/>
      <c r="CC158" s="462"/>
      <c r="CD158" s="462"/>
      <c r="CE158" s="464"/>
      <c r="CF158" s="464"/>
      <c r="CG158" s="464"/>
      <c r="CH158" s="464"/>
      <c r="CI158" s="462"/>
      <c r="CJ158" s="462"/>
      <c r="CK158" s="464"/>
      <c r="CL158" s="464"/>
      <c r="CM158" s="464"/>
      <c r="CN158" s="357"/>
      <c r="CO158" s="346"/>
      <c r="CP158" s="346"/>
      <c r="CQ158" s="171"/>
      <c r="CR158" s="171"/>
      <c r="CS158" s="171"/>
      <c r="CT158" s="171"/>
      <c r="CU158" s="171"/>
      <c r="CV158" s="171"/>
      <c r="CW158" s="171"/>
      <c r="CX158" s="171"/>
      <c r="CY158" s="171"/>
      <c r="CZ158" s="171"/>
      <c r="DA158" s="171"/>
      <c r="DB158" s="171"/>
      <c r="DC158" s="171"/>
      <c r="DD158" s="171"/>
      <c r="DE158" s="171"/>
      <c r="DF158" s="171"/>
      <c r="DG158" s="171"/>
      <c r="DH158" s="171"/>
      <c r="DI158" s="171"/>
      <c r="DJ158" s="171"/>
      <c r="DK158" s="171"/>
      <c r="DL158" s="171"/>
      <c r="DM158" s="171"/>
      <c r="DN158" s="171"/>
      <c r="DO158" s="171"/>
      <c r="DP158" s="171"/>
      <c r="DQ158" s="171"/>
      <c r="DR158" s="171"/>
      <c r="DS158" s="171"/>
      <c r="DT158" s="171"/>
      <c r="DU158" s="171"/>
      <c r="DV158" s="171"/>
      <c r="DW158" s="170"/>
      <c r="DX158" s="170"/>
      <c r="DY158" s="170"/>
      <c r="DZ158" s="170"/>
      <c r="EA158" s="170"/>
      <c r="EB158" s="170"/>
      <c r="EC158" s="170"/>
      <c r="ED158" s="170"/>
    </row>
    <row r="159" spans="1:134" s="147" customFormat="1" x14ac:dyDescent="0.25">
      <c r="A159" s="146"/>
      <c r="B159" s="216" t="s">
        <v>155</v>
      </c>
      <c r="C159" s="216"/>
      <c r="D159" s="216"/>
      <c r="E159" s="216"/>
      <c r="F159" s="216"/>
      <c r="G159" s="216"/>
      <c r="H159" s="216"/>
      <c r="I159" s="216"/>
      <c r="J159" s="216"/>
      <c r="K159" s="216"/>
      <c r="L159" s="216"/>
      <c r="M159" s="216"/>
      <c r="N159" s="216"/>
      <c r="O159" s="216"/>
      <c r="P159" s="216"/>
      <c r="Q159" s="216"/>
      <c r="R159" s="216"/>
      <c r="S159" s="216"/>
      <c r="T159" s="216"/>
      <c r="U159" s="216"/>
      <c r="V159" s="216"/>
      <c r="W159" s="216"/>
      <c r="X159" s="216"/>
      <c r="Y159" s="216"/>
      <c r="Z159" s="216"/>
      <c r="AA159" s="216"/>
      <c r="AB159" s="219">
        <f>SUM(AB155:AB158)</f>
        <v>108.49623529499999</v>
      </c>
      <c r="AC159" s="220">
        <f>IF(AB159&gt;0,SQRT(SUM(AD155:AD158))/AB159,0)</f>
        <v>0.50302529119816486</v>
      </c>
      <c r="AD159" s="219">
        <f>(AB159*AC159)^2</f>
        <v>2978.5780178721757</v>
      </c>
      <c r="AE159" s="216"/>
      <c r="AF159" s="216"/>
      <c r="AG159" s="216"/>
      <c r="AH159" s="216"/>
      <c r="AI159" s="219">
        <f>SUM(AI155:AI158)</f>
        <v>0</v>
      </c>
      <c r="AJ159" s="220">
        <f>IF(AI159&gt;0,SQRT(SUM(AK155:AK158))/AI159,0)</f>
        <v>0</v>
      </c>
      <c r="AK159" s="219">
        <f>(AI159*AJ159)^2</f>
        <v>0</v>
      </c>
      <c r="AL159" s="216"/>
      <c r="AM159" s="216"/>
      <c r="AN159" s="216"/>
      <c r="AO159" s="216"/>
      <c r="AP159" s="219">
        <f>SUM(AP155:AP158)</f>
        <v>0</v>
      </c>
      <c r="AQ159" s="220">
        <f>IF(AP159&gt;0,SQRT(SUM(AR155:AR158))/AP159,0)</f>
        <v>0</v>
      </c>
      <c r="AR159" s="219">
        <f>(AP159*AQ159)^2</f>
        <v>0</v>
      </c>
      <c r="AS159" s="216"/>
      <c r="AT159" s="216"/>
      <c r="AU159" s="216"/>
      <c r="AV159" s="219">
        <f>SUM(AV155:AV158)</f>
        <v>0</v>
      </c>
      <c r="AW159" s="220">
        <f>IF(AV159&gt;0,SQRT(SUM(AX155:AX158))/AV159,0)</f>
        <v>0</v>
      </c>
      <c r="AX159" s="219">
        <f>(AV159*AW159)^2</f>
        <v>0</v>
      </c>
      <c r="AY159" s="216"/>
      <c r="AZ159" s="216"/>
      <c r="BA159" s="223"/>
      <c r="BB159" s="224"/>
      <c r="BC159" s="219">
        <f>SUM(BC155:BC158)</f>
        <v>0</v>
      </c>
      <c r="BD159" s="220">
        <f>IF(BC159&gt;0,SQRT(SUM(BE155:BE158))/BC159,0)</f>
        <v>0</v>
      </c>
      <c r="BE159" s="219">
        <f>(BC159*BD159)^2</f>
        <v>0</v>
      </c>
      <c r="BF159" s="219">
        <f>SUM(BF155:BF158)</f>
        <v>108.49623529499999</v>
      </c>
      <c r="BG159" s="220">
        <f>IF(BF159&gt;0,SQRT(SUM(BH155:BH158))/BF159,0)</f>
        <v>0.50302529119816486</v>
      </c>
      <c r="BH159" s="160">
        <f>(BF159*BG159)^2</f>
        <v>2978.5780178721757</v>
      </c>
      <c r="BI159" s="200"/>
      <c r="BJ159" s="462"/>
      <c r="BK159" s="462"/>
      <c r="BL159" s="462"/>
      <c r="BM159" s="463"/>
      <c r="BN159" s="463"/>
      <c r="BO159" s="463"/>
      <c r="BP159" s="462"/>
      <c r="BQ159" s="462"/>
      <c r="BR159" s="462"/>
      <c r="BS159" s="462"/>
      <c r="BT159" s="462"/>
      <c r="BU159" s="462"/>
      <c r="BV159" s="462"/>
      <c r="BW159" s="462"/>
      <c r="BX159" s="462"/>
      <c r="BY159" s="462"/>
      <c r="BZ159" s="462"/>
      <c r="CA159" s="462"/>
      <c r="CB159" s="464"/>
      <c r="CC159" s="462"/>
      <c r="CD159" s="462"/>
      <c r="CE159" s="464"/>
      <c r="CF159" s="464"/>
      <c r="CG159" s="464"/>
      <c r="CH159" s="464"/>
      <c r="CI159" s="462"/>
      <c r="CJ159" s="462"/>
      <c r="CK159" s="464"/>
      <c r="CL159" s="464"/>
      <c r="CM159" s="464"/>
      <c r="CN159" s="357"/>
      <c r="CO159" s="346"/>
      <c r="CP159" s="346"/>
      <c r="CQ159" s="171"/>
      <c r="CR159" s="171"/>
      <c r="CS159" s="171"/>
      <c r="CT159" s="171"/>
      <c r="CU159" s="171"/>
      <c r="CV159" s="171"/>
      <c r="CW159" s="171"/>
      <c r="CX159" s="171"/>
      <c r="CY159" s="171"/>
      <c r="CZ159" s="171"/>
      <c r="DA159" s="171"/>
      <c r="DB159" s="171"/>
      <c r="DC159" s="171"/>
      <c r="DD159" s="171"/>
      <c r="DE159" s="171"/>
      <c r="DF159" s="171"/>
      <c r="DG159" s="171"/>
      <c r="DH159" s="171"/>
      <c r="DI159" s="171"/>
      <c r="DJ159" s="171"/>
      <c r="DK159" s="171"/>
      <c r="DL159" s="171"/>
      <c r="DM159" s="171"/>
      <c r="DN159" s="171"/>
      <c r="DO159" s="171"/>
      <c r="DP159" s="171"/>
      <c r="DQ159" s="171"/>
      <c r="DR159" s="171"/>
      <c r="DS159" s="171"/>
      <c r="DT159" s="171"/>
      <c r="DU159" s="171"/>
      <c r="DV159" s="171"/>
      <c r="DW159" s="170"/>
      <c r="DX159" s="170"/>
      <c r="DY159" s="170"/>
      <c r="DZ159" s="170"/>
      <c r="EA159" s="170"/>
      <c r="EB159" s="170"/>
      <c r="EC159" s="170"/>
      <c r="ED159" s="170"/>
    </row>
    <row r="160" spans="1:134" s="200" customFormat="1" ht="15" hidden="1" customHeight="1" x14ac:dyDescent="0.25">
      <c r="A160" s="146"/>
      <c r="B160" s="739" t="s">
        <v>442</v>
      </c>
      <c r="C160" s="739" t="s">
        <v>446</v>
      </c>
      <c r="D160" s="739" t="s">
        <v>107</v>
      </c>
      <c r="E160" s="739"/>
      <c r="F160" s="739"/>
      <c r="G160" s="739"/>
      <c r="H160" s="739"/>
      <c r="I160" s="739"/>
      <c r="J160" s="739"/>
      <c r="K160" s="739"/>
      <c r="L160" s="739"/>
      <c r="M160" s="739"/>
      <c r="N160" s="739"/>
      <c r="O160" s="739"/>
      <c r="P160" s="739"/>
      <c r="Q160" s="739"/>
      <c r="R160" s="739"/>
      <c r="S160" s="739" t="s">
        <v>352</v>
      </c>
      <c r="T160" s="739"/>
      <c r="U160" s="739"/>
      <c r="V160" s="739"/>
      <c r="W160" s="739"/>
      <c r="X160" s="740" t="s">
        <v>360</v>
      </c>
      <c r="Y160" s="740"/>
      <c r="Z160" s="740"/>
      <c r="AA160" s="740"/>
      <c r="AB160" s="740"/>
      <c r="AC160" s="740"/>
      <c r="AD160" s="740"/>
      <c r="AE160" s="740" t="s">
        <v>359</v>
      </c>
      <c r="AF160" s="740"/>
      <c r="AG160" s="740"/>
      <c r="AH160" s="740"/>
      <c r="AI160" s="740"/>
      <c r="AJ160" s="740"/>
      <c r="AK160" s="740"/>
      <c r="AL160" s="740" t="s">
        <v>358</v>
      </c>
      <c r="AM160" s="740"/>
      <c r="AN160" s="740"/>
      <c r="AO160" s="740"/>
      <c r="AP160" s="740"/>
      <c r="AQ160" s="740"/>
      <c r="AR160" s="740"/>
      <c r="AS160" s="740" t="s">
        <v>543</v>
      </c>
      <c r="AT160" s="740"/>
      <c r="AU160" s="740"/>
      <c r="AV160" s="740"/>
      <c r="AW160" s="740"/>
      <c r="AX160" s="740"/>
      <c r="AY160" s="740" t="s">
        <v>357</v>
      </c>
      <c r="AZ160" s="740"/>
      <c r="BA160" s="740"/>
      <c r="BB160" s="740"/>
      <c r="BC160" s="740"/>
      <c r="BD160" s="740"/>
      <c r="BE160" s="740"/>
      <c r="BF160" s="744" t="s">
        <v>794</v>
      </c>
      <c r="BG160" s="744" t="s">
        <v>109</v>
      </c>
      <c r="BH160" s="160"/>
      <c r="BJ160" s="462"/>
      <c r="BK160" s="462"/>
      <c r="BL160" s="462"/>
      <c r="BM160" s="463"/>
      <c r="BN160" s="463"/>
      <c r="BO160" s="463"/>
      <c r="BP160" s="462"/>
      <c r="BQ160" s="462"/>
      <c r="BR160" s="462"/>
      <c r="BS160" s="462"/>
      <c r="BT160" s="462"/>
      <c r="BU160" s="462"/>
      <c r="BV160" s="462"/>
      <c r="BW160" s="462"/>
      <c r="BX160" s="462"/>
      <c r="BY160" s="462"/>
      <c r="BZ160" s="462"/>
      <c r="CA160" s="462"/>
      <c r="CB160" s="464"/>
      <c r="CC160" s="462"/>
      <c r="CD160" s="462"/>
      <c r="CE160" s="464"/>
      <c r="CF160" s="464"/>
      <c r="CG160" s="464"/>
      <c r="CH160" s="464"/>
      <c r="CI160" s="462"/>
      <c r="CJ160" s="462"/>
      <c r="CK160" s="464"/>
      <c r="CL160" s="464"/>
      <c r="CM160" s="464"/>
      <c r="CN160" s="357"/>
      <c r="CO160" s="346"/>
      <c r="CP160" s="346"/>
      <c r="CQ160" s="171"/>
      <c r="CR160" s="171"/>
      <c r="CS160" s="171"/>
      <c r="CT160" s="171"/>
      <c r="CU160" s="171"/>
      <c r="CV160" s="171"/>
      <c r="CW160" s="171"/>
      <c r="CX160" s="171"/>
      <c r="CY160" s="171"/>
      <c r="CZ160" s="171"/>
      <c r="DA160" s="171"/>
      <c r="DB160" s="171"/>
      <c r="DC160" s="171"/>
      <c r="DD160" s="171"/>
      <c r="DE160" s="171"/>
      <c r="DF160" s="171"/>
      <c r="DG160" s="171"/>
      <c r="DH160" s="171"/>
      <c r="DI160" s="171"/>
      <c r="DJ160" s="171"/>
      <c r="DK160" s="171"/>
      <c r="DL160" s="171"/>
      <c r="DM160" s="171"/>
      <c r="DN160" s="171"/>
      <c r="DO160" s="171"/>
      <c r="DP160" s="171"/>
      <c r="DQ160" s="171"/>
      <c r="DR160" s="171"/>
      <c r="DS160" s="171"/>
      <c r="DT160" s="171"/>
      <c r="DU160" s="171"/>
      <c r="DV160" s="171"/>
      <c r="DW160" s="170"/>
      <c r="DX160" s="170"/>
      <c r="DY160" s="170"/>
      <c r="DZ160" s="170"/>
      <c r="EA160" s="170"/>
      <c r="EB160" s="170"/>
      <c r="EC160" s="170"/>
      <c r="ED160" s="170"/>
    </row>
    <row r="161" spans="1:134" s="200" customFormat="1" ht="75" hidden="1" x14ac:dyDescent="0.25">
      <c r="A161" s="146"/>
      <c r="B161" s="740"/>
      <c r="C161" s="739"/>
      <c r="D161" s="201" t="s">
        <v>110</v>
      </c>
      <c r="E161" s="201" t="s">
        <v>111</v>
      </c>
      <c r="F161" s="201" t="s">
        <v>112</v>
      </c>
      <c r="G161" s="201" t="s">
        <v>113</v>
      </c>
      <c r="H161" s="201" t="s">
        <v>114</v>
      </c>
      <c r="I161" s="201" t="s">
        <v>115</v>
      </c>
      <c r="J161" s="201" t="s">
        <v>116</v>
      </c>
      <c r="K161" s="201" t="s">
        <v>117</v>
      </c>
      <c r="L161" s="201" t="s">
        <v>118</v>
      </c>
      <c r="M161" s="201" t="s">
        <v>119</v>
      </c>
      <c r="N161" s="201" t="s">
        <v>120</v>
      </c>
      <c r="O161" s="201" t="s">
        <v>121</v>
      </c>
      <c r="P161" s="201" t="s">
        <v>122</v>
      </c>
      <c r="Q161" s="201" t="s">
        <v>123</v>
      </c>
      <c r="R161" s="201" t="s">
        <v>124</v>
      </c>
      <c r="S161" s="201" t="s">
        <v>125</v>
      </c>
      <c r="T161" s="201" t="s">
        <v>126</v>
      </c>
      <c r="U161" s="201" t="s">
        <v>127</v>
      </c>
      <c r="V161" s="202" t="s">
        <v>369</v>
      </c>
      <c r="W161" s="201" t="s">
        <v>352</v>
      </c>
      <c r="X161" s="744" t="s">
        <v>353</v>
      </c>
      <c r="Y161" s="744"/>
      <c r="Z161" s="201" t="s">
        <v>361</v>
      </c>
      <c r="AA161" s="203" t="s">
        <v>793</v>
      </c>
      <c r="AB161" s="203" t="s">
        <v>806</v>
      </c>
      <c r="AC161" s="571" t="s">
        <v>362</v>
      </c>
      <c r="AD161" s="203" t="s">
        <v>453</v>
      </c>
      <c r="AE161" s="744" t="s">
        <v>354</v>
      </c>
      <c r="AF161" s="744"/>
      <c r="AG161" s="201" t="s">
        <v>363</v>
      </c>
      <c r="AH161" s="204" t="s">
        <v>807</v>
      </c>
      <c r="AI161" s="204" t="s">
        <v>808</v>
      </c>
      <c r="AJ161" s="201" t="s">
        <v>364</v>
      </c>
      <c r="AK161" s="203" t="s">
        <v>453</v>
      </c>
      <c r="AL161" s="744" t="s">
        <v>355</v>
      </c>
      <c r="AM161" s="744"/>
      <c r="AN161" s="201" t="s">
        <v>365</v>
      </c>
      <c r="AO161" s="201" t="s">
        <v>809</v>
      </c>
      <c r="AP161" s="201" t="s">
        <v>810</v>
      </c>
      <c r="AQ161" s="201" t="s">
        <v>366</v>
      </c>
      <c r="AR161" s="203" t="s">
        <v>453</v>
      </c>
      <c r="AS161" s="744" t="s">
        <v>811</v>
      </c>
      <c r="AT161" s="744"/>
      <c r="AU161" s="201" t="s">
        <v>546</v>
      </c>
      <c r="AV161" s="203" t="s">
        <v>812</v>
      </c>
      <c r="AW161" s="201" t="s">
        <v>545</v>
      </c>
      <c r="AX161" s="203" t="s">
        <v>453</v>
      </c>
      <c r="AY161" s="744" t="s">
        <v>356</v>
      </c>
      <c r="AZ161" s="744"/>
      <c r="BA161" s="201" t="s">
        <v>367</v>
      </c>
      <c r="BB161" s="203" t="s">
        <v>813</v>
      </c>
      <c r="BC161" s="203" t="s">
        <v>814</v>
      </c>
      <c r="BD161" s="201" t="s">
        <v>368</v>
      </c>
      <c r="BE161" s="203" t="s">
        <v>453</v>
      </c>
      <c r="BF161" s="744"/>
      <c r="BG161" s="744"/>
      <c r="BH161" s="160"/>
      <c r="BJ161" s="462"/>
      <c r="BK161" s="462"/>
      <c r="BL161" s="462"/>
      <c r="BM161" s="463"/>
      <c r="BN161" s="463"/>
      <c r="BO161" s="463"/>
      <c r="BP161" s="462"/>
      <c r="BQ161" s="462"/>
      <c r="BR161" s="462"/>
      <c r="BS161" s="462"/>
      <c r="BT161" s="462"/>
      <c r="BU161" s="462"/>
      <c r="BV161" s="462"/>
      <c r="BW161" s="462"/>
      <c r="BX161" s="462"/>
      <c r="BY161" s="462"/>
      <c r="BZ161" s="462"/>
      <c r="CA161" s="462"/>
      <c r="CB161" s="464"/>
      <c r="CC161" s="462"/>
      <c r="CD161" s="462"/>
      <c r="CE161" s="464"/>
      <c r="CF161" s="464"/>
      <c r="CG161" s="464"/>
      <c r="CH161" s="464"/>
      <c r="CI161" s="462"/>
      <c r="CJ161" s="462"/>
      <c r="CK161" s="464"/>
      <c r="CL161" s="464"/>
      <c r="CM161" s="464"/>
      <c r="CN161" s="357"/>
      <c r="CO161" s="346"/>
      <c r="CP161" s="346"/>
      <c r="CQ161" s="171"/>
      <c r="CR161" s="171"/>
      <c r="CS161" s="171"/>
      <c r="CT161" s="171"/>
      <c r="CU161" s="171"/>
      <c r="CV161" s="171"/>
      <c r="CW161" s="171"/>
      <c r="CX161" s="171"/>
      <c r="CY161" s="171"/>
      <c r="CZ161" s="171"/>
      <c r="DA161" s="171"/>
      <c r="DB161" s="171"/>
      <c r="DC161" s="171"/>
      <c r="DD161" s="171"/>
      <c r="DE161" s="171"/>
      <c r="DF161" s="171"/>
      <c r="DG161" s="171"/>
      <c r="DH161" s="171"/>
      <c r="DI161" s="171"/>
      <c r="DJ161" s="171"/>
      <c r="DK161" s="171"/>
      <c r="DL161" s="171"/>
      <c r="DM161" s="171"/>
      <c r="DN161" s="171"/>
      <c r="DO161" s="171"/>
      <c r="DP161" s="171"/>
      <c r="DQ161" s="171"/>
      <c r="DR161" s="171"/>
      <c r="DS161" s="171"/>
      <c r="DT161" s="171"/>
      <c r="DU161" s="171"/>
      <c r="DV161" s="171"/>
      <c r="DW161" s="170"/>
      <c r="DX161" s="170"/>
      <c r="DY161" s="170"/>
      <c r="DZ161" s="170"/>
      <c r="EA161" s="170"/>
      <c r="EB161" s="170"/>
      <c r="EC161" s="170"/>
      <c r="ED161" s="170"/>
    </row>
    <row r="162" spans="1:134" s="147" customFormat="1" hidden="1" x14ac:dyDescent="0.25">
      <c r="A162" s="146"/>
      <c r="B162" s="741" t="s">
        <v>351</v>
      </c>
      <c r="C162" s="111"/>
      <c r="D162" s="205">
        <f t="shared" ref="D162:D173" si="321">VLOOKUP($C162,$BI$312:$BT$609,2,FALSE)</f>
        <v>0</v>
      </c>
      <c r="E162" s="388"/>
      <c r="F162" s="388"/>
      <c r="G162" s="388"/>
      <c r="H162" s="388"/>
      <c r="I162" s="388"/>
      <c r="J162" s="388"/>
      <c r="K162" s="388"/>
      <c r="L162" s="388"/>
      <c r="M162" s="388"/>
      <c r="N162" s="388"/>
      <c r="O162" s="388"/>
      <c r="P162" s="388"/>
      <c r="Q162" s="206">
        <f t="shared" ref="Q162:Q173" si="322">SUM(E162:P162)</f>
        <v>0</v>
      </c>
      <c r="R162" s="205">
        <f t="shared" ref="R162:R173" si="323">COUNT(E162:P162)</f>
        <v>0</v>
      </c>
      <c r="S162" s="206">
        <f t="shared" ref="S162:S173" si="324">IF(R162&gt;1,AVERAGE(E162:P162),0)</f>
        <v>0</v>
      </c>
      <c r="T162" s="206">
        <f t="shared" ref="T162:T173" si="325">IF(R162&gt;1,STDEV(E162:P162),0)</f>
        <v>0</v>
      </c>
      <c r="U162" s="206">
        <f t="shared" ref="U162:U173" si="326">IF(R162&gt;1,VLOOKUP($R162,$BI$529:$BJ$541,2,FALSE),0)</f>
        <v>0</v>
      </c>
      <c r="V162" s="92"/>
      <c r="W162" s="207">
        <f t="shared" ref="W162:W173" si="327">IF(R162&gt;1,1-((S162-((T162*U162)/(SQRT(R162))))/S162),VLOOKUP($C162,$BI$195:$CP$609,34,FALSE))</f>
        <v>0</v>
      </c>
      <c r="X162" s="213">
        <f t="shared" ref="X162:X173" si="328">VLOOKUP($C162,$BI$195:$CM$609,3,FALSE)</f>
        <v>0</v>
      </c>
      <c r="Y162" s="209">
        <f t="shared" ref="Y162:Y173" si="329">VLOOKUP($C162,$BI$195:$CM$609,4,FALSE)</f>
        <v>0</v>
      </c>
      <c r="Z162" s="207">
        <f t="shared" ref="Z162:Z173" si="330">IF($Q162&gt;0,VLOOKUP($C162,$BI$195:$CM$609,6,FALSE),0)</f>
        <v>0</v>
      </c>
      <c r="AA162" s="210">
        <f>($Q162*X162)/1000</f>
        <v>0</v>
      </c>
      <c r="AB162" s="210">
        <f t="shared" ref="AB162:AB173" si="331">AA162*$BJ$547</f>
        <v>0</v>
      </c>
      <c r="AC162" s="207">
        <f>IF(AA162&gt;0,SQRT(($W162*$W162)+(Z162*Z162)+($V162*$V162)),0)</f>
        <v>0</v>
      </c>
      <c r="AD162" s="210">
        <f>(AB162*AC162)^2</f>
        <v>0</v>
      </c>
      <c r="AE162" s="211">
        <v>0</v>
      </c>
      <c r="AF162" s="209">
        <f t="shared" ref="AF162:AF173" si="332">VLOOKUP($C162,$BI$195:$CM$609,28,FALSE)</f>
        <v>0</v>
      </c>
      <c r="AG162" s="207">
        <v>0</v>
      </c>
      <c r="AH162" s="212">
        <f t="shared" ref="AH162:AH173" si="333">(P162*AE162)/1000</f>
        <v>0</v>
      </c>
      <c r="AI162" s="212">
        <f t="shared" ref="AI162:AI173" si="334">AH162*$BJ$548</f>
        <v>0</v>
      </c>
      <c r="AJ162" s="207">
        <f t="shared" ref="AJ162:AJ173" si="335">IF(AH162&gt;0,SQRT(($W162*$W162)+(AG162*AG162)+($V162*$V162)),0)</f>
        <v>0</v>
      </c>
      <c r="AK162" s="210">
        <f t="shared" ref="AK162:AK174" si="336">(AI162*AJ162)^2</f>
        <v>0</v>
      </c>
      <c r="AL162" s="211">
        <v>0</v>
      </c>
      <c r="AM162" s="209">
        <f t="shared" ref="AM162:AM173" si="337">VLOOKUP($C162,$BI$195:$CM$609,28,FALSE)</f>
        <v>0</v>
      </c>
      <c r="AN162" s="207">
        <v>0</v>
      </c>
      <c r="AO162" s="212">
        <f t="shared" ref="AO162:AO173" si="338">(W162*AL162)/1000</f>
        <v>0</v>
      </c>
      <c r="AP162" s="212">
        <f t="shared" ref="AP162:AP173" si="339">AO162*$BJ$549</f>
        <v>0</v>
      </c>
      <c r="AQ162" s="207">
        <f t="shared" ref="AQ162:AQ173" si="340">IF(AO162&gt;0,SQRT(($W162*$W162)+(AN162*AN162)+($V162*$V162)),0)</f>
        <v>0</v>
      </c>
      <c r="AR162" s="210">
        <f t="shared" ref="AR162:AR174" si="341">(AP162*AQ162)^2</f>
        <v>0</v>
      </c>
      <c r="AS162" s="213">
        <v>0</v>
      </c>
      <c r="AT162" s="209">
        <f t="shared" ref="AT162:AT173" si="342">VLOOKUP($C162,$BI$195:$CM$609,28,FALSE)</f>
        <v>0</v>
      </c>
      <c r="AU162" s="207">
        <v>0</v>
      </c>
      <c r="AV162" s="212">
        <v>0</v>
      </c>
      <c r="AW162" s="207">
        <v>0</v>
      </c>
      <c r="AX162" s="210">
        <f t="shared" ref="AX162:AX174" si="343">(AV162*AW162)^2</f>
        <v>0</v>
      </c>
      <c r="AY162" s="213">
        <v>0</v>
      </c>
      <c r="AZ162" s="209" t="e">
        <f t="shared" ref="AZ162:AZ173" si="344">VLOOKUP($C162,$BI$195:$CM$260,50,FALSE)</f>
        <v>#N/A</v>
      </c>
      <c r="BA162" s="207">
        <v>0</v>
      </c>
      <c r="BB162" s="212">
        <f t="shared" ref="BB162:BB173" si="345">($Q162*AY162)/1000</f>
        <v>0</v>
      </c>
      <c r="BC162" s="212">
        <f t="shared" ref="BC162:BC173" si="346">BB162*22800</f>
        <v>0</v>
      </c>
      <c r="BD162" s="207">
        <v>0</v>
      </c>
      <c r="BE162" s="210">
        <f t="shared" ref="BE162:BE174" si="347">(BC162*BD162)^2</f>
        <v>0</v>
      </c>
      <c r="BF162" s="206">
        <f t="shared" ref="BF162:BF173" si="348">AB162+AI162+AP162+AV162+BC162</f>
        <v>0</v>
      </c>
      <c r="BG162" s="207">
        <f t="shared" ref="BG162:BG173" si="349">IF(BF162&gt;0,SQRT(AD162+AK162+AR162+AX162+BE162)/BF162,0)</f>
        <v>0</v>
      </c>
      <c r="BH162" s="160">
        <f t="shared" ref="BH162:BH173" si="350">(BF162*BG162)^2</f>
        <v>0</v>
      </c>
      <c r="BI162" s="200"/>
      <c r="BJ162" s="462"/>
      <c r="BK162" s="462"/>
      <c r="BL162" s="462"/>
      <c r="BM162" s="463"/>
      <c r="BN162" s="463"/>
      <c r="BO162" s="463"/>
      <c r="BP162" s="462"/>
      <c r="BQ162" s="462"/>
      <c r="BR162" s="462"/>
      <c r="BS162" s="462"/>
      <c r="BT162" s="462"/>
      <c r="BU162" s="462"/>
      <c r="BV162" s="462"/>
      <c r="BW162" s="462"/>
      <c r="BX162" s="462"/>
      <c r="BY162" s="462"/>
      <c r="BZ162" s="462"/>
      <c r="CA162" s="462"/>
      <c r="CB162" s="464"/>
      <c r="CC162" s="462"/>
      <c r="CD162" s="462"/>
      <c r="CE162" s="464"/>
      <c r="CF162" s="464"/>
      <c r="CG162" s="464"/>
      <c r="CH162" s="464"/>
      <c r="CI162" s="462"/>
      <c r="CJ162" s="462"/>
      <c r="CK162" s="464"/>
      <c r="CL162" s="464"/>
      <c r="CM162" s="464"/>
      <c r="CN162" s="357"/>
      <c r="CO162" s="346"/>
      <c r="CP162" s="346"/>
      <c r="CQ162" s="171"/>
      <c r="CR162" s="171"/>
      <c r="CS162" s="171"/>
      <c r="CT162" s="171"/>
      <c r="CU162" s="171"/>
      <c r="CV162" s="171"/>
      <c r="CW162" s="171"/>
      <c r="CX162" s="171"/>
      <c r="CY162" s="171"/>
      <c r="CZ162" s="171"/>
      <c r="DA162" s="171"/>
      <c r="DB162" s="171"/>
      <c r="DC162" s="171"/>
      <c r="DD162" s="171"/>
      <c r="DE162" s="171"/>
      <c r="DF162" s="171"/>
      <c r="DG162" s="171"/>
      <c r="DH162" s="171"/>
      <c r="DI162" s="171"/>
      <c r="DJ162" s="171"/>
      <c r="DK162" s="171"/>
      <c r="DL162" s="171"/>
      <c r="DM162" s="171"/>
      <c r="DN162" s="171"/>
      <c r="DO162" s="171"/>
      <c r="DP162" s="171"/>
      <c r="DQ162" s="171"/>
      <c r="DR162" s="171"/>
      <c r="DS162" s="171"/>
      <c r="DT162" s="171"/>
      <c r="DU162" s="171"/>
      <c r="DV162" s="171"/>
      <c r="DW162" s="170"/>
      <c r="DX162" s="170"/>
      <c r="DY162" s="170"/>
      <c r="DZ162" s="170"/>
      <c r="EA162" s="170"/>
      <c r="EB162" s="170"/>
      <c r="EC162" s="170"/>
      <c r="ED162" s="170"/>
    </row>
    <row r="163" spans="1:134" s="147" customFormat="1" ht="17.25" hidden="1" customHeight="1" x14ac:dyDescent="0.25">
      <c r="A163" s="146"/>
      <c r="B163" s="742"/>
      <c r="C163" s="111"/>
      <c r="D163" s="205">
        <f t="shared" si="321"/>
        <v>0</v>
      </c>
      <c r="E163" s="388"/>
      <c r="F163" s="388"/>
      <c r="G163" s="388"/>
      <c r="H163" s="388"/>
      <c r="I163" s="388"/>
      <c r="J163" s="388"/>
      <c r="K163" s="388"/>
      <c r="L163" s="388"/>
      <c r="M163" s="388"/>
      <c r="N163" s="388"/>
      <c r="O163" s="388"/>
      <c r="P163" s="388"/>
      <c r="Q163" s="206">
        <f t="shared" si="322"/>
        <v>0</v>
      </c>
      <c r="R163" s="205">
        <f t="shared" si="323"/>
        <v>0</v>
      </c>
      <c r="S163" s="206">
        <f t="shared" si="324"/>
        <v>0</v>
      </c>
      <c r="T163" s="206">
        <f t="shared" si="325"/>
        <v>0</v>
      </c>
      <c r="U163" s="206">
        <f t="shared" si="326"/>
        <v>0</v>
      </c>
      <c r="V163" s="92"/>
      <c r="W163" s="207">
        <f t="shared" si="327"/>
        <v>0</v>
      </c>
      <c r="X163" s="213">
        <f t="shared" si="328"/>
        <v>0</v>
      </c>
      <c r="Y163" s="209">
        <f t="shared" si="329"/>
        <v>0</v>
      </c>
      <c r="Z163" s="207">
        <f t="shared" si="330"/>
        <v>0</v>
      </c>
      <c r="AA163" s="210">
        <f t="shared" ref="AA163:AA173" si="351">($Q163*X163)/1000</f>
        <v>0</v>
      </c>
      <c r="AB163" s="210">
        <f t="shared" si="331"/>
        <v>0</v>
      </c>
      <c r="AC163" s="207">
        <f t="shared" ref="AC163:AC173" si="352">IF(AA163&gt;0,SQRT(($W163*$W163)+(Z163*Z163)+($V163*$V163)),0)</f>
        <v>0</v>
      </c>
      <c r="AD163" s="210">
        <f t="shared" ref="AD163:AD178" si="353">(AB163*AC163)^2</f>
        <v>0</v>
      </c>
      <c r="AE163" s="211">
        <v>0</v>
      </c>
      <c r="AF163" s="209">
        <f t="shared" si="332"/>
        <v>0</v>
      </c>
      <c r="AG163" s="207">
        <v>0</v>
      </c>
      <c r="AH163" s="212">
        <f t="shared" si="333"/>
        <v>0</v>
      </c>
      <c r="AI163" s="212">
        <f t="shared" si="334"/>
        <v>0</v>
      </c>
      <c r="AJ163" s="207">
        <f t="shared" si="335"/>
        <v>0</v>
      </c>
      <c r="AK163" s="210">
        <f t="shared" si="336"/>
        <v>0</v>
      </c>
      <c r="AL163" s="211">
        <v>0</v>
      </c>
      <c r="AM163" s="209">
        <f t="shared" si="337"/>
        <v>0</v>
      </c>
      <c r="AN163" s="207">
        <v>0</v>
      </c>
      <c r="AO163" s="212">
        <f t="shared" si="338"/>
        <v>0</v>
      </c>
      <c r="AP163" s="212">
        <f t="shared" si="339"/>
        <v>0</v>
      </c>
      <c r="AQ163" s="207">
        <f t="shared" si="340"/>
        <v>0</v>
      </c>
      <c r="AR163" s="210">
        <f t="shared" si="341"/>
        <v>0</v>
      </c>
      <c r="AS163" s="213">
        <v>0</v>
      </c>
      <c r="AT163" s="209">
        <f t="shared" si="342"/>
        <v>0</v>
      </c>
      <c r="AU163" s="207">
        <v>0</v>
      </c>
      <c r="AV163" s="212">
        <v>0</v>
      </c>
      <c r="AW163" s="207">
        <v>0</v>
      </c>
      <c r="AX163" s="210">
        <f t="shared" si="343"/>
        <v>0</v>
      </c>
      <c r="AY163" s="213">
        <v>0</v>
      </c>
      <c r="AZ163" s="209" t="e">
        <f t="shared" si="344"/>
        <v>#N/A</v>
      </c>
      <c r="BA163" s="207">
        <v>0</v>
      </c>
      <c r="BB163" s="212">
        <f t="shared" si="345"/>
        <v>0</v>
      </c>
      <c r="BC163" s="212">
        <f t="shared" si="346"/>
        <v>0</v>
      </c>
      <c r="BD163" s="207">
        <v>0</v>
      </c>
      <c r="BE163" s="210">
        <f t="shared" si="347"/>
        <v>0</v>
      </c>
      <c r="BF163" s="206">
        <f t="shared" si="348"/>
        <v>0</v>
      </c>
      <c r="BG163" s="207">
        <f t="shared" si="349"/>
        <v>0</v>
      </c>
      <c r="BH163" s="160">
        <f t="shared" si="350"/>
        <v>0</v>
      </c>
      <c r="BI163" s="200"/>
      <c r="BJ163" s="462"/>
      <c r="BK163" s="462"/>
      <c r="BL163" s="462"/>
      <c r="BM163" s="463"/>
      <c r="BN163" s="463"/>
      <c r="BO163" s="463"/>
      <c r="BP163" s="462"/>
      <c r="BQ163" s="462"/>
      <c r="BR163" s="462"/>
      <c r="BS163" s="462"/>
      <c r="BT163" s="462"/>
      <c r="BU163" s="462"/>
      <c r="BV163" s="462"/>
      <c r="BW163" s="462"/>
      <c r="BX163" s="462"/>
      <c r="BY163" s="462"/>
      <c r="BZ163" s="462"/>
      <c r="CA163" s="462"/>
      <c r="CB163" s="464"/>
      <c r="CC163" s="462"/>
      <c r="CD163" s="462"/>
      <c r="CE163" s="464"/>
      <c r="CF163" s="464"/>
      <c r="CG163" s="464"/>
      <c r="CH163" s="464"/>
      <c r="CI163" s="462"/>
      <c r="CJ163" s="462"/>
      <c r="CK163" s="464"/>
      <c r="CL163" s="464"/>
      <c r="CM163" s="464"/>
      <c r="CN163" s="357"/>
      <c r="CO163" s="346"/>
      <c r="CP163" s="346"/>
      <c r="CQ163" s="171"/>
      <c r="CR163" s="171"/>
      <c r="CS163" s="171"/>
      <c r="CT163" s="171"/>
      <c r="CU163" s="171"/>
      <c r="CV163" s="171"/>
      <c r="CW163" s="171"/>
      <c r="CX163" s="171"/>
      <c r="CY163" s="171"/>
      <c r="CZ163" s="171"/>
      <c r="DA163" s="171"/>
      <c r="DB163" s="171"/>
      <c r="DC163" s="171"/>
      <c r="DD163" s="171"/>
      <c r="DE163" s="171"/>
      <c r="DF163" s="171"/>
      <c r="DG163" s="171"/>
      <c r="DH163" s="171"/>
      <c r="DI163" s="171"/>
      <c r="DJ163" s="171"/>
      <c r="DK163" s="171"/>
      <c r="DL163" s="171"/>
      <c r="DM163" s="171"/>
      <c r="DN163" s="171"/>
      <c r="DO163" s="171"/>
      <c r="DP163" s="171"/>
      <c r="DQ163" s="171"/>
      <c r="DR163" s="171"/>
      <c r="DS163" s="171"/>
      <c r="DT163" s="171"/>
      <c r="DU163" s="171"/>
      <c r="DV163" s="171"/>
      <c r="DW163" s="170"/>
      <c r="DX163" s="170"/>
      <c r="DY163" s="170"/>
      <c r="DZ163" s="170"/>
      <c r="EA163" s="170"/>
      <c r="EB163" s="170"/>
      <c r="EC163" s="170"/>
      <c r="ED163" s="170"/>
    </row>
    <row r="164" spans="1:134" s="147" customFormat="1" ht="17.25" hidden="1" customHeight="1" x14ac:dyDescent="0.25">
      <c r="A164" s="146"/>
      <c r="B164" s="742"/>
      <c r="C164" s="111"/>
      <c r="D164" s="205">
        <f t="shared" si="321"/>
        <v>0</v>
      </c>
      <c r="E164" s="388"/>
      <c r="F164" s="388"/>
      <c r="G164" s="388"/>
      <c r="H164" s="388"/>
      <c r="I164" s="388"/>
      <c r="J164" s="388"/>
      <c r="K164" s="388"/>
      <c r="L164" s="388"/>
      <c r="M164" s="388"/>
      <c r="N164" s="388"/>
      <c r="O164" s="388"/>
      <c r="P164" s="388"/>
      <c r="Q164" s="206">
        <f t="shared" si="322"/>
        <v>0</v>
      </c>
      <c r="R164" s="205">
        <f t="shared" si="323"/>
        <v>0</v>
      </c>
      <c r="S164" s="206">
        <f t="shared" si="324"/>
        <v>0</v>
      </c>
      <c r="T164" s="206">
        <f t="shared" si="325"/>
        <v>0</v>
      </c>
      <c r="U164" s="206">
        <f t="shared" si="326"/>
        <v>0</v>
      </c>
      <c r="V164" s="92"/>
      <c r="W164" s="207">
        <f t="shared" si="327"/>
        <v>0</v>
      </c>
      <c r="X164" s="213">
        <f t="shared" si="328"/>
        <v>0</v>
      </c>
      <c r="Y164" s="209">
        <f t="shared" si="329"/>
        <v>0</v>
      </c>
      <c r="Z164" s="207">
        <f t="shared" si="330"/>
        <v>0</v>
      </c>
      <c r="AA164" s="210">
        <f t="shared" si="351"/>
        <v>0</v>
      </c>
      <c r="AB164" s="210">
        <f t="shared" si="331"/>
        <v>0</v>
      </c>
      <c r="AC164" s="207">
        <f t="shared" si="352"/>
        <v>0</v>
      </c>
      <c r="AD164" s="210">
        <f t="shared" si="353"/>
        <v>0</v>
      </c>
      <c r="AE164" s="211">
        <v>0</v>
      </c>
      <c r="AF164" s="209">
        <f t="shared" si="332"/>
        <v>0</v>
      </c>
      <c r="AG164" s="207">
        <v>0</v>
      </c>
      <c r="AH164" s="212">
        <f t="shared" si="333"/>
        <v>0</v>
      </c>
      <c r="AI164" s="212">
        <f t="shared" si="334"/>
        <v>0</v>
      </c>
      <c r="AJ164" s="207">
        <f t="shared" si="335"/>
        <v>0</v>
      </c>
      <c r="AK164" s="210">
        <f t="shared" si="336"/>
        <v>0</v>
      </c>
      <c r="AL164" s="211">
        <v>0</v>
      </c>
      <c r="AM164" s="209">
        <f t="shared" si="337"/>
        <v>0</v>
      </c>
      <c r="AN164" s="207">
        <v>0</v>
      </c>
      <c r="AO164" s="212">
        <f t="shared" si="338"/>
        <v>0</v>
      </c>
      <c r="AP164" s="212">
        <f t="shared" si="339"/>
        <v>0</v>
      </c>
      <c r="AQ164" s="207">
        <f t="shared" si="340"/>
        <v>0</v>
      </c>
      <c r="AR164" s="210">
        <f t="shared" si="341"/>
        <v>0</v>
      </c>
      <c r="AS164" s="213">
        <v>0</v>
      </c>
      <c r="AT164" s="209">
        <f t="shared" si="342"/>
        <v>0</v>
      </c>
      <c r="AU164" s="207">
        <v>0</v>
      </c>
      <c r="AV164" s="212">
        <v>0</v>
      </c>
      <c r="AW164" s="207">
        <v>0</v>
      </c>
      <c r="AX164" s="210">
        <f t="shared" si="343"/>
        <v>0</v>
      </c>
      <c r="AY164" s="213">
        <v>0</v>
      </c>
      <c r="AZ164" s="209" t="e">
        <f t="shared" si="344"/>
        <v>#N/A</v>
      </c>
      <c r="BA164" s="207">
        <v>0</v>
      </c>
      <c r="BB164" s="212">
        <f t="shared" si="345"/>
        <v>0</v>
      </c>
      <c r="BC164" s="212">
        <f t="shared" si="346"/>
        <v>0</v>
      </c>
      <c r="BD164" s="207">
        <v>0</v>
      </c>
      <c r="BE164" s="210">
        <f t="shared" si="347"/>
        <v>0</v>
      </c>
      <c r="BF164" s="206">
        <f t="shared" si="348"/>
        <v>0</v>
      </c>
      <c r="BG164" s="207">
        <f t="shared" si="349"/>
        <v>0</v>
      </c>
      <c r="BH164" s="160">
        <f t="shared" si="350"/>
        <v>0</v>
      </c>
      <c r="BI164" s="200"/>
      <c r="BJ164" s="462"/>
      <c r="BK164" s="462"/>
      <c r="BL164" s="462"/>
      <c r="BM164" s="463"/>
      <c r="BN164" s="463"/>
      <c r="BO164" s="463"/>
      <c r="BP164" s="462"/>
      <c r="BQ164" s="462"/>
      <c r="BR164" s="462"/>
      <c r="BS164" s="462"/>
      <c r="BT164" s="462"/>
      <c r="BU164" s="462"/>
      <c r="BV164" s="462"/>
      <c r="BW164" s="462"/>
      <c r="BX164" s="462"/>
      <c r="BY164" s="462"/>
      <c r="BZ164" s="462"/>
      <c r="CA164" s="462"/>
      <c r="CB164" s="464"/>
      <c r="CC164" s="462"/>
      <c r="CD164" s="462"/>
      <c r="CE164" s="464"/>
      <c r="CF164" s="464"/>
      <c r="CG164" s="464"/>
      <c r="CH164" s="464"/>
      <c r="CI164" s="462"/>
      <c r="CJ164" s="462"/>
      <c r="CK164" s="464"/>
      <c r="CL164" s="464"/>
      <c r="CM164" s="464"/>
      <c r="CN164" s="357"/>
      <c r="CO164" s="346"/>
      <c r="CP164" s="346"/>
      <c r="CQ164" s="171"/>
      <c r="CR164" s="171"/>
      <c r="CS164" s="171"/>
      <c r="CT164" s="171"/>
      <c r="CU164" s="171"/>
      <c r="CV164" s="171"/>
      <c r="CW164" s="171"/>
      <c r="CX164" s="171"/>
      <c r="CY164" s="171"/>
      <c r="CZ164" s="171"/>
      <c r="DA164" s="171"/>
      <c r="DB164" s="171"/>
      <c r="DC164" s="171"/>
      <c r="DD164" s="171"/>
      <c r="DE164" s="171"/>
      <c r="DF164" s="171"/>
      <c r="DG164" s="171"/>
      <c r="DH164" s="171"/>
      <c r="DI164" s="171"/>
      <c r="DJ164" s="171"/>
      <c r="DK164" s="171"/>
      <c r="DL164" s="171"/>
      <c r="DM164" s="171"/>
      <c r="DN164" s="171"/>
      <c r="DO164" s="171"/>
      <c r="DP164" s="171"/>
      <c r="DQ164" s="171"/>
      <c r="DR164" s="171"/>
      <c r="DS164" s="171"/>
      <c r="DT164" s="171"/>
      <c r="DU164" s="171"/>
      <c r="DV164" s="171"/>
      <c r="DW164" s="170"/>
      <c r="DX164" s="170"/>
      <c r="DY164" s="170"/>
      <c r="DZ164" s="170"/>
      <c r="EA164" s="170"/>
      <c r="EB164" s="170"/>
      <c r="EC164" s="170"/>
      <c r="ED164" s="170"/>
    </row>
    <row r="165" spans="1:134" s="147" customFormat="1" hidden="1" x14ac:dyDescent="0.25">
      <c r="A165" s="146"/>
      <c r="B165" s="742"/>
      <c r="C165" s="111"/>
      <c r="D165" s="205">
        <f t="shared" si="321"/>
        <v>0</v>
      </c>
      <c r="E165" s="388"/>
      <c r="F165" s="388"/>
      <c r="G165" s="388"/>
      <c r="H165" s="388"/>
      <c r="I165" s="388"/>
      <c r="J165" s="388"/>
      <c r="K165" s="388"/>
      <c r="L165" s="388"/>
      <c r="M165" s="388"/>
      <c r="N165" s="388"/>
      <c r="O165" s="388"/>
      <c r="P165" s="388"/>
      <c r="Q165" s="206">
        <f t="shared" si="322"/>
        <v>0</v>
      </c>
      <c r="R165" s="205">
        <f t="shared" si="323"/>
        <v>0</v>
      </c>
      <c r="S165" s="206">
        <f t="shared" si="324"/>
        <v>0</v>
      </c>
      <c r="T165" s="206">
        <f t="shared" si="325"/>
        <v>0</v>
      </c>
      <c r="U165" s="206">
        <f t="shared" si="326"/>
        <v>0</v>
      </c>
      <c r="V165" s="92"/>
      <c r="W165" s="207">
        <f t="shared" si="327"/>
        <v>0</v>
      </c>
      <c r="X165" s="213">
        <f t="shared" si="328"/>
        <v>0</v>
      </c>
      <c r="Y165" s="209">
        <f t="shared" si="329"/>
        <v>0</v>
      </c>
      <c r="Z165" s="207">
        <f t="shared" si="330"/>
        <v>0</v>
      </c>
      <c r="AA165" s="210">
        <f t="shared" si="351"/>
        <v>0</v>
      </c>
      <c r="AB165" s="210">
        <f t="shared" si="331"/>
        <v>0</v>
      </c>
      <c r="AC165" s="207">
        <f t="shared" si="352"/>
        <v>0</v>
      </c>
      <c r="AD165" s="210">
        <f t="shared" si="353"/>
        <v>0</v>
      </c>
      <c r="AE165" s="211">
        <v>0</v>
      </c>
      <c r="AF165" s="209">
        <f t="shared" si="332"/>
        <v>0</v>
      </c>
      <c r="AG165" s="207">
        <v>0</v>
      </c>
      <c r="AH165" s="212">
        <f t="shared" si="333"/>
        <v>0</v>
      </c>
      <c r="AI165" s="212">
        <f t="shared" si="334"/>
        <v>0</v>
      </c>
      <c r="AJ165" s="207">
        <f t="shared" si="335"/>
        <v>0</v>
      </c>
      <c r="AK165" s="210">
        <f t="shared" si="336"/>
        <v>0</v>
      </c>
      <c r="AL165" s="211">
        <v>0</v>
      </c>
      <c r="AM165" s="209">
        <f t="shared" si="337"/>
        <v>0</v>
      </c>
      <c r="AN165" s="207">
        <v>0</v>
      </c>
      <c r="AO165" s="212">
        <f t="shared" si="338"/>
        <v>0</v>
      </c>
      <c r="AP165" s="212">
        <f t="shared" si="339"/>
        <v>0</v>
      </c>
      <c r="AQ165" s="207">
        <f t="shared" si="340"/>
        <v>0</v>
      </c>
      <c r="AR165" s="210">
        <f t="shared" si="341"/>
        <v>0</v>
      </c>
      <c r="AS165" s="213">
        <v>0</v>
      </c>
      <c r="AT165" s="209">
        <f t="shared" si="342"/>
        <v>0</v>
      </c>
      <c r="AU165" s="207">
        <v>0</v>
      </c>
      <c r="AV165" s="212">
        <v>0</v>
      </c>
      <c r="AW165" s="207">
        <v>0</v>
      </c>
      <c r="AX165" s="210">
        <f t="shared" si="343"/>
        <v>0</v>
      </c>
      <c r="AY165" s="213">
        <v>0</v>
      </c>
      <c r="AZ165" s="209" t="e">
        <f t="shared" si="344"/>
        <v>#N/A</v>
      </c>
      <c r="BA165" s="207">
        <v>0</v>
      </c>
      <c r="BB165" s="212">
        <f t="shared" si="345"/>
        <v>0</v>
      </c>
      <c r="BC165" s="212">
        <f t="shared" si="346"/>
        <v>0</v>
      </c>
      <c r="BD165" s="207">
        <v>0</v>
      </c>
      <c r="BE165" s="210">
        <f t="shared" si="347"/>
        <v>0</v>
      </c>
      <c r="BF165" s="206">
        <f t="shared" si="348"/>
        <v>0</v>
      </c>
      <c r="BG165" s="207">
        <f t="shared" si="349"/>
        <v>0</v>
      </c>
      <c r="BH165" s="160">
        <f t="shared" si="350"/>
        <v>0</v>
      </c>
      <c r="BI165" s="200"/>
      <c r="BJ165" s="462"/>
      <c r="BK165" s="462"/>
      <c r="BL165" s="462"/>
      <c r="BM165" s="463"/>
      <c r="BN165" s="463"/>
      <c r="BO165" s="463"/>
      <c r="BP165" s="462"/>
      <c r="BQ165" s="462"/>
      <c r="BR165" s="462"/>
      <c r="BS165" s="462"/>
      <c r="BT165" s="462"/>
      <c r="BU165" s="462"/>
      <c r="BV165" s="462"/>
      <c r="BW165" s="462"/>
      <c r="BX165" s="462"/>
      <c r="BY165" s="462"/>
      <c r="BZ165" s="462"/>
      <c r="CA165" s="462"/>
      <c r="CB165" s="464"/>
      <c r="CC165" s="462"/>
      <c r="CD165" s="462"/>
      <c r="CE165" s="464"/>
      <c r="CF165" s="464"/>
      <c r="CG165" s="464"/>
      <c r="CH165" s="464"/>
      <c r="CI165" s="462"/>
      <c r="CJ165" s="462"/>
      <c r="CK165" s="464"/>
      <c r="CL165" s="464"/>
      <c r="CM165" s="464"/>
      <c r="CN165" s="357"/>
      <c r="CO165" s="346"/>
      <c r="CP165" s="346"/>
      <c r="CQ165" s="171"/>
      <c r="CR165" s="171"/>
      <c r="CS165" s="171"/>
      <c r="CT165" s="171"/>
      <c r="CU165" s="171"/>
      <c r="CV165" s="171"/>
      <c r="CW165" s="171"/>
      <c r="CX165" s="171"/>
      <c r="CY165" s="171"/>
      <c r="CZ165" s="171"/>
      <c r="DA165" s="171"/>
      <c r="DB165" s="171"/>
      <c r="DC165" s="171"/>
      <c r="DD165" s="171"/>
      <c r="DE165" s="171"/>
      <c r="DF165" s="171"/>
      <c r="DG165" s="171"/>
      <c r="DH165" s="171"/>
      <c r="DI165" s="171"/>
      <c r="DJ165" s="171"/>
      <c r="DK165" s="171"/>
      <c r="DL165" s="171"/>
      <c r="DM165" s="171"/>
      <c r="DN165" s="171"/>
      <c r="DO165" s="171"/>
      <c r="DP165" s="171"/>
      <c r="DQ165" s="171"/>
      <c r="DR165" s="171"/>
      <c r="DS165" s="171"/>
      <c r="DT165" s="171"/>
      <c r="DU165" s="171"/>
      <c r="DV165" s="171"/>
      <c r="DW165" s="170"/>
      <c r="DX165" s="170"/>
      <c r="DY165" s="170"/>
      <c r="DZ165" s="170"/>
      <c r="EA165" s="170"/>
      <c r="EB165" s="170"/>
      <c r="EC165" s="170"/>
      <c r="ED165" s="170"/>
    </row>
    <row r="166" spans="1:134" s="147" customFormat="1" hidden="1" x14ac:dyDescent="0.25">
      <c r="A166" s="146"/>
      <c r="B166" s="742"/>
      <c r="C166" s="111"/>
      <c r="D166" s="205">
        <f t="shared" si="321"/>
        <v>0</v>
      </c>
      <c r="E166" s="388"/>
      <c r="F166" s="388"/>
      <c r="G166" s="388"/>
      <c r="H166" s="388"/>
      <c r="I166" s="388"/>
      <c r="J166" s="388"/>
      <c r="K166" s="388"/>
      <c r="L166" s="388"/>
      <c r="M166" s="388"/>
      <c r="N166" s="388"/>
      <c r="O166" s="388"/>
      <c r="P166" s="388"/>
      <c r="Q166" s="206">
        <f t="shared" si="322"/>
        <v>0</v>
      </c>
      <c r="R166" s="205">
        <f t="shared" si="323"/>
        <v>0</v>
      </c>
      <c r="S166" s="206">
        <f t="shared" si="324"/>
        <v>0</v>
      </c>
      <c r="T166" s="206">
        <f t="shared" si="325"/>
        <v>0</v>
      </c>
      <c r="U166" s="206">
        <f t="shared" si="326"/>
        <v>0</v>
      </c>
      <c r="V166" s="92"/>
      <c r="W166" s="207">
        <f t="shared" si="327"/>
        <v>0</v>
      </c>
      <c r="X166" s="213">
        <f t="shared" si="328"/>
        <v>0</v>
      </c>
      <c r="Y166" s="209">
        <f t="shared" si="329"/>
        <v>0</v>
      </c>
      <c r="Z166" s="207">
        <f t="shared" si="330"/>
        <v>0</v>
      </c>
      <c r="AA166" s="210">
        <f t="shared" si="351"/>
        <v>0</v>
      </c>
      <c r="AB166" s="210">
        <f t="shared" si="331"/>
        <v>0</v>
      </c>
      <c r="AC166" s="207">
        <f t="shared" si="352"/>
        <v>0</v>
      </c>
      <c r="AD166" s="210">
        <f t="shared" si="353"/>
        <v>0</v>
      </c>
      <c r="AE166" s="211">
        <v>0</v>
      </c>
      <c r="AF166" s="209">
        <f t="shared" si="332"/>
        <v>0</v>
      </c>
      <c r="AG166" s="207">
        <v>0</v>
      </c>
      <c r="AH166" s="212">
        <f t="shared" si="333"/>
        <v>0</v>
      </c>
      <c r="AI166" s="212">
        <f t="shared" si="334"/>
        <v>0</v>
      </c>
      <c r="AJ166" s="207">
        <f t="shared" si="335"/>
        <v>0</v>
      </c>
      <c r="AK166" s="210">
        <f t="shared" si="336"/>
        <v>0</v>
      </c>
      <c r="AL166" s="211">
        <v>0</v>
      </c>
      <c r="AM166" s="209">
        <f t="shared" si="337"/>
        <v>0</v>
      </c>
      <c r="AN166" s="207">
        <v>0</v>
      </c>
      <c r="AO166" s="212">
        <f t="shared" si="338"/>
        <v>0</v>
      </c>
      <c r="AP166" s="212">
        <f t="shared" si="339"/>
        <v>0</v>
      </c>
      <c r="AQ166" s="207">
        <f t="shared" si="340"/>
        <v>0</v>
      </c>
      <c r="AR166" s="210">
        <f t="shared" si="341"/>
        <v>0</v>
      </c>
      <c r="AS166" s="213">
        <v>0</v>
      </c>
      <c r="AT166" s="209">
        <f t="shared" si="342"/>
        <v>0</v>
      </c>
      <c r="AU166" s="207">
        <v>0</v>
      </c>
      <c r="AV166" s="212">
        <v>0</v>
      </c>
      <c r="AW166" s="207">
        <v>0</v>
      </c>
      <c r="AX166" s="210">
        <f t="shared" si="343"/>
        <v>0</v>
      </c>
      <c r="AY166" s="213">
        <v>0</v>
      </c>
      <c r="AZ166" s="209" t="e">
        <f t="shared" si="344"/>
        <v>#N/A</v>
      </c>
      <c r="BA166" s="207">
        <v>0</v>
      </c>
      <c r="BB166" s="212">
        <f t="shared" si="345"/>
        <v>0</v>
      </c>
      <c r="BC166" s="212">
        <f t="shared" si="346"/>
        <v>0</v>
      </c>
      <c r="BD166" s="207">
        <v>0</v>
      </c>
      <c r="BE166" s="210">
        <f t="shared" si="347"/>
        <v>0</v>
      </c>
      <c r="BF166" s="206">
        <f t="shared" si="348"/>
        <v>0</v>
      </c>
      <c r="BG166" s="207">
        <f t="shared" si="349"/>
        <v>0</v>
      </c>
      <c r="BH166" s="160">
        <f t="shared" si="350"/>
        <v>0</v>
      </c>
      <c r="BI166" s="200"/>
      <c r="BJ166" s="462"/>
      <c r="BK166" s="462"/>
      <c r="BL166" s="462"/>
      <c r="BM166" s="463"/>
      <c r="BN166" s="463"/>
      <c r="BO166" s="463"/>
      <c r="BP166" s="462"/>
      <c r="BQ166" s="462"/>
      <c r="BR166" s="462"/>
      <c r="BS166" s="462"/>
      <c r="BT166" s="462"/>
      <c r="BU166" s="462"/>
      <c r="BV166" s="462"/>
      <c r="BW166" s="462"/>
      <c r="BX166" s="462"/>
      <c r="BY166" s="462"/>
      <c r="BZ166" s="462"/>
      <c r="CA166" s="462"/>
      <c r="CB166" s="464"/>
      <c r="CC166" s="462"/>
      <c r="CD166" s="462"/>
      <c r="CE166" s="464"/>
      <c r="CF166" s="464"/>
      <c r="CG166" s="464"/>
      <c r="CH166" s="464"/>
      <c r="CI166" s="462"/>
      <c r="CJ166" s="462"/>
      <c r="CK166" s="464"/>
      <c r="CL166" s="464"/>
      <c r="CM166" s="464"/>
      <c r="CN166" s="357"/>
      <c r="CO166" s="346"/>
      <c r="CP166" s="346"/>
      <c r="CQ166" s="171"/>
      <c r="CR166" s="171"/>
      <c r="CS166" s="171"/>
      <c r="CT166" s="171"/>
      <c r="CU166" s="171"/>
      <c r="CV166" s="171"/>
      <c r="CW166" s="171"/>
      <c r="CX166" s="171"/>
      <c r="CY166" s="171"/>
      <c r="CZ166" s="171"/>
      <c r="DA166" s="171"/>
      <c r="DB166" s="171"/>
      <c r="DC166" s="171"/>
      <c r="DD166" s="171"/>
      <c r="DE166" s="171"/>
      <c r="DF166" s="171"/>
      <c r="DG166" s="171"/>
      <c r="DH166" s="171"/>
      <c r="DI166" s="171"/>
      <c r="DJ166" s="171"/>
      <c r="DK166" s="171"/>
      <c r="DL166" s="171"/>
      <c r="DM166" s="171"/>
      <c r="DN166" s="171"/>
      <c r="DO166" s="171"/>
      <c r="DP166" s="171"/>
      <c r="DQ166" s="171"/>
      <c r="DR166" s="171"/>
      <c r="DS166" s="171"/>
      <c r="DT166" s="171"/>
      <c r="DU166" s="171"/>
      <c r="DV166" s="171"/>
      <c r="DW166" s="170"/>
      <c r="DX166" s="170"/>
      <c r="DY166" s="170"/>
      <c r="DZ166" s="170"/>
      <c r="EA166" s="170"/>
      <c r="EB166" s="170"/>
      <c r="EC166" s="170"/>
      <c r="ED166" s="170"/>
    </row>
    <row r="167" spans="1:134" s="147" customFormat="1" hidden="1" x14ac:dyDescent="0.25">
      <c r="A167" s="146"/>
      <c r="B167" s="742"/>
      <c r="C167" s="111"/>
      <c r="D167" s="205">
        <f t="shared" si="321"/>
        <v>0</v>
      </c>
      <c r="E167" s="388"/>
      <c r="F167" s="388"/>
      <c r="G167" s="388"/>
      <c r="H167" s="388"/>
      <c r="I167" s="388"/>
      <c r="J167" s="388"/>
      <c r="K167" s="388"/>
      <c r="L167" s="388"/>
      <c r="M167" s="388"/>
      <c r="N167" s="388"/>
      <c r="O167" s="388"/>
      <c r="P167" s="388"/>
      <c r="Q167" s="206">
        <f t="shared" si="322"/>
        <v>0</v>
      </c>
      <c r="R167" s="205">
        <f t="shared" si="323"/>
        <v>0</v>
      </c>
      <c r="S167" s="206">
        <f t="shared" si="324"/>
        <v>0</v>
      </c>
      <c r="T167" s="206">
        <f t="shared" si="325"/>
        <v>0</v>
      </c>
      <c r="U167" s="206">
        <f t="shared" si="326"/>
        <v>0</v>
      </c>
      <c r="V167" s="92"/>
      <c r="W167" s="207">
        <f t="shared" si="327"/>
        <v>0</v>
      </c>
      <c r="X167" s="213">
        <f t="shared" si="328"/>
        <v>0</v>
      </c>
      <c r="Y167" s="209">
        <f t="shared" si="329"/>
        <v>0</v>
      </c>
      <c r="Z167" s="207">
        <f t="shared" si="330"/>
        <v>0</v>
      </c>
      <c r="AA167" s="210">
        <f t="shared" si="351"/>
        <v>0</v>
      </c>
      <c r="AB167" s="210">
        <f t="shared" si="331"/>
        <v>0</v>
      </c>
      <c r="AC167" s="207">
        <f t="shared" si="352"/>
        <v>0</v>
      </c>
      <c r="AD167" s="210">
        <f t="shared" si="353"/>
        <v>0</v>
      </c>
      <c r="AE167" s="211">
        <v>0</v>
      </c>
      <c r="AF167" s="209">
        <f t="shared" si="332"/>
        <v>0</v>
      </c>
      <c r="AG167" s="207">
        <v>0</v>
      </c>
      <c r="AH167" s="212">
        <f t="shared" si="333"/>
        <v>0</v>
      </c>
      <c r="AI167" s="212">
        <f t="shared" si="334"/>
        <v>0</v>
      </c>
      <c r="AJ167" s="207">
        <f t="shared" si="335"/>
        <v>0</v>
      </c>
      <c r="AK167" s="210">
        <f t="shared" si="336"/>
        <v>0</v>
      </c>
      <c r="AL167" s="211">
        <v>0</v>
      </c>
      <c r="AM167" s="209">
        <f t="shared" si="337"/>
        <v>0</v>
      </c>
      <c r="AN167" s="207">
        <v>0</v>
      </c>
      <c r="AO167" s="212">
        <f t="shared" si="338"/>
        <v>0</v>
      </c>
      <c r="AP167" s="212">
        <f t="shared" si="339"/>
        <v>0</v>
      </c>
      <c r="AQ167" s="207">
        <f t="shared" si="340"/>
        <v>0</v>
      </c>
      <c r="AR167" s="210">
        <f t="shared" si="341"/>
        <v>0</v>
      </c>
      <c r="AS167" s="213">
        <v>0</v>
      </c>
      <c r="AT167" s="209">
        <f t="shared" si="342"/>
        <v>0</v>
      </c>
      <c r="AU167" s="207">
        <v>0</v>
      </c>
      <c r="AV167" s="212">
        <v>0</v>
      </c>
      <c r="AW167" s="207">
        <v>0</v>
      </c>
      <c r="AX167" s="210">
        <f t="shared" si="343"/>
        <v>0</v>
      </c>
      <c r="AY167" s="213">
        <v>0</v>
      </c>
      <c r="AZ167" s="209" t="e">
        <f t="shared" si="344"/>
        <v>#N/A</v>
      </c>
      <c r="BA167" s="207">
        <v>0</v>
      </c>
      <c r="BB167" s="212">
        <f t="shared" si="345"/>
        <v>0</v>
      </c>
      <c r="BC167" s="212">
        <f t="shared" si="346"/>
        <v>0</v>
      </c>
      <c r="BD167" s="207">
        <v>0</v>
      </c>
      <c r="BE167" s="210">
        <f t="shared" si="347"/>
        <v>0</v>
      </c>
      <c r="BF167" s="206">
        <f t="shared" si="348"/>
        <v>0</v>
      </c>
      <c r="BG167" s="207">
        <f t="shared" si="349"/>
        <v>0</v>
      </c>
      <c r="BH167" s="160">
        <f t="shared" si="350"/>
        <v>0</v>
      </c>
      <c r="BI167" s="200"/>
      <c r="BJ167" s="462"/>
      <c r="BK167" s="462"/>
      <c r="BL167" s="462"/>
      <c r="BM167" s="463"/>
      <c r="BN167" s="463"/>
      <c r="BO167" s="463"/>
      <c r="BP167" s="462"/>
      <c r="BQ167" s="462"/>
      <c r="BR167" s="462"/>
      <c r="BS167" s="462"/>
      <c r="BT167" s="462"/>
      <c r="BU167" s="462"/>
      <c r="BV167" s="462"/>
      <c r="BW167" s="462"/>
      <c r="BX167" s="462"/>
      <c r="BY167" s="462"/>
      <c r="BZ167" s="462"/>
      <c r="CA167" s="462"/>
      <c r="CB167" s="464"/>
      <c r="CC167" s="462"/>
      <c r="CD167" s="462"/>
      <c r="CE167" s="464"/>
      <c r="CF167" s="464"/>
      <c r="CG167" s="464"/>
      <c r="CH167" s="464"/>
      <c r="CI167" s="462"/>
      <c r="CJ167" s="462"/>
      <c r="CK167" s="464"/>
      <c r="CL167" s="464"/>
      <c r="CM167" s="464"/>
      <c r="CN167" s="357"/>
      <c r="CO167" s="346"/>
      <c r="CP167" s="346"/>
      <c r="CQ167" s="171"/>
      <c r="CR167" s="171"/>
      <c r="CS167" s="171"/>
      <c r="CT167" s="171"/>
      <c r="CU167" s="171"/>
      <c r="CV167" s="171"/>
      <c r="CW167" s="171"/>
      <c r="CX167" s="171"/>
      <c r="CY167" s="171"/>
      <c r="CZ167" s="171"/>
      <c r="DA167" s="171"/>
      <c r="DB167" s="171"/>
      <c r="DC167" s="171"/>
      <c r="DD167" s="171"/>
      <c r="DE167" s="171"/>
      <c r="DF167" s="171"/>
      <c r="DG167" s="171"/>
      <c r="DH167" s="171"/>
      <c r="DI167" s="171"/>
      <c r="DJ167" s="171"/>
      <c r="DK167" s="171"/>
      <c r="DL167" s="171"/>
      <c r="DM167" s="171"/>
      <c r="DN167" s="171"/>
      <c r="DO167" s="171"/>
      <c r="DP167" s="171"/>
      <c r="DQ167" s="171"/>
      <c r="DR167" s="171"/>
      <c r="DS167" s="171"/>
      <c r="DT167" s="171"/>
      <c r="DU167" s="171"/>
      <c r="DV167" s="171"/>
      <c r="DW167" s="170"/>
      <c r="DX167" s="170"/>
      <c r="DY167" s="170"/>
      <c r="DZ167" s="170"/>
      <c r="EA167" s="170"/>
      <c r="EB167" s="170"/>
      <c r="EC167" s="170"/>
      <c r="ED167" s="170"/>
    </row>
    <row r="168" spans="1:134" s="147" customFormat="1" hidden="1" x14ac:dyDescent="0.25">
      <c r="A168" s="146"/>
      <c r="B168" s="742"/>
      <c r="C168" s="111"/>
      <c r="D168" s="205">
        <f t="shared" si="321"/>
        <v>0</v>
      </c>
      <c r="E168" s="388"/>
      <c r="F168" s="388"/>
      <c r="G168" s="388"/>
      <c r="H168" s="388"/>
      <c r="I168" s="388"/>
      <c r="J168" s="388"/>
      <c r="K168" s="388"/>
      <c r="L168" s="388"/>
      <c r="M168" s="388"/>
      <c r="N168" s="388"/>
      <c r="O168" s="388"/>
      <c r="P168" s="388"/>
      <c r="Q168" s="206">
        <f t="shared" si="322"/>
        <v>0</v>
      </c>
      <c r="R168" s="205">
        <f t="shared" si="323"/>
        <v>0</v>
      </c>
      <c r="S168" s="206">
        <f t="shared" si="324"/>
        <v>0</v>
      </c>
      <c r="T168" s="206">
        <f t="shared" si="325"/>
        <v>0</v>
      </c>
      <c r="U168" s="206">
        <f t="shared" si="326"/>
        <v>0</v>
      </c>
      <c r="V168" s="92"/>
      <c r="W168" s="207">
        <f t="shared" si="327"/>
        <v>0</v>
      </c>
      <c r="X168" s="213">
        <f t="shared" si="328"/>
        <v>0</v>
      </c>
      <c r="Y168" s="209">
        <f t="shared" si="329"/>
        <v>0</v>
      </c>
      <c r="Z168" s="207">
        <f t="shared" si="330"/>
        <v>0</v>
      </c>
      <c r="AA168" s="210">
        <f t="shared" si="351"/>
        <v>0</v>
      </c>
      <c r="AB168" s="210">
        <f t="shared" si="331"/>
        <v>0</v>
      </c>
      <c r="AC168" s="207">
        <f t="shared" si="352"/>
        <v>0</v>
      </c>
      <c r="AD168" s="210">
        <f t="shared" si="353"/>
        <v>0</v>
      </c>
      <c r="AE168" s="211">
        <v>0</v>
      </c>
      <c r="AF168" s="209">
        <f t="shared" si="332"/>
        <v>0</v>
      </c>
      <c r="AG168" s="207">
        <v>0</v>
      </c>
      <c r="AH168" s="212">
        <f t="shared" si="333"/>
        <v>0</v>
      </c>
      <c r="AI168" s="212">
        <f t="shared" si="334"/>
        <v>0</v>
      </c>
      <c r="AJ168" s="207">
        <f t="shared" si="335"/>
        <v>0</v>
      </c>
      <c r="AK168" s="210">
        <f t="shared" si="336"/>
        <v>0</v>
      </c>
      <c r="AL168" s="211">
        <v>0</v>
      </c>
      <c r="AM168" s="209">
        <f t="shared" si="337"/>
        <v>0</v>
      </c>
      <c r="AN168" s="207">
        <v>0</v>
      </c>
      <c r="AO168" s="212">
        <f t="shared" si="338"/>
        <v>0</v>
      </c>
      <c r="AP168" s="212">
        <f t="shared" si="339"/>
        <v>0</v>
      </c>
      <c r="AQ168" s="207">
        <f t="shared" si="340"/>
        <v>0</v>
      </c>
      <c r="AR168" s="210">
        <f t="shared" si="341"/>
        <v>0</v>
      </c>
      <c r="AS168" s="213">
        <v>0</v>
      </c>
      <c r="AT168" s="209">
        <f t="shared" si="342"/>
        <v>0</v>
      </c>
      <c r="AU168" s="207">
        <v>0</v>
      </c>
      <c r="AV168" s="212">
        <v>0</v>
      </c>
      <c r="AW168" s="207">
        <v>0</v>
      </c>
      <c r="AX168" s="210">
        <f t="shared" si="343"/>
        <v>0</v>
      </c>
      <c r="AY168" s="213">
        <v>0</v>
      </c>
      <c r="AZ168" s="209" t="e">
        <f t="shared" si="344"/>
        <v>#N/A</v>
      </c>
      <c r="BA168" s="207">
        <v>0</v>
      </c>
      <c r="BB168" s="212">
        <f t="shared" si="345"/>
        <v>0</v>
      </c>
      <c r="BC168" s="212">
        <f t="shared" si="346"/>
        <v>0</v>
      </c>
      <c r="BD168" s="207">
        <v>0</v>
      </c>
      <c r="BE168" s="210">
        <f t="shared" si="347"/>
        <v>0</v>
      </c>
      <c r="BF168" s="206">
        <f t="shared" si="348"/>
        <v>0</v>
      </c>
      <c r="BG168" s="207">
        <f t="shared" si="349"/>
        <v>0</v>
      </c>
      <c r="BH168" s="160">
        <f t="shared" si="350"/>
        <v>0</v>
      </c>
      <c r="BI168" s="200"/>
      <c r="BJ168" s="462"/>
      <c r="BK168" s="462"/>
      <c r="BL168" s="462"/>
      <c r="BM168" s="463"/>
      <c r="BN168" s="463"/>
      <c r="BO168" s="463"/>
      <c r="BP168" s="462"/>
      <c r="BQ168" s="462"/>
      <c r="BR168" s="462"/>
      <c r="BS168" s="462"/>
      <c r="BT168" s="462"/>
      <c r="BU168" s="462"/>
      <c r="BV168" s="462"/>
      <c r="BW168" s="462"/>
      <c r="BX168" s="462"/>
      <c r="BY168" s="462"/>
      <c r="BZ168" s="462"/>
      <c r="CA168" s="462"/>
      <c r="CB168" s="464"/>
      <c r="CC168" s="462"/>
      <c r="CD168" s="462"/>
      <c r="CE168" s="464"/>
      <c r="CF168" s="464"/>
      <c r="CG168" s="464"/>
      <c r="CH168" s="464"/>
      <c r="CI168" s="462"/>
      <c r="CJ168" s="462"/>
      <c r="CK168" s="464"/>
      <c r="CL168" s="464"/>
      <c r="CM168" s="464"/>
      <c r="CN168" s="357"/>
      <c r="CO168" s="346"/>
      <c r="CP168" s="346"/>
      <c r="CQ168" s="171"/>
      <c r="CR168" s="171"/>
      <c r="CS168" s="171"/>
      <c r="CT168" s="171"/>
      <c r="CU168" s="171"/>
      <c r="CV168" s="171"/>
      <c r="CW168" s="171"/>
      <c r="CX168" s="171"/>
      <c r="CY168" s="171"/>
      <c r="CZ168" s="171"/>
      <c r="DA168" s="171"/>
      <c r="DB168" s="171"/>
      <c r="DC168" s="171"/>
      <c r="DD168" s="171"/>
      <c r="DE168" s="171"/>
      <c r="DF168" s="171"/>
      <c r="DG168" s="171"/>
      <c r="DH168" s="171"/>
      <c r="DI168" s="171"/>
      <c r="DJ168" s="171"/>
      <c r="DK168" s="171"/>
      <c r="DL168" s="171"/>
      <c r="DM168" s="171"/>
      <c r="DN168" s="171"/>
      <c r="DO168" s="171"/>
      <c r="DP168" s="171"/>
      <c r="DQ168" s="171"/>
      <c r="DR168" s="171"/>
      <c r="DS168" s="171"/>
      <c r="DT168" s="171"/>
      <c r="DU168" s="171"/>
      <c r="DV168" s="171"/>
      <c r="DW168" s="170"/>
      <c r="DX168" s="170"/>
      <c r="DY168" s="170"/>
      <c r="DZ168" s="170"/>
      <c r="EA168" s="170"/>
      <c r="EB168" s="170"/>
      <c r="EC168" s="170"/>
      <c r="ED168" s="170"/>
    </row>
    <row r="169" spans="1:134" s="147" customFormat="1" hidden="1" x14ac:dyDescent="0.25">
      <c r="A169" s="146"/>
      <c r="B169" s="742"/>
      <c r="C169" s="111"/>
      <c r="D169" s="205">
        <f t="shared" si="321"/>
        <v>0</v>
      </c>
      <c r="E169" s="390"/>
      <c r="F169" s="390"/>
      <c r="G169" s="390"/>
      <c r="H169" s="390"/>
      <c r="I169" s="390"/>
      <c r="J169" s="390"/>
      <c r="K169" s="390"/>
      <c r="L169" s="390"/>
      <c r="M169" s="390"/>
      <c r="N169" s="390"/>
      <c r="O169" s="390"/>
      <c r="P169" s="390"/>
      <c r="Q169" s="206">
        <f t="shared" si="322"/>
        <v>0</v>
      </c>
      <c r="R169" s="205">
        <f t="shared" si="323"/>
        <v>0</v>
      </c>
      <c r="S169" s="206">
        <f t="shared" si="324"/>
        <v>0</v>
      </c>
      <c r="T169" s="206">
        <f t="shared" si="325"/>
        <v>0</v>
      </c>
      <c r="U169" s="206">
        <f t="shared" si="326"/>
        <v>0</v>
      </c>
      <c r="V169" s="92"/>
      <c r="W169" s="207">
        <f t="shared" si="327"/>
        <v>0</v>
      </c>
      <c r="X169" s="213">
        <f t="shared" si="328"/>
        <v>0</v>
      </c>
      <c r="Y169" s="209">
        <f t="shared" si="329"/>
        <v>0</v>
      </c>
      <c r="Z169" s="207">
        <f t="shared" si="330"/>
        <v>0</v>
      </c>
      <c r="AA169" s="210">
        <f t="shared" si="351"/>
        <v>0</v>
      </c>
      <c r="AB169" s="210">
        <f t="shared" si="331"/>
        <v>0</v>
      </c>
      <c r="AC169" s="207">
        <f t="shared" si="352"/>
        <v>0</v>
      </c>
      <c r="AD169" s="210">
        <f t="shared" si="353"/>
        <v>0</v>
      </c>
      <c r="AE169" s="211">
        <v>0</v>
      </c>
      <c r="AF169" s="209">
        <f t="shared" si="332"/>
        <v>0</v>
      </c>
      <c r="AG169" s="207">
        <v>0</v>
      </c>
      <c r="AH169" s="212">
        <f t="shared" si="333"/>
        <v>0</v>
      </c>
      <c r="AI169" s="212">
        <f t="shared" si="334"/>
        <v>0</v>
      </c>
      <c r="AJ169" s="207">
        <f t="shared" si="335"/>
        <v>0</v>
      </c>
      <c r="AK169" s="210">
        <f t="shared" si="336"/>
        <v>0</v>
      </c>
      <c r="AL169" s="211">
        <v>0</v>
      </c>
      <c r="AM169" s="209">
        <f t="shared" si="337"/>
        <v>0</v>
      </c>
      <c r="AN169" s="207">
        <v>0</v>
      </c>
      <c r="AO169" s="212">
        <f t="shared" si="338"/>
        <v>0</v>
      </c>
      <c r="AP169" s="212">
        <f t="shared" si="339"/>
        <v>0</v>
      </c>
      <c r="AQ169" s="207">
        <f t="shared" si="340"/>
        <v>0</v>
      </c>
      <c r="AR169" s="210">
        <f t="shared" si="341"/>
        <v>0</v>
      </c>
      <c r="AS169" s="213">
        <v>0</v>
      </c>
      <c r="AT169" s="209">
        <f t="shared" si="342"/>
        <v>0</v>
      </c>
      <c r="AU169" s="207">
        <v>0</v>
      </c>
      <c r="AV169" s="212">
        <v>0</v>
      </c>
      <c r="AW169" s="207">
        <v>0</v>
      </c>
      <c r="AX169" s="210">
        <f t="shared" si="343"/>
        <v>0</v>
      </c>
      <c r="AY169" s="213">
        <v>0</v>
      </c>
      <c r="AZ169" s="209" t="e">
        <f t="shared" si="344"/>
        <v>#N/A</v>
      </c>
      <c r="BA169" s="207">
        <v>0</v>
      </c>
      <c r="BB169" s="212">
        <f t="shared" si="345"/>
        <v>0</v>
      </c>
      <c r="BC169" s="212">
        <f t="shared" si="346"/>
        <v>0</v>
      </c>
      <c r="BD169" s="207">
        <v>0</v>
      </c>
      <c r="BE169" s="210">
        <f t="shared" si="347"/>
        <v>0</v>
      </c>
      <c r="BF169" s="206">
        <f t="shared" si="348"/>
        <v>0</v>
      </c>
      <c r="BG169" s="207">
        <f t="shared" si="349"/>
        <v>0</v>
      </c>
      <c r="BH169" s="160">
        <f t="shared" si="350"/>
        <v>0</v>
      </c>
      <c r="BI169" s="200"/>
      <c r="BJ169" s="462"/>
      <c r="BK169" s="462"/>
      <c r="BL169" s="462"/>
      <c r="BM169" s="463"/>
      <c r="BN169" s="463"/>
      <c r="BO169" s="463"/>
      <c r="BP169" s="462"/>
      <c r="BQ169" s="462"/>
      <c r="BR169" s="462"/>
      <c r="BS169" s="462"/>
      <c r="BT169" s="462"/>
      <c r="BU169" s="462"/>
      <c r="BV169" s="462"/>
      <c r="BW169" s="462"/>
      <c r="BX169" s="462"/>
      <c r="BY169" s="462"/>
      <c r="BZ169" s="462"/>
      <c r="CA169" s="462"/>
      <c r="CB169" s="464"/>
      <c r="CC169" s="462"/>
      <c r="CD169" s="462"/>
      <c r="CE169" s="464"/>
      <c r="CF169" s="464"/>
      <c r="CG169" s="464"/>
      <c r="CH169" s="464"/>
      <c r="CI169" s="462"/>
      <c r="CJ169" s="462"/>
      <c r="CK169" s="464"/>
      <c r="CL169" s="464"/>
      <c r="CM169" s="464"/>
      <c r="CN169" s="357"/>
      <c r="CO169" s="346"/>
      <c r="CP169" s="346"/>
      <c r="CQ169" s="171"/>
      <c r="CR169" s="171"/>
      <c r="CS169" s="171"/>
      <c r="CT169" s="171"/>
      <c r="CU169" s="171"/>
      <c r="CV169" s="171"/>
      <c r="CW169" s="171"/>
      <c r="CX169" s="171"/>
      <c r="CY169" s="171"/>
      <c r="CZ169" s="171"/>
      <c r="DA169" s="171"/>
      <c r="DB169" s="171"/>
      <c r="DC169" s="171"/>
      <c r="DD169" s="171"/>
      <c r="DE169" s="171"/>
      <c r="DF169" s="171"/>
      <c r="DG169" s="171"/>
      <c r="DH169" s="171"/>
      <c r="DI169" s="171"/>
      <c r="DJ169" s="171"/>
      <c r="DK169" s="171"/>
      <c r="DL169" s="171"/>
      <c r="DM169" s="171"/>
      <c r="DN169" s="171"/>
      <c r="DO169" s="171"/>
      <c r="DP169" s="171"/>
      <c r="DQ169" s="171"/>
      <c r="DR169" s="171"/>
      <c r="DS169" s="171"/>
      <c r="DT169" s="171"/>
      <c r="DU169" s="171"/>
      <c r="DV169" s="171"/>
      <c r="DW169" s="170"/>
      <c r="DX169" s="170"/>
      <c r="DY169" s="170"/>
      <c r="DZ169" s="170"/>
      <c r="EA169" s="170"/>
      <c r="EB169" s="170"/>
      <c r="EC169" s="170"/>
      <c r="ED169" s="170"/>
    </row>
    <row r="170" spans="1:134" s="147" customFormat="1" hidden="1" x14ac:dyDescent="0.25">
      <c r="A170" s="146"/>
      <c r="B170" s="742"/>
      <c r="C170" s="111"/>
      <c r="D170" s="205">
        <f t="shared" si="321"/>
        <v>0</v>
      </c>
      <c r="E170" s="390"/>
      <c r="F170" s="390"/>
      <c r="G170" s="390"/>
      <c r="H170" s="390"/>
      <c r="I170" s="390"/>
      <c r="J170" s="390"/>
      <c r="K170" s="390"/>
      <c r="L170" s="390"/>
      <c r="M170" s="390"/>
      <c r="N170" s="390"/>
      <c r="O170" s="390"/>
      <c r="P170" s="390"/>
      <c r="Q170" s="206">
        <f t="shared" si="322"/>
        <v>0</v>
      </c>
      <c r="R170" s="205">
        <f t="shared" si="323"/>
        <v>0</v>
      </c>
      <c r="S170" s="206">
        <f t="shared" si="324"/>
        <v>0</v>
      </c>
      <c r="T170" s="206">
        <f t="shared" si="325"/>
        <v>0</v>
      </c>
      <c r="U170" s="206">
        <f t="shared" si="326"/>
        <v>0</v>
      </c>
      <c r="V170" s="92"/>
      <c r="W170" s="207">
        <f t="shared" si="327"/>
        <v>0</v>
      </c>
      <c r="X170" s="213">
        <f t="shared" si="328"/>
        <v>0</v>
      </c>
      <c r="Y170" s="209">
        <f t="shared" si="329"/>
        <v>0</v>
      </c>
      <c r="Z170" s="207">
        <f t="shared" si="330"/>
        <v>0</v>
      </c>
      <c r="AA170" s="210">
        <f t="shared" si="351"/>
        <v>0</v>
      </c>
      <c r="AB170" s="210">
        <f t="shared" si="331"/>
        <v>0</v>
      </c>
      <c r="AC170" s="207">
        <f t="shared" si="352"/>
        <v>0</v>
      </c>
      <c r="AD170" s="210">
        <f t="shared" si="353"/>
        <v>0</v>
      </c>
      <c r="AE170" s="211">
        <v>0</v>
      </c>
      <c r="AF170" s="209">
        <f t="shared" si="332"/>
        <v>0</v>
      </c>
      <c r="AG170" s="207">
        <v>0</v>
      </c>
      <c r="AH170" s="212">
        <f t="shared" si="333"/>
        <v>0</v>
      </c>
      <c r="AI170" s="212">
        <f t="shared" si="334"/>
        <v>0</v>
      </c>
      <c r="AJ170" s="207">
        <f t="shared" si="335"/>
        <v>0</v>
      </c>
      <c r="AK170" s="210">
        <f t="shared" si="336"/>
        <v>0</v>
      </c>
      <c r="AL170" s="211">
        <v>0</v>
      </c>
      <c r="AM170" s="209">
        <f t="shared" si="337"/>
        <v>0</v>
      </c>
      <c r="AN170" s="207">
        <v>0</v>
      </c>
      <c r="AO170" s="212">
        <f t="shared" si="338"/>
        <v>0</v>
      </c>
      <c r="AP170" s="212">
        <f t="shared" si="339"/>
        <v>0</v>
      </c>
      <c r="AQ170" s="207">
        <f t="shared" si="340"/>
        <v>0</v>
      </c>
      <c r="AR170" s="210">
        <f t="shared" si="341"/>
        <v>0</v>
      </c>
      <c r="AS170" s="213">
        <v>0</v>
      </c>
      <c r="AT170" s="209">
        <f t="shared" si="342"/>
        <v>0</v>
      </c>
      <c r="AU170" s="207">
        <v>0</v>
      </c>
      <c r="AV170" s="212">
        <v>0</v>
      </c>
      <c r="AW170" s="207">
        <v>0</v>
      </c>
      <c r="AX170" s="210">
        <f t="shared" si="343"/>
        <v>0</v>
      </c>
      <c r="AY170" s="213">
        <v>0</v>
      </c>
      <c r="AZ170" s="209" t="e">
        <f t="shared" si="344"/>
        <v>#N/A</v>
      </c>
      <c r="BA170" s="207">
        <v>0</v>
      </c>
      <c r="BB170" s="212">
        <f t="shared" si="345"/>
        <v>0</v>
      </c>
      <c r="BC170" s="212">
        <f t="shared" si="346"/>
        <v>0</v>
      </c>
      <c r="BD170" s="207">
        <v>0</v>
      </c>
      <c r="BE170" s="210">
        <f t="shared" si="347"/>
        <v>0</v>
      </c>
      <c r="BF170" s="206">
        <f t="shared" si="348"/>
        <v>0</v>
      </c>
      <c r="BG170" s="207">
        <f t="shared" si="349"/>
        <v>0</v>
      </c>
      <c r="BH170" s="160">
        <f t="shared" si="350"/>
        <v>0</v>
      </c>
      <c r="BI170" s="200"/>
      <c r="BJ170" s="462"/>
      <c r="BK170" s="462"/>
      <c r="BL170" s="462"/>
      <c r="BM170" s="463"/>
      <c r="BN170" s="463"/>
      <c r="BO170" s="463"/>
      <c r="BP170" s="462"/>
      <c r="BQ170" s="462"/>
      <c r="BR170" s="462"/>
      <c r="BS170" s="462"/>
      <c r="BT170" s="462"/>
      <c r="BU170" s="462"/>
      <c r="BV170" s="462"/>
      <c r="BW170" s="462"/>
      <c r="BX170" s="462"/>
      <c r="BY170" s="462"/>
      <c r="BZ170" s="462"/>
      <c r="CA170" s="462"/>
      <c r="CB170" s="464"/>
      <c r="CC170" s="462"/>
      <c r="CD170" s="462"/>
      <c r="CE170" s="464"/>
      <c r="CF170" s="464"/>
      <c r="CG170" s="464"/>
      <c r="CH170" s="464"/>
      <c r="CI170" s="462"/>
      <c r="CJ170" s="462"/>
      <c r="CK170" s="464"/>
      <c r="CL170" s="464"/>
      <c r="CM170" s="464"/>
      <c r="CN170" s="357"/>
      <c r="CO170" s="346"/>
      <c r="CP170" s="346"/>
      <c r="CQ170" s="171"/>
      <c r="CR170" s="171"/>
      <c r="CS170" s="171"/>
      <c r="CT170" s="171"/>
      <c r="CU170" s="171"/>
      <c r="CV170" s="171"/>
      <c r="CW170" s="171"/>
      <c r="CX170" s="171"/>
      <c r="CY170" s="171"/>
      <c r="CZ170" s="171"/>
      <c r="DA170" s="171"/>
      <c r="DB170" s="171"/>
      <c r="DC170" s="171"/>
      <c r="DD170" s="171"/>
      <c r="DE170" s="171"/>
      <c r="DF170" s="171"/>
      <c r="DG170" s="171"/>
      <c r="DH170" s="171"/>
      <c r="DI170" s="171"/>
      <c r="DJ170" s="171"/>
      <c r="DK170" s="171"/>
      <c r="DL170" s="171"/>
      <c r="DM170" s="171"/>
      <c r="DN170" s="171"/>
      <c r="DO170" s="171"/>
      <c r="DP170" s="171"/>
      <c r="DQ170" s="171"/>
      <c r="DR170" s="171"/>
      <c r="DS170" s="171"/>
      <c r="DT170" s="171"/>
      <c r="DU170" s="171"/>
      <c r="DV170" s="171"/>
      <c r="DW170" s="170"/>
      <c r="DX170" s="170"/>
      <c r="DY170" s="170"/>
      <c r="DZ170" s="170"/>
      <c r="EA170" s="170"/>
      <c r="EB170" s="170"/>
      <c r="EC170" s="170"/>
      <c r="ED170" s="170"/>
    </row>
    <row r="171" spans="1:134" s="147" customFormat="1" hidden="1" x14ac:dyDescent="0.25">
      <c r="A171" s="146"/>
      <c r="B171" s="742"/>
      <c r="C171" s="111"/>
      <c r="D171" s="205">
        <f t="shared" si="321"/>
        <v>0</v>
      </c>
      <c r="E171" s="91"/>
      <c r="F171" s="91"/>
      <c r="G171" s="91"/>
      <c r="H171" s="91"/>
      <c r="I171" s="91"/>
      <c r="J171" s="91"/>
      <c r="K171" s="91"/>
      <c r="L171" s="91"/>
      <c r="M171" s="91"/>
      <c r="N171" s="91"/>
      <c r="O171" s="91"/>
      <c r="P171" s="91"/>
      <c r="Q171" s="206">
        <f t="shared" si="322"/>
        <v>0</v>
      </c>
      <c r="R171" s="205">
        <f t="shared" si="323"/>
        <v>0</v>
      </c>
      <c r="S171" s="206">
        <f t="shared" si="324"/>
        <v>0</v>
      </c>
      <c r="T171" s="206">
        <f t="shared" si="325"/>
        <v>0</v>
      </c>
      <c r="U171" s="206">
        <f t="shared" si="326"/>
        <v>0</v>
      </c>
      <c r="V171" s="92"/>
      <c r="W171" s="207">
        <f t="shared" si="327"/>
        <v>0</v>
      </c>
      <c r="X171" s="213">
        <f t="shared" si="328"/>
        <v>0</v>
      </c>
      <c r="Y171" s="209">
        <f t="shared" si="329"/>
        <v>0</v>
      </c>
      <c r="Z171" s="207">
        <f t="shared" si="330"/>
        <v>0</v>
      </c>
      <c r="AA171" s="210">
        <f t="shared" si="351"/>
        <v>0</v>
      </c>
      <c r="AB171" s="210">
        <f t="shared" si="331"/>
        <v>0</v>
      </c>
      <c r="AC171" s="207">
        <f t="shared" si="352"/>
        <v>0</v>
      </c>
      <c r="AD171" s="210">
        <f t="shared" si="353"/>
        <v>0</v>
      </c>
      <c r="AE171" s="211">
        <v>0</v>
      </c>
      <c r="AF171" s="209">
        <f t="shared" si="332"/>
        <v>0</v>
      </c>
      <c r="AG171" s="207">
        <v>0</v>
      </c>
      <c r="AH171" s="212">
        <f t="shared" si="333"/>
        <v>0</v>
      </c>
      <c r="AI171" s="212">
        <f t="shared" si="334"/>
        <v>0</v>
      </c>
      <c r="AJ171" s="207">
        <f t="shared" si="335"/>
        <v>0</v>
      </c>
      <c r="AK171" s="210">
        <f t="shared" si="336"/>
        <v>0</v>
      </c>
      <c r="AL171" s="211">
        <v>0</v>
      </c>
      <c r="AM171" s="209">
        <f t="shared" si="337"/>
        <v>0</v>
      </c>
      <c r="AN171" s="207">
        <v>0</v>
      </c>
      <c r="AO171" s="212">
        <f t="shared" si="338"/>
        <v>0</v>
      </c>
      <c r="AP171" s="212">
        <f t="shared" si="339"/>
        <v>0</v>
      </c>
      <c r="AQ171" s="207">
        <f t="shared" si="340"/>
        <v>0</v>
      </c>
      <c r="AR171" s="210">
        <f t="shared" si="341"/>
        <v>0</v>
      </c>
      <c r="AS171" s="213">
        <v>0</v>
      </c>
      <c r="AT171" s="209">
        <f t="shared" si="342"/>
        <v>0</v>
      </c>
      <c r="AU171" s="207">
        <v>0</v>
      </c>
      <c r="AV171" s="212">
        <v>0</v>
      </c>
      <c r="AW171" s="207">
        <v>0</v>
      </c>
      <c r="AX171" s="210">
        <f t="shared" si="343"/>
        <v>0</v>
      </c>
      <c r="AY171" s="213">
        <v>0</v>
      </c>
      <c r="AZ171" s="209" t="e">
        <f t="shared" si="344"/>
        <v>#N/A</v>
      </c>
      <c r="BA171" s="207">
        <v>0</v>
      </c>
      <c r="BB171" s="212">
        <f t="shared" si="345"/>
        <v>0</v>
      </c>
      <c r="BC171" s="212">
        <f t="shared" si="346"/>
        <v>0</v>
      </c>
      <c r="BD171" s="207">
        <v>0</v>
      </c>
      <c r="BE171" s="210">
        <f t="shared" si="347"/>
        <v>0</v>
      </c>
      <c r="BF171" s="206">
        <f t="shared" si="348"/>
        <v>0</v>
      </c>
      <c r="BG171" s="207">
        <f t="shared" si="349"/>
        <v>0</v>
      </c>
      <c r="BH171" s="160">
        <f t="shared" si="350"/>
        <v>0</v>
      </c>
      <c r="BI171" s="200"/>
      <c r="BJ171" s="462"/>
      <c r="BK171" s="462"/>
      <c r="BL171" s="462"/>
      <c r="BM171" s="463"/>
      <c r="BN171" s="463"/>
      <c r="BO171" s="463"/>
      <c r="BP171" s="462"/>
      <c r="BQ171" s="462"/>
      <c r="BR171" s="462"/>
      <c r="BS171" s="462"/>
      <c r="BT171" s="462"/>
      <c r="BU171" s="462"/>
      <c r="BV171" s="462"/>
      <c r="BW171" s="462"/>
      <c r="BX171" s="462"/>
      <c r="BY171" s="462"/>
      <c r="BZ171" s="462"/>
      <c r="CA171" s="462"/>
      <c r="CB171" s="464"/>
      <c r="CC171" s="462"/>
      <c r="CD171" s="462"/>
      <c r="CE171" s="464"/>
      <c r="CF171" s="464"/>
      <c r="CG171" s="464"/>
      <c r="CH171" s="464"/>
      <c r="CI171" s="462"/>
      <c r="CJ171" s="462"/>
      <c r="CK171" s="464"/>
      <c r="CL171" s="464"/>
      <c r="CM171" s="464"/>
      <c r="CN171" s="357"/>
      <c r="CO171" s="346"/>
      <c r="CP171" s="346"/>
      <c r="CQ171" s="171"/>
      <c r="CR171" s="171"/>
      <c r="CS171" s="171"/>
      <c r="CT171" s="171"/>
      <c r="CU171" s="171"/>
      <c r="CV171" s="171"/>
      <c r="CW171" s="171"/>
      <c r="CX171" s="171"/>
      <c r="CY171" s="171"/>
      <c r="CZ171" s="171"/>
      <c r="DA171" s="171"/>
      <c r="DB171" s="171"/>
      <c r="DC171" s="171"/>
      <c r="DD171" s="171"/>
      <c r="DE171" s="171"/>
      <c r="DF171" s="171"/>
      <c r="DG171" s="171"/>
      <c r="DH171" s="171"/>
      <c r="DI171" s="171"/>
      <c r="DJ171" s="171"/>
      <c r="DK171" s="171"/>
      <c r="DL171" s="171"/>
      <c r="DM171" s="171"/>
      <c r="DN171" s="171"/>
      <c r="DO171" s="171"/>
      <c r="DP171" s="171"/>
      <c r="DQ171" s="171"/>
      <c r="DR171" s="171"/>
      <c r="DS171" s="171"/>
      <c r="DT171" s="171"/>
      <c r="DU171" s="171"/>
      <c r="DV171" s="171"/>
      <c r="DW171" s="170"/>
      <c r="DX171" s="170"/>
      <c r="DY171" s="170"/>
      <c r="DZ171" s="170"/>
      <c r="EA171" s="170"/>
      <c r="EB171" s="170"/>
      <c r="EC171" s="170"/>
      <c r="ED171" s="170"/>
    </row>
    <row r="172" spans="1:134" s="147" customFormat="1" hidden="1" x14ac:dyDescent="0.25">
      <c r="A172" s="146"/>
      <c r="B172" s="742"/>
      <c r="C172" s="111"/>
      <c r="D172" s="205">
        <f t="shared" si="321"/>
        <v>0</v>
      </c>
      <c r="E172" s="91"/>
      <c r="F172" s="91"/>
      <c r="G172" s="91"/>
      <c r="H172" s="91"/>
      <c r="I172" s="91"/>
      <c r="J172" s="91"/>
      <c r="K172" s="91"/>
      <c r="L172" s="91"/>
      <c r="M172" s="91"/>
      <c r="N172" s="91"/>
      <c r="O172" s="91"/>
      <c r="P172" s="91"/>
      <c r="Q172" s="206">
        <f t="shared" si="322"/>
        <v>0</v>
      </c>
      <c r="R172" s="205">
        <f t="shared" si="323"/>
        <v>0</v>
      </c>
      <c r="S172" s="206">
        <f t="shared" si="324"/>
        <v>0</v>
      </c>
      <c r="T172" s="206">
        <f t="shared" si="325"/>
        <v>0</v>
      </c>
      <c r="U172" s="206">
        <f t="shared" si="326"/>
        <v>0</v>
      </c>
      <c r="V172" s="92"/>
      <c r="W172" s="207">
        <f t="shared" si="327"/>
        <v>0</v>
      </c>
      <c r="X172" s="213">
        <f t="shared" si="328"/>
        <v>0</v>
      </c>
      <c r="Y172" s="209">
        <f t="shared" si="329"/>
        <v>0</v>
      </c>
      <c r="Z172" s="207">
        <f t="shared" si="330"/>
        <v>0</v>
      </c>
      <c r="AA172" s="210">
        <f t="shared" si="351"/>
        <v>0</v>
      </c>
      <c r="AB172" s="210">
        <f t="shared" si="331"/>
        <v>0</v>
      </c>
      <c r="AC172" s="207">
        <f t="shared" si="352"/>
        <v>0</v>
      </c>
      <c r="AD172" s="210">
        <f t="shared" si="353"/>
        <v>0</v>
      </c>
      <c r="AE172" s="211">
        <v>0</v>
      </c>
      <c r="AF172" s="209">
        <f t="shared" si="332"/>
        <v>0</v>
      </c>
      <c r="AG172" s="207">
        <v>0</v>
      </c>
      <c r="AH172" s="212">
        <f t="shared" si="333"/>
        <v>0</v>
      </c>
      <c r="AI172" s="212">
        <f t="shared" si="334"/>
        <v>0</v>
      </c>
      <c r="AJ172" s="207">
        <f t="shared" si="335"/>
        <v>0</v>
      </c>
      <c r="AK172" s="210">
        <f t="shared" si="336"/>
        <v>0</v>
      </c>
      <c r="AL172" s="211">
        <v>0</v>
      </c>
      <c r="AM172" s="209">
        <f t="shared" si="337"/>
        <v>0</v>
      </c>
      <c r="AN172" s="207">
        <v>0</v>
      </c>
      <c r="AO172" s="212">
        <f t="shared" si="338"/>
        <v>0</v>
      </c>
      <c r="AP172" s="212">
        <f t="shared" si="339"/>
        <v>0</v>
      </c>
      <c r="AQ172" s="207">
        <f t="shared" si="340"/>
        <v>0</v>
      </c>
      <c r="AR172" s="210">
        <f t="shared" si="341"/>
        <v>0</v>
      </c>
      <c r="AS172" s="213">
        <v>0</v>
      </c>
      <c r="AT172" s="209">
        <f t="shared" si="342"/>
        <v>0</v>
      </c>
      <c r="AU172" s="207">
        <v>0</v>
      </c>
      <c r="AV172" s="212">
        <v>0</v>
      </c>
      <c r="AW172" s="207">
        <v>0</v>
      </c>
      <c r="AX172" s="210">
        <f t="shared" si="343"/>
        <v>0</v>
      </c>
      <c r="AY172" s="213">
        <v>0</v>
      </c>
      <c r="AZ172" s="209" t="e">
        <f t="shared" si="344"/>
        <v>#N/A</v>
      </c>
      <c r="BA172" s="207">
        <v>0</v>
      </c>
      <c r="BB172" s="212">
        <f t="shared" si="345"/>
        <v>0</v>
      </c>
      <c r="BC172" s="212">
        <f t="shared" si="346"/>
        <v>0</v>
      </c>
      <c r="BD172" s="207">
        <v>0</v>
      </c>
      <c r="BE172" s="210">
        <f t="shared" si="347"/>
        <v>0</v>
      </c>
      <c r="BF172" s="206">
        <f t="shared" si="348"/>
        <v>0</v>
      </c>
      <c r="BG172" s="207">
        <f t="shared" si="349"/>
        <v>0</v>
      </c>
      <c r="BH172" s="160">
        <f t="shared" si="350"/>
        <v>0</v>
      </c>
      <c r="BI172" s="200"/>
      <c r="BJ172" s="462"/>
      <c r="BK172" s="462"/>
      <c r="BL172" s="462"/>
      <c r="BM172" s="463"/>
      <c r="BN172" s="463"/>
      <c r="BO172" s="463"/>
      <c r="BP172" s="462"/>
      <c r="BQ172" s="462"/>
      <c r="BR172" s="462"/>
      <c r="BS172" s="462"/>
      <c r="BT172" s="462"/>
      <c r="BU172" s="462"/>
      <c r="BV172" s="462"/>
      <c r="BW172" s="462"/>
      <c r="BX172" s="462"/>
      <c r="BY172" s="462"/>
      <c r="BZ172" s="462"/>
      <c r="CA172" s="462"/>
      <c r="CB172" s="464"/>
      <c r="CC172" s="462"/>
      <c r="CD172" s="462"/>
      <c r="CE172" s="464"/>
      <c r="CF172" s="464"/>
      <c r="CG172" s="464"/>
      <c r="CH172" s="464"/>
      <c r="CI172" s="462"/>
      <c r="CJ172" s="462"/>
      <c r="CK172" s="464"/>
      <c r="CL172" s="464"/>
      <c r="CM172" s="464"/>
      <c r="CN172" s="357"/>
      <c r="CO172" s="346"/>
      <c r="CP172" s="346"/>
      <c r="CQ172" s="171"/>
      <c r="CR172" s="171"/>
      <c r="CS172" s="171"/>
      <c r="CT172" s="171"/>
      <c r="CU172" s="171"/>
      <c r="CV172" s="171"/>
      <c r="CW172" s="171"/>
      <c r="CX172" s="171"/>
      <c r="CY172" s="171"/>
      <c r="CZ172" s="171"/>
      <c r="DA172" s="171"/>
      <c r="DB172" s="171"/>
      <c r="DC172" s="171"/>
      <c r="DD172" s="171"/>
      <c r="DE172" s="171"/>
      <c r="DF172" s="171"/>
      <c r="DG172" s="171"/>
      <c r="DH172" s="171"/>
      <c r="DI172" s="171"/>
      <c r="DJ172" s="171"/>
      <c r="DK172" s="171"/>
      <c r="DL172" s="171"/>
      <c r="DM172" s="171"/>
      <c r="DN172" s="171"/>
      <c r="DO172" s="171"/>
      <c r="DP172" s="171"/>
      <c r="DQ172" s="171"/>
      <c r="DR172" s="171"/>
      <c r="DS172" s="171"/>
      <c r="DT172" s="171"/>
      <c r="DU172" s="171"/>
      <c r="DV172" s="171"/>
      <c r="DW172" s="170"/>
      <c r="DX172" s="170"/>
      <c r="DY172" s="170"/>
      <c r="DZ172" s="170"/>
      <c r="EA172" s="170"/>
      <c r="EB172" s="170"/>
      <c r="EC172" s="170"/>
      <c r="ED172" s="170"/>
    </row>
    <row r="173" spans="1:134" s="147" customFormat="1" hidden="1" x14ac:dyDescent="0.25">
      <c r="A173" s="146"/>
      <c r="B173" s="743"/>
      <c r="C173" s="111"/>
      <c r="D173" s="205">
        <f t="shared" si="321"/>
        <v>0</v>
      </c>
      <c r="E173" s="91"/>
      <c r="F173" s="91"/>
      <c r="G173" s="91"/>
      <c r="H173" s="91"/>
      <c r="I173" s="91"/>
      <c r="J173" s="91"/>
      <c r="K173" s="91"/>
      <c r="L173" s="91"/>
      <c r="M173" s="91"/>
      <c r="N173" s="91"/>
      <c r="O173" s="91"/>
      <c r="P173" s="91"/>
      <c r="Q173" s="206">
        <f t="shared" si="322"/>
        <v>0</v>
      </c>
      <c r="R173" s="205">
        <f t="shared" si="323"/>
        <v>0</v>
      </c>
      <c r="S173" s="206">
        <f t="shared" si="324"/>
        <v>0</v>
      </c>
      <c r="T173" s="206">
        <f t="shared" si="325"/>
        <v>0</v>
      </c>
      <c r="U173" s="206">
        <f t="shared" si="326"/>
        <v>0</v>
      </c>
      <c r="V173" s="92"/>
      <c r="W173" s="207">
        <f t="shared" si="327"/>
        <v>0</v>
      </c>
      <c r="X173" s="213">
        <f t="shared" si="328"/>
        <v>0</v>
      </c>
      <c r="Y173" s="209">
        <f t="shared" si="329"/>
        <v>0</v>
      </c>
      <c r="Z173" s="207">
        <f t="shared" si="330"/>
        <v>0</v>
      </c>
      <c r="AA173" s="210">
        <f t="shared" si="351"/>
        <v>0</v>
      </c>
      <c r="AB173" s="210">
        <f t="shared" si="331"/>
        <v>0</v>
      </c>
      <c r="AC173" s="207">
        <f t="shared" si="352"/>
        <v>0</v>
      </c>
      <c r="AD173" s="210">
        <f t="shared" si="353"/>
        <v>0</v>
      </c>
      <c r="AE173" s="211">
        <v>0</v>
      </c>
      <c r="AF173" s="209">
        <f t="shared" si="332"/>
        <v>0</v>
      </c>
      <c r="AG173" s="207">
        <v>0</v>
      </c>
      <c r="AH173" s="212">
        <f t="shared" si="333"/>
        <v>0</v>
      </c>
      <c r="AI173" s="212">
        <f t="shared" si="334"/>
        <v>0</v>
      </c>
      <c r="AJ173" s="207">
        <f t="shared" si="335"/>
        <v>0</v>
      </c>
      <c r="AK173" s="210">
        <f t="shared" si="336"/>
        <v>0</v>
      </c>
      <c r="AL173" s="211">
        <v>0</v>
      </c>
      <c r="AM173" s="209">
        <f t="shared" si="337"/>
        <v>0</v>
      </c>
      <c r="AN173" s="207">
        <v>0</v>
      </c>
      <c r="AO173" s="212">
        <f t="shared" si="338"/>
        <v>0</v>
      </c>
      <c r="AP173" s="212">
        <f t="shared" si="339"/>
        <v>0</v>
      </c>
      <c r="AQ173" s="207">
        <f t="shared" si="340"/>
        <v>0</v>
      </c>
      <c r="AR173" s="210">
        <f t="shared" si="341"/>
        <v>0</v>
      </c>
      <c r="AS173" s="213">
        <v>0</v>
      </c>
      <c r="AT173" s="209">
        <f t="shared" si="342"/>
        <v>0</v>
      </c>
      <c r="AU173" s="207">
        <v>0</v>
      </c>
      <c r="AV173" s="212">
        <v>0</v>
      </c>
      <c r="AW173" s="207">
        <v>0</v>
      </c>
      <c r="AX173" s="210">
        <f t="shared" si="343"/>
        <v>0</v>
      </c>
      <c r="AY173" s="213">
        <v>0</v>
      </c>
      <c r="AZ173" s="209" t="e">
        <f t="shared" si="344"/>
        <v>#N/A</v>
      </c>
      <c r="BA173" s="207">
        <v>0</v>
      </c>
      <c r="BB173" s="212">
        <f t="shared" si="345"/>
        <v>0</v>
      </c>
      <c r="BC173" s="212">
        <f t="shared" si="346"/>
        <v>0</v>
      </c>
      <c r="BD173" s="207">
        <v>0</v>
      </c>
      <c r="BE173" s="210">
        <f t="shared" si="347"/>
        <v>0</v>
      </c>
      <c r="BF173" s="206">
        <f t="shared" si="348"/>
        <v>0</v>
      </c>
      <c r="BG173" s="207">
        <f t="shared" si="349"/>
        <v>0</v>
      </c>
      <c r="BH173" s="160">
        <f t="shared" si="350"/>
        <v>0</v>
      </c>
      <c r="BI173" s="200"/>
      <c r="BJ173" s="462"/>
      <c r="BK173" s="462"/>
      <c r="BL173" s="462"/>
      <c r="BM173" s="463"/>
      <c r="BN173" s="463"/>
      <c r="BO173" s="463"/>
      <c r="BP173" s="462"/>
      <c r="BQ173" s="462"/>
      <c r="BR173" s="462"/>
      <c r="BS173" s="462"/>
      <c r="BT173" s="462"/>
      <c r="BU173" s="462"/>
      <c r="BV173" s="462"/>
      <c r="BW173" s="462"/>
      <c r="BX173" s="462"/>
      <c r="BY173" s="462"/>
      <c r="BZ173" s="462"/>
      <c r="CA173" s="462"/>
      <c r="CB173" s="464"/>
      <c r="CC173" s="462"/>
      <c r="CD173" s="462"/>
      <c r="CE173" s="464"/>
      <c r="CF173" s="464"/>
      <c r="CG173" s="464"/>
      <c r="CH173" s="464"/>
      <c r="CI173" s="462"/>
      <c r="CJ173" s="462"/>
      <c r="CK173" s="464"/>
      <c r="CL173" s="464"/>
      <c r="CM173" s="464"/>
      <c r="CN173" s="357"/>
      <c r="CO173" s="346"/>
      <c r="CP173" s="346"/>
      <c r="CQ173" s="171"/>
      <c r="CR173" s="171"/>
      <c r="CS173" s="171"/>
      <c r="CT173" s="171"/>
      <c r="CU173" s="171"/>
      <c r="CV173" s="171"/>
      <c r="CW173" s="171"/>
      <c r="CX173" s="171"/>
      <c r="CY173" s="171"/>
      <c r="CZ173" s="171"/>
      <c r="DA173" s="171"/>
      <c r="DB173" s="171"/>
      <c r="DC173" s="171"/>
      <c r="DD173" s="171"/>
      <c r="DE173" s="171"/>
      <c r="DF173" s="171"/>
      <c r="DG173" s="171"/>
      <c r="DH173" s="171"/>
      <c r="DI173" s="171"/>
      <c r="DJ173" s="171"/>
      <c r="DK173" s="171"/>
      <c r="DL173" s="171"/>
      <c r="DM173" s="171"/>
      <c r="DN173" s="171"/>
      <c r="DO173" s="171"/>
      <c r="DP173" s="171"/>
      <c r="DQ173" s="171"/>
      <c r="DR173" s="171"/>
      <c r="DS173" s="171"/>
      <c r="DT173" s="171"/>
      <c r="DU173" s="171"/>
      <c r="DV173" s="171"/>
      <c r="DW173" s="170"/>
      <c r="DX173" s="170"/>
      <c r="DY173" s="170"/>
      <c r="DZ173" s="170"/>
      <c r="EA173" s="170"/>
      <c r="EB173" s="170"/>
      <c r="EC173" s="170"/>
      <c r="ED173" s="170"/>
    </row>
    <row r="174" spans="1:134" s="147" customFormat="1" hidden="1" x14ac:dyDescent="0.25">
      <c r="A174" s="146"/>
      <c r="B174" s="216" t="s">
        <v>350</v>
      </c>
      <c r="C174" s="216"/>
      <c r="D174" s="216"/>
      <c r="E174" s="216"/>
      <c r="F174" s="216"/>
      <c r="G174" s="216"/>
      <c r="H174" s="216"/>
      <c r="I174" s="216"/>
      <c r="J174" s="216"/>
      <c r="K174" s="216"/>
      <c r="L174" s="216"/>
      <c r="M174" s="216"/>
      <c r="N174" s="216"/>
      <c r="O174" s="216"/>
      <c r="P174" s="216"/>
      <c r="Q174" s="216"/>
      <c r="R174" s="216"/>
      <c r="S174" s="216"/>
      <c r="T174" s="216"/>
      <c r="U174" s="216"/>
      <c r="V174" s="216"/>
      <c r="W174" s="216"/>
      <c r="X174" s="216"/>
      <c r="Y174" s="216"/>
      <c r="Z174" s="216"/>
      <c r="AA174" s="216"/>
      <c r="AB174" s="219">
        <f>SUM(AB162:AB173)</f>
        <v>0</v>
      </c>
      <c r="AC174" s="220">
        <f>IF(AB174&gt;0,SQRT(SUM(AD162:AD169))/AB174,0)</f>
        <v>0</v>
      </c>
      <c r="AD174" s="219">
        <f t="shared" si="353"/>
        <v>0</v>
      </c>
      <c r="AE174" s="216"/>
      <c r="AF174" s="216"/>
      <c r="AG174" s="216"/>
      <c r="AH174" s="216"/>
      <c r="AI174" s="219">
        <f>SUM(AI162:AI173)</f>
        <v>0</v>
      </c>
      <c r="AJ174" s="220">
        <f>IF(AI174&gt;0,SQRT(SUM(AK162:AK169))/AI174,0)</f>
        <v>0</v>
      </c>
      <c r="AK174" s="219">
        <f t="shared" si="336"/>
        <v>0</v>
      </c>
      <c r="AL174" s="216"/>
      <c r="AM174" s="216"/>
      <c r="AN174" s="216"/>
      <c r="AO174" s="216"/>
      <c r="AP174" s="219">
        <f>SUM(AP162:AP173)</f>
        <v>0</v>
      </c>
      <c r="AQ174" s="220">
        <f>IF(AP174&gt;0,SQRT(SUM(AR162:AR169))/AP174,0)</f>
        <v>0</v>
      </c>
      <c r="AR174" s="219">
        <f t="shared" si="341"/>
        <v>0</v>
      </c>
      <c r="AS174" s="216"/>
      <c r="AT174" s="216"/>
      <c r="AU174" s="216"/>
      <c r="AV174" s="219">
        <f>SUM(AV162:AV173)</f>
        <v>0</v>
      </c>
      <c r="AW174" s="220">
        <f>IF(AV174&gt;0,SQRT(SUM(AX162:AX169))/AV174,0)</f>
        <v>0</v>
      </c>
      <c r="AX174" s="219">
        <f t="shared" si="343"/>
        <v>0</v>
      </c>
      <c r="AY174" s="216"/>
      <c r="AZ174" s="216"/>
      <c r="BA174" s="216"/>
      <c r="BB174" s="224"/>
      <c r="BC174" s="219">
        <f>SUM(BC162:BC173)</f>
        <v>0</v>
      </c>
      <c r="BD174" s="220">
        <f>IF(BC174&gt;0,SQRT(SUM(BE162:BE169))/BC174,0)</f>
        <v>0</v>
      </c>
      <c r="BE174" s="219">
        <f t="shared" si="347"/>
        <v>0</v>
      </c>
      <c r="BF174" s="219">
        <f>SUM(BF162:BF173)</f>
        <v>0</v>
      </c>
      <c r="BG174" s="220">
        <f>IF(BF174&gt;0,SQRT(SUM(BH162:BH169))/BF174,0)</f>
        <v>0</v>
      </c>
      <c r="BH174" s="160">
        <f t="shared" ref="BH174:BH180" si="354">(BF174*BG174)^2</f>
        <v>0</v>
      </c>
      <c r="BI174" s="200"/>
      <c r="BJ174" s="462"/>
      <c r="BK174" s="462"/>
      <c r="BL174" s="462"/>
      <c r="BM174" s="463"/>
      <c r="BN174" s="463"/>
      <c r="BO174" s="463"/>
      <c r="BP174" s="462"/>
      <c r="BQ174" s="462"/>
      <c r="BR174" s="462"/>
      <c r="BS174" s="462"/>
      <c r="BT174" s="462"/>
      <c r="BU174" s="462"/>
      <c r="BV174" s="462"/>
      <c r="BW174" s="462"/>
      <c r="BX174" s="462"/>
      <c r="BY174" s="462"/>
      <c r="BZ174" s="462"/>
      <c r="CA174" s="462"/>
      <c r="CB174" s="464"/>
      <c r="CC174" s="462"/>
      <c r="CD174" s="462"/>
      <c r="CE174" s="464"/>
      <c r="CF174" s="464"/>
      <c r="CG174" s="464"/>
      <c r="CH174" s="464"/>
      <c r="CI174" s="462"/>
      <c r="CJ174" s="462"/>
      <c r="CK174" s="464"/>
      <c r="CL174" s="464"/>
      <c r="CM174" s="464"/>
      <c r="CN174" s="357"/>
      <c r="CO174" s="346"/>
      <c r="CP174" s="346"/>
      <c r="CQ174" s="171"/>
      <c r="CR174" s="171"/>
      <c r="CS174" s="171"/>
      <c r="CT174" s="171"/>
      <c r="CU174" s="171"/>
      <c r="CV174" s="171"/>
      <c r="CW174" s="171"/>
      <c r="CX174" s="171"/>
      <c r="CY174" s="171"/>
      <c r="CZ174" s="171"/>
      <c r="DA174" s="171"/>
      <c r="DB174" s="171"/>
      <c r="DC174" s="171"/>
      <c r="DD174" s="171"/>
      <c r="DE174" s="171"/>
      <c r="DF174" s="171"/>
      <c r="DG174" s="171"/>
      <c r="DH174" s="171"/>
      <c r="DI174" s="171"/>
      <c r="DJ174" s="171"/>
      <c r="DK174" s="171"/>
      <c r="DL174" s="171"/>
      <c r="DM174" s="171"/>
      <c r="DN174" s="171"/>
      <c r="DO174" s="171"/>
      <c r="DP174" s="171"/>
      <c r="DQ174" s="171"/>
      <c r="DR174" s="171"/>
      <c r="DS174" s="171"/>
      <c r="DT174" s="171"/>
      <c r="DU174" s="171"/>
      <c r="DV174" s="171"/>
      <c r="DW174" s="170"/>
      <c r="DX174" s="170"/>
      <c r="DY174" s="170"/>
      <c r="DZ174" s="170"/>
      <c r="EA174" s="170"/>
      <c r="EB174" s="170"/>
      <c r="EC174" s="170"/>
      <c r="ED174" s="170"/>
    </row>
    <row r="175" spans="1:134" s="147" customFormat="1" ht="52.5" customHeight="1" x14ac:dyDescent="0.25">
      <c r="A175" s="146"/>
      <c r="B175" s="738" t="s">
        <v>465</v>
      </c>
      <c r="C175" s="738"/>
      <c r="D175" s="205" t="s">
        <v>795</v>
      </c>
      <c r="E175" s="651">
        <v>31.877400000000002</v>
      </c>
      <c r="F175" s="309"/>
      <c r="G175" s="309"/>
      <c r="H175" s="309"/>
      <c r="I175" s="309"/>
      <c r="J175" s="309"/>
      <c r="K175" s="309"/>
      <c r="L175" s="309"/>
      <c r="M175" s="309"/>
      <c r="N175" s="309"/>
      <c r="O175" s="309"/>
      <c r="P175" s="309"/>
      <c r="Q175" s="309"/>
      <c r="R175" s="309"/>
      <c r="S175" s="309"/>
      <c r="T175" s="309"/>
      <c r="U175" s="309"/>
      <c r="V175" s="309"/>
      <c r="W175" s="309"/>
      <c r="X175" s="309"/>
      <c r="Y175" s="309"/>
      <c r="Z175" s="309"/>
      <c r="AA175" s="310"/>
      <c r="AB175" s="201">
        <f>BF175</f>
        <v>31.877400000000002</v>
      </c>
      <c r="AC175" s="220">
        <f>BG175</f>
        <v>7.0999999999999994E-2</v>
      </c>
      <c r="AD175" s="219">
        <f t="shared" si="353"/>
        <v>5.1225060676611607</v>
      </c>
      <c r="AE175" s="309"/>
      <c r="AF175" s="309"/>
      <c r="AG175" s="309"/>
      <c r="AH175" s="309"/>
      <c r="AI175" s="219">
        <v>0</v>
      </c>
      <c r="AJ175" s="220">
        <v>0</v>
      </c>
      <c r="AK175" s="219">
        <v>0</v>
      </c>
      <c r="AL175" s="309"/>
      <c r="AM175" s="309"/>
      <c r="AN175" s="309"/>
      <c r="AO175" s="309"/>
      <c r="AP175" s="219">
        <v>0</v>
      </c>
      <c r="AQ175" s="220">
        <v>0</v>
      </c>
      <c r="AR175" s="219">
        <v>0</v>
      </c>
      <c r="AS175" s="309"/>
      <c r="AT175" s="309"/>
      <c r="AU175" s="309"/>
      <c r="AV175" s="219">
        <v>0</v>
      </c>
      <c r="AW175" s="220">
        <v>0</v>
      </c>
      <c r="AX175" s="219">
        <v>0</v>
      </c>
      <c r="AY175" s="309"/>
      <c r="AZ175" s="309"/>
      <c r="BA175" s="309"/>
      <c r="BB175" s="203"/>
      <c r="BC175" s="219">
        <v>0</v>
      </c>
      <c r="BD175" s="220">
        <v>0</v>
      </c>
      <c r="BE175" s="219">
        <v>0</v>
      </c>
      <c r="BF175" s="219">
        <f>E175</f>
        <v>31.877400000000002</v>
      </c>
      <c r="BG175" s="220">
        <f>IF(BF175&gt;0,7.1%,0)</f>
        <v>7.0999999999999994E-2</v>
      </c>
      <c r="BH175" s="160">
        <f t="shared" si="354"/>
        <v>5.1225060676611607</v>
      </c>
      <c r="BI175" s="200"/>
      <c r="BJ175" s="462"/>
      <c r="BK175" s="462"/>
      <c r="BL175" s="462"/>
      <c r="BM175" s="463"/>
      <c r="BN175" s="463"/>
      <c r="BO175" s="463"/>
      <c r="BP175" s="462"/>
      <c r="BQ175" s="462"/>
      <c r="BR175" s="462"/>
      <c r="BS175" s="462"/>
      <c r="BT175" s="462"/>
      <c r="BU175" s="462"/>
      <c r="BV175" s="462"/>
      <c r="BW175" s="462"/>
      <c r="BX175" s="462"/>
      <c r="BY175" s="462"/>
      <c r="BZ175" s="462"/>
      <c r="CA175" s="462"/>
      <c r="CB175" s="464"/>
      <c r="CC175" s="462"/>
      <c r="CD175" s="462"/>
      <c r="CE175" s="464"/>
      <c r="CF175" s="464"/>
      <c r="CG175" s="464"/>
      <c r="CH175" s="464"/>
      <c r="CI175" s="462"/>
      <c r="CJ175" s="462"/>
      <c r="CK175" s="464"/>
      <c r="CL175" s="464"/>
      <c r="CM175" s="464"/>
      <c r="CN175" s="357"/>
      <c r="CO175" s="346"/>
      <c r="CP175" s="346"/>
      <c r="CQ175" s="171"/>
      <c r="CR175" s="171"/>
      <c r="CS175" s="171"/>
      <c r="CT175" s="171"/>
      <c r="CU175" s="171"/>
      <c r="CV175" s="171"/>
      <c r="CW175" s="171"/>
      <c r="CX175" s="171"/>
      <c r="CY175" s="171"/>
      <c r="CZ175" s="171"/>
      <c r="DA175" s="171"/>
      <c r="DB175" s="171"/>
      <c r="DC175" s="171"/>
      <c r="DD175" s="171"/>
      <c r="DE175" s="171"/>
      <c r="DF175" s="171"/>
      <c r="DG175" s="171"/>
      <c r="DH175" s="171"/>
      <c r="DI175" s="171"/>
      <c r="DJ175" s="171"/>
      <c r="DK175" s="171"/>
      <c r="DL175" s="171"/>
      <c r="DM175" s="171"/>
      <c r="DN175" s="171"/>
      <c r="DO175" s="171"/>
      <c r="DP175" s="171"/>
      <c r="DQ175" s="171"/>
      <c r="DR175" s="171"/>
      <c r="DS175" s="171"/>
      <c r="DT175" s="171"/>
      <c r="DU175" s="171"/>
      <c r="DV175" s="171"/>
      <c r="DW175" s="170"/>
      <c r="DX175" s="170"/>
      <c r="DY175" s="170"/>
      <c r="DZ175" s="170"/>
      <c r="EA175" s="170"/>
      <c r="EB175" s="170"/>
      <c r="EC175" s="170"/>
      <c r="ED175" s="170"/>
    </row>
    <row r="176" spans="1:134" s="147" customFormat="1" ht="15.75" x14ac:dyDescent="0.25">
      <c r="A176" s="146"/>
      <c r="B176" s="293" t="s">
        <v>161</v>
      </c>
      <c r="C176" s="311"/>
      <c r="D176" s="311"/>
      <c r="E176" s="311"/>
      <c r="F176" s="311"/>
      <c r="G176" s="311"/>
      <c r="H176" s="311"/>
      <c r="I176" s="311"/>
      <c r="J176" s="311"/>
      <c r="K176" s="311"/>
      <c r="L176" s="311"/>
      <c r="M176" s="311"/>
      <c r="N176" s="311"/>
      <c r="O176" s="311"/>
      <c r="P176" s="311"/>
      <c r="Q176" s="311"/>
      <c r="R176" s="311"/>
      <c r="S176" s="311"/>
      <c r="T176" s="311"/>
      <c r="U176" s="311"/>
      <c r="V176" s="311"/>
      <c r="W176" s="311"/>
      <c r="X176" s="311"/>
      <c r="Y176" s="311"/>
      <c r="Z176" s="311"/>
      <c r="AA176" s="311"/>
      <c r="AB176" s="312">
        <f>AB159+AB174+AB175</f>
        <v>140.37363529499999</v>
      </c>
      <c r="AC176" s="230">
        <f>IF(AB176&gt;0,SQRT(AD159+AD174+AD175)/AB176,0)</f>
        <v>0.38912762928751909</v>
      </c>
      <c r="AD176" s="312">
        <f t="shared" si="353"/>
        <v>2983.7005239398368</v>
      </c>
      <c r="AE176" s="311"/>
      <c r="AF176" s="311"/>
      <c r="AG176" s="311"/>
      <c r="AH176" s="311"/>
      <c r="AI176" s="312">
        <f>AI159+AI174+AI175</f>
        <v>0</v>
      </c>
      <c r="AJ176" s="230">
        <f>IF(AI176&gt;0,SQRT(AK159+AK174+AK175)/AI176,0)</f>
        <v>0</v>
      </c>
      <c r="AK176" s="312">
        <f>(AI176*AJ176)^2</f>
        <v>0</v>
      </c>
      <c r="AL176" s="311"/>
      <c r="AM176" s="311"/>
      <c r="AN176" s="311"/>
      <c r="AO176" s="311"/>
      <c r="AP176" s="312">
        <f>AP159+AP174+AP175</f>
        <v>0</v>
      </c>
      <c r="AQ176" s="230">
        <f>IF(AP176&gt;0,SQRT(AR159+AR174+AR175)/AP176,0)</f>
        <v>0</v>
      </c>
      <c r="AR176" s="312">
        <f>(AP176*AQ176)^2</f>
        <v>0</v>
      </c>
      <c r="AS176" s="311"/>
      <c r="AT176" s="311"/>
      <c r="AU176" s="311"/>
      <c r="AV176" s="312">
        <f>AV159+AV174+AV175</f>
        <v>0</v>
      </c>
      <c r="AW176" s="230">
        <f>IF(AV176&gt;0,SQRT(AX159+AX174+AX175)/AV176,0)</f>
        <v>0</v>
      </c>
      <c r="AX176" s="312">
        <f>(AV176*AW176)^2</f>
        <v>0</v>
      </c>
      <c r="AY176" s="311"/>
      <c r="AZ176" s="311"/>
      <c r="BA176" s="311"/>
      <c r="BB176" s="300"/>
      <c r="BC176" s="312">
        <f>BC159+BC174+BC175</f>
        <v>0</v>
      </c>
      <c r="BD176" s="230">
        <f>IF(BC176&gt;0,SQRT(BE159+BE174+BE175)/BC176,0)</f>
        <v>0</v>
      </c>
      <c r="BE176" s="312">
        <f>(BC176*BD176)^2</f>
        <v>0</v>
      </c>
      <c r="BF176" s="312">
        <f>BF159+BF174+BF175</f>
        <v>140.37363529499999</v>
      </c>
      <c r="BG176" s="230">
        <f>IF(BF176&gt;0,SQRT(BH159+BH174+BH175)/BF176,0)</f>
        <v>0.38912762928751909</v>
      </c>
      <c r="BH176" s="160">
        <f t="shared" si="354"/>
        <v>2983.7005239398368</v>
      </c>
      <c r="BI176" s="200"/>
      <c r="BJ176" s="462"/>
      <c r="BK176" s="462"/>
      <c r="BL176" s="462"/>
      <c r="BM176" s="463"/>
      <c r="BN176" s="463"/>
      <c r="BO176" s="463"/>
      <c r="BP176" s="462"/>
      <c r="BQ176" s="462"/>
      <c r="BR176" s="462"/>
      <c r="BS176" s="462"/>
      <c r="BT176" s="462"/>
      <c r="BU176" s="462"/>
      <c r="BV176" s="462"/>
      <c r="BW176" s="462"/>
      <c r="BX176" s="462"/>
      <c r="BY176" s="462"/>
      <c r="BZ176" s="462"/>
      <c r="CA176" s="462"/>
      <c r="CB176" s="464"/>
      <c r="CC176" s="462"/>
      <c r="CD176" s="462"/>
      <c r="CE176" s="464"/>
      <c r="CF176" s="464"/>
      <c r="CG176" s="464"/>
      <c r="CH176" s="464"/>
      <c r="CI176" s="462"/>
      <c r="CJ176" s="462"/>
      <c r="CK176" s="464"/>
      <c r="CL176" s="464"/>
      <c r="CM176" s="464"/>
      <c r="CN176" s="357"/>
      <c r="CO176" s="346"/>
      <c r="CP176" s="346"/>
      <c r="CQ176" s="171"/>
      <c r="CR176" s="171"/>
      <c r="CS176" s="171"/>
      <c r="CT176" s="171"/>
      <c r="CU176" s="171"/>
      <c r="CV176" s="171"/>
      <c r="CW176" s="171"/>
      <c r="CX176" s="171"/>
      <c r="CY176" s="171"/>
      <c r="CZ176" s="171"/>
      <c r="DA176" s="171"/>
      <c r="DB176" s="171"/>
      <c r="DC176" s="171"/>
      <c r="DD176" s="171"/>
      <c r="DE176" s="171"/>
      <c r="DF176" s="171"/>
      <c r="DG176" s="171"/>
      <c r="DH176" s="171"/>
      <c r="DI176" s="171"/>
      <c r="DJ176" s="171"/>
      <c r="DK176" s="171"/>
      <c r="DL176" s="171"/>
      <c r="DM176" s="171"/>
      <c r="DN176" s="171"/>
      <c r="DO176" s="171"/>
      <c r="DP176" s="171"/>
      <c r="DQ176" s="171"/>
      <c r="DR176" s="171"/>
      <c r="DS176" s="171"/>
      <c r="DT176" s="171"/>
      <c r="DU176" s="171"/>
      <c r="DV176" s="171"/>
      <c r="DW176" s="170"/>
      <c r="DX176" s="170"/>
      <c r="DY176" s="170"/>
      <c r="DZ176" s="170"/>
      <c r="EA176" s="170"/>
      <c r="EB176" s="170"/>
      <c r="EC176" s="170"/>
      <c r="ED176" s="170"/>
    </row>
    <row r="177" spans="1:134" s="147" customFormat="1" ht="15.75" x14ac:dyDescent="0.25">
      <c r="A177" s="146"/>
      <c r="B177" s="313"/>
      <c r="C177" s="313"/>
      <c r="D177" s="313"/>
      <c r="E177" s="313"/>
      <c r="F177" s="313"/>
      <c r="G177" s="313"/>
      <c r="H177" s="313"/>
      <c r="I177" s="313"/>
      <c r="J177" s="313"/>
      <c r="K177" s="313"/>
      <c r="L177" s="313"/>
      <c r="M177" s="313"/>
      <c r="N177" s="313"/>
      <c r="O177" s="313"/>
      <c r="P177" s="313"/>
      <c r="Q177" s="313"/>
      <c r="R177" s="313"/>
      <c r="S177" s="313"/>
      <c r="T177" s="313"/>
      <c r="U177" s="313"/>
      <c r="V177" s="313"/>
      <c r="W177" s="313"/>
      <c r="X177" s="313"/>
      <c r="Y177" s="313"/>
      <c r="Z177" s="313"/>
      <c r="AA177" s="313"/>
      <c r="AB177" s="314"/>
      <c r="AC177" s="304"/>
      <c r="AD177" s="314"/>
      <c r="AE177" s="313"/>
      <c r="AF177" s="313"/>
      <c r="AG177" s="313"/>
      <c r="AH177" s="313"/>
      <c r="AI177" s="314"/>
      <c r="AJ177" s="304"/>
      <c r="AK177" s="314"/>
      <c r="AL177" s="313"/>
      <c r="AM177" s="313"/>
      <c r="AN177" s="313"/>
      <c r="AO177" s="313"/>
      <c r="AP177" s="314"/>
      <c r="AQ177" s="304"/>
      <c r="AR177" s="314"/>
      <c r="AS177" s="313"/>
      <c r="AT177" s="313"/>
      <c r="AU177" s="313"/>
      <c r="AV177" s="314"/>
      <c r="AW177" s="304"/>
      <c r="AX177" s="314"/>
      <c r="AY177" s="313"/>
      <c r="AZ177" s="313"/>
      <c r="BA177" s="313"/>
      <c r="BB177" s="315"/>
      <c r="BC177" s="314"/>
      <c r="BD177" s="304"/>
      <c r="BE177" s="314"/>
      <c r="BF177" s="314"/>
      <c r="BG177" s="304"/>
      <c r="BH177" s="160"/>
      <c r="BI177" s="200"/>
      <c r="BJ177" s="462"/>
      <c r="BK177" s="462"/>
      <c r="BL177" s="462"/>
      <c r="BM177" s="463"/>
      <c r="BN177" s="463"/>
      <c r="BO177" s="463"/>
      <c r="BP177" s="462"/>
      <c r="BQ177" s="462"/>
      <c r="BR177" s="462"/>
      <c r="BS177" s="462"/>
      <c r="BT177" s="462"/>
      <c r="BU177" s="462"/>
      <c r="BV177" s="462"/>
      <c r="BW177" s="462"/>
      <c r="BX177" s="462"/>
      <c r="BY177" s="462"/>
      <c r="BZ177" s="462"/>
      <c r="CA177" s="462"/>
      <c r="CB177" s="464"/>
      <c r="CC177" s="462"/>
      <c r="CD177" s="462"/>
      <c r="CE177" s="464"/>
      <c r="CF177" s="464"/>
      <c r="CG177" s="464"/>
      <c r="CH177" s="464"/>
      <c r="CI177" s="462"/>
      <c r="CJ177" s="462"/>
      <c r="CK177" s="464"/>
      <c r="CL177" s="464"/>
      <c r="CM177" s="464"/>
      <c r="CN177" s="357"/>
      <c r="CO177" s="346"/>
      <c r="CP177" s="346"/>
      <c r="CQ177" s="171"/>
      <c r="CR177" s="171"/>
      <c r="CS177" s="171"/>
      <c r="CT177" s="171"/>
      <c r="CU177" s="171"/>
      <c r="CV177" s="171"/>
      <c r="CW177" s="171"/>
      <c r="CX177" s="171"/>
      <c r="CY177" s="171"/>
      <c r="CZ177" s="171"/>
      <c r="DA177" s="171"/>
      <c r="DB177" s="171"/>
      <c r="DC177" s="171"/>
      <c r="DD177" s="171"/>
      <c r="DE177" s="171"/>
      <c r="DF177" s="171"/>
      <c r="DG177" s="171"/>
      <c r="DH177" s="171"/>
      <c r="DI177" s="171"/>
      <c r="DJ177" s="171"/>
      <c r="DK177" s="171"/>
      <c r="DL177" s="171"/>
      <c r="DM177" s="171"/>
      <c r="DN177" s="171"/>
      <c r="DO177" s="171"/>
      <c r="DP177" s="171"/>
      <c r="DQ177" s="171"/>
      <c r="DR177" s="171"/>
      <c r="DS177" s="171"/>
      <c r="DT177" s="171"/>
      <c r="DU177" s="171"/>
      <c r="DV177" s="171"/>
      <c r="DW177" s="170"/>
      <c r="DX177" s="170"/>
      <c r="DY177" s="170"/>
      <c r="DZ177" s="170"/>
      <c r="EA177" s="170"/>
      <c r="EB177" s="170"/>
      <c r="EC177" s="170"/>
      <c r="ED177" s="170"/>
    </row>
    <row r="178" spans="1:134" s="147" customFormat="1" ht="30.75" customHeight="1" x14ac:dyDescent="0.25">
      <c r="A178" s="146"/>
      <c r="B178" s="316" t="s">
        <v>162</v>
      </c>
      <c r="C178" s="317"/>
      <c r="D178" s="317"/>
      <c r="E178" s="317"/>
      <c r="F178" s="317"/>
      <c r="G178" s="317"/>
      <c r="H178" s="317"/>
      <c r="I178" s="317"/>
      <c r="J178" s="317"/>
      <c r="K178" s="317"/>
      <c r="L178" s="317"/>
      <c r="M178" s="317"/>
      <c r="N178" s="317"/>
      <c r="O178" s="317"/>
      <c r="P178" s="317"/>
      <c r="Q178" s="317"/>
      <c r="R178" s="317"/>
      <c r="S178" s="317"/>
      <c r="T178" s="317"/>
      <c r="U178" s="317"/>
      <c r="V178" s="317"/>
      <c r="W178" s="317"/>
      <c r="X178" s="317"/>
      <c r="Y178" s="317"/>
      <c r="Z178" s="317"/>
      <c r="AA178" s="317"/>
      <c r="AB178" s="318">
        <f>AB123+AB150+AB159+AB174+AB175</f>
        <v>140.37363529499999</v>
      </c>
      <c r="AC178" s="319">
        <f>IF(AB178&gt;0,SQRT(AD123+AD150+AD176)/AB178,0)</f>
        <v>0.38912762928751909</v>
      </c>
      <c r="AD178" s="318">
        <f t="shared" si="353"/>
        <v>2983.7005239398368</v>
      </c>
      <c r="AE178" s="317"/>
      <c r="AF178" s="317"/>
      <c r="AG178" s="317"/>
      <c r="AH178" s="317"/>
      <c r="AI178" s="318">
        <f>AI123+AI150+AI159+AI174+AI175</f>
        <v>0</v>
      </c>
      <c r="AJ178" s="319">
        <f>IF(AI178&gt;0,SQRT(AK123+AK150+AK176)/AI178,0)</f>
        <v>0</v>
      </c>
      <c r="AK178" s="318">
        <f>(AI178*AJ178)^2</f>
        <v>0</v>
      </c>
      <c r="AL178" s="317"/>
      <c r="AM178" s="317"/>
      <c r="AN178" s="317"/>
      <c r="AO178" s="317"/>
      <c r="AP178" s="318">
        <f>AP123+AP150+AP159+AP174+AP175</f>
        <v>0</v>
      </c>
      <c r="AQ178" s="319">
        <f>IF(AP178&gt;0,SQRT(AR123+AR150+AR176)/AP178,0)</f>
        <v>0</v>
      </c>
      <c r="AR178" s="318">
        <f>(AP178*AQ178)^2</f>
        <v>0</v>
      </c>
      <c r="AS178" s="317"/>
      <c r="AT178" s="317"/>
      <c r="AU178" s="317"/>
      <c r="AV178" s="318">
        <f>AV123+AV150+AV159+AV174+AV175</f>
        <v>0</v>
      </c>
      <c r="AW178" s="319">
        <f>IF(AV178&gt;0,SQRT(AX123+AX150+AX176)/AV178,0)</f>
        <v>0</v>
      </c>
      <c r="AX178" s="318">
        <f>(AV178*AW178)^2</f>
        <v>0</v>
      </c>
      <c r="AY178" s="317"/>
      <c r="AZ178" s="317"/>
      <c r="BA178" s="317"/>
      <c r="BB178" s="320"/>
      <c r="BC178" s="318">
        <f>BC123+BC150+BC159+BC174+BC175</f>
        <v>0</v>
      </c>
      <c r="BD178" s="319">
        <f>IF(BC178&gt;0,SQRT(BE123+BE150+BE176)/BC178,0)</f>
        <v>0</v>
      </c>
      <c r="BE178" s="318">
        <f>(BC178*BD178)^2</f>
        <v>0</v>
      </c>
      <c r="BF178" s="321">
        <f>BF123+BF150+BF159+BF174+BF175</f>
        <v>140.37363529499999</v>
      </c>
      <c r="BG178" s="322">
        <f>IF(BF178&gt;0,SQRT(BH123+BH150+BH176)/BF178,0)</f>
        <v>0.38912762928751909</v>
      </c>
      <c r="BH178" s="160">
        <f t="shared" si="354"/>
        <v>2983.7005239398368</v>
      </c>
      <c r="BI178" s="200"/>
      <c r="BJ178" s="462"/>
      <c r="BK178" s="462"/>
      <c r="BL178" s="462"/>
      <c r="BM178" s="463"/>
      <c r="BN178" s="463"/>
      <c r="BO178" s="463"/>
      <c r="BP178" s="462"/>
      <c r="BQ178" s="462"/>
      <c r="BR178" s="462"/>
      <c r="BS178" s="462"/>
      <c r="BT178" s="462"/>
      <c r="BU178" s="462"/>
      <c r="BV178" s="462"/>
      <c r="BW178" s="462"/>
      <c r="BX178" s="462"/>
      <c r="BY178" s="462"/>
      <c r="BZ178" s="462"/>
      <c r="CA178" s="462"/>
      <c r="CB178" s="464"/>
      <c r="CC178" s="462"/>
      <c r="CD178" s="462"/>
      <c r="CE178" s="464"/>
      <c r="CF178" s="464"/>
      <c r="CG178" s="464"/>
      <c r="CH178" s="464"/>
      <c r="CI178" s="462"/>
      <c r="CJ178" s="462"/>
      <c r="CK178" s="464"/>
      <c r="CL178" s="464"/>
      <c r="CM178" s="464"/>
      <c r="CN178" s="357"/>
      <c r="CO178" s="346"/>
      <c r="CP178" s="346"/>
      <c r="CQ178" s="171"/>
      <c r="CR178" s="171"/>
      <c r="CS178" s="171"/>
      <c r="CT178" s="171"/>
      <c r="CU178" s="171"/>
      <c r="CV178" s="171"/>
      <c r="CW178" s="171"/>
      <c r="CX178" s="171"/>
      <c r="CY178" s="171"/>
      <c r="CZ178" s="171"/>
      <c r="DA178" s="171"/>
      <c r="DB178" s="171"/>
      <c r="DC178" s="171"/>
      <c r="DD178" s="171"/>
      <c r="DE178" s="171"/>
      <c r="DF178" s="171"/>
      <c r="DG178" s="171"/>
      <c r="DH178" s="171"/>
      <c r="DI178" s="171"/>
      <c r="DJ178" s="171"/>
      <c r="DK178" s="171"/>
      <c r="DL178" s="171"/>
      <c r="DM178" s="171"/>
      <c r="DN178" s="171"/>
      <c r="DO178" s="171"/>
      <c r="DP178" s="171"/>
      <c r="DQ178" s="171"/>
      <c r="DR178" s="171"/>
      <c r="DS178" s="171"/>
      <c r="DT178" s="171"/>
      <c r="DU178" s="171"/>
      <c r="DV178" s="171"/>
      <c r="DW178" s="170"/>
      <c r="DX178" s="170"/>
      <c r="DY178" s="170"/>
      <c r="DZ178" s="170"/>
      <c r="EA178" s="170"/>
      <c r="EB178" s="170"/>
      <c r="EC178" s="170"/>
      <c r="ED178" s="170"/>
    </row>
    <row r="179" spans="1:134" s="146" customFormat="1" ht="21" x14ac:dyDescent="0.25">
      <c r="B179" s="323"/>
      <c r="C179" s="323"/>
      <c r="D179" s="323"/>
      <c r="E179" s="324"/>
      <c r="F179" s="324"/>
      <c r="G179" s="324"/>
      <c r="H179" s="324"/>
      <c r="I179" s="324"/>
      <c r="J179" s="324"/>
      <c r="K179" s="324"/>
      <c r="L179" s="324"/>
      <c r="M179" s="324"/>
      <c r="N179" s="324"/>
      <c r="O179" s="324"/>
      <c r="P179" s="324"/>
      <c r="Q179" s="324"/>
      <c r="R179" s="325"/>
      <c r="S179" s="324"/>
      <c r="T179" s="324"/>
      <c r="U179" s="324"/>
      <c r="V179" s="326"/>
      <c r="W179" s="326"/>
      <c r="X179" s="323"/>
      <c r="Y179" s="323"/>
      <c r="Z179" s="326"/>
      <c r="AA179" s="327"/>
      <c r="AB179" s="327"/>
      <c r="AC179" s="326"/>
      <c r="AD179" s="327"/>
      <c r="AE179" s="328"/>
      <c r="AF179" s="323"/>
      <c r="AG179" s="326"/>
      <c r="AH179" s="329"/>
      <c r="AI179" s="329"/>
      <c r="AJ179" s="326"/>
      <c r="AK179" s="327"/>
      <c r="AL179" s="323"/>
      <c r="AM179" s="323"/>
      <c r="AN179" s="326"/>
      <c r="AO179" s="326"/>
      <c r="AP179" s="326"/>
      <c r="AQ179" s="326"/>
      <c r="AR179" s="327"/>
      <c r="AS179" s="323"/>
      <c r="AT179" s="323"/>
      <c r="AU179" s="326"/>
      <c r="AV179" s="327"/>
      <c r="AW179" s="326"/>
      <c r="AX179" s="327"/>
      <c r="AY179" s="323"/>
      <c r="AZ179" s="323"/>
      <c r="BA179" s="326"/>
      <c r="BB179" s="327"/>
      <c r="BC179" s="327"/>
      <c r="BD179" s="326"/>
      <c r="BE179" s="327"/>
      <c r="BF179" s="324"/>
      <c r="BG179" s="326"/>
      <c r="BH179" s="160">
        <f t="shared" si="354"/>
        <v>0</v>
      </c>
      <c r="BI179" s="458"/>
      <c r="BJ179" s="459"/>
      <c r="BK179" s="459"/>
      <c r="BL179" s="459"/>
      <c r="BM179" s="460"/>
      <c r="BN179" s="460"/>
      <c r="BO179" s="460"/>
      <c r="BP179" s="459"/>
      <c r="BQ179" s="459"/>
      <c r="BR179" s="459"/>
      <c r="BS179" s="459"/>
      <c r="BT179" s="459"/>
      <c r="BU179" s="459"/>
      <c r="BV179" s="459"/>
      <c r="BW179" s="459"/>
      <c r="BX179" s="459"/>
      <c r="BY179" s="459"/>
      <c r="BZ179" s="459"/>
      <c r="CA179" s="459"/>
      <c r="CB179" s="461"/>
      <c r="CC179" s="459"/>
      <c r="CD179" s="459"/>
      <c r="CE179" s="461"/>
      <c r="CF179" s="461"/>
      <c r="CG179" s="461"/>
      <c r="CH179" s="461"/>
      <c r="CI179" s="459"/>
      <c r="CJ179" s="459"/>
      <c r="CK179" s="461"/>
      <c r="CL179" s="461"/>
      <c r="CM179" s="461"/>
      <c r="CN179" s="355"/>
      <c r="CO179" s="396"/>
      <c r="CP179" s="396"/>
      <c r="CQ179" s="160"/>
      <c r="CR179" s="160"/>
      <c r="CS179" s="160"/>
      <c r="CT179" s="160"/>
      <c r="CU179" s="160"/>
      <c r="CV179" s="160"/>
      <c r="CW179" s="160"/>
      <c r="CX179" s="160"/>
      <c r="CY179" s="160"/>
      <c r="CZ179" s="160"/>
      <c r="DA179" s="160"/>
      <c r="DB179" s="160"/>
      <c r="DC179" s="160"/>
      <c r="DD179" s="160"/>
      <c r="DE179" s="160"/>
      <c r="DF179" s="160"/>
      <c r="DG179" s="160"/>
      <c r="DH179" s="160"/>
      <c r="DI179" s="160"/>
      <c r="DJ179" s="160"/>
      <c r="DK179" s="160"/>
      <c r="DL179" s="160"/>
      <c r="DM179" s="160"/>
      <c r="DN179" s="160"/>
      <c r="DO179" s="160"/>
      <c r="DP179" s="160"/>
      <c r="DQ179" s="160"/>
      <c r="DR179" s="160"/>
      <c r="DS179" s="160"/>
      <c r="DT179" s="160"/>
      <c r="DU179" s="160"/>
      <c r="DV179" s="160"/>
      <c r="DW179" s="161"/>
      <c r="DX179" s="161"/>
      <c r="DY179" s="161"/>
      <c r="DZ179" s="161"/>
      <c r="EA179" s="161"/>
      <c r="EB179" s="161"/>
      <c r="EC179" s="161"/>
      <c r="ED179" s="161"/>
    </row>
    <row r="180" spans="1:134" s="147" customFormat="1" ht="30.75" customHeight="1" x14ac:dyDescent="0.25">
      <c r="A180" s="146"/>
      <c r="B180" s="316" t="s">
        <v>163</v>
      </c>
      <c r="C180" s="330"/>
      <c r="D180" s="330"/>
      <c r="E180" s="330"/>
      <c r="F180" s="330"/>
      <c r="G180" s="330"/>
      <c r="H180" s="330"/>
      <c r="I180" s="330"/>
      <c r="J180" s="330"/>
      <c r="K180" s="330"/>
      <c r="L180" s="330"/>
      <c r="M180" s="330"/>
      <c r="N180" s="330"/>
      <c r="O180" s="330"/>
      <c r="P180" s="330"/>
      <c r="Q180" s="330"/>
      <c r="R180" s="330"/>
      <c r="S180" s="330"/>
      <c r="T180" s="330"/>
      <c r="U180" s="330"/>
      <c r="V180" s="330"/>
      <c r="W180" s="330"/>
      <c r="X180" s="330"/>
      <c r="Y180" s="330"/>
      <c r="Z180" s="330"/>
      <c r="AA180" s="330"/>
      <c r="AB180" s="318">
        <f>+AB95+AB99+AB178</f>
        <v>32710.112560037571</v>
      </c>
      <c r="AC180" s="319">
        <f>IF(AB180&gt;0,SQRT(AD95+AD99+AD178)/AB180,0)</f>
        <v>0.17218082666518283</v>
      </c>
      <c r="AD180" s="318">
        <f>(AB180*AC180)^2</f>
        <v>31720034.747140035</v>
      </c>
      <c r="AE180" s="330"/>
      <c r="AF180" s="330"/>
      <c r="AG180" s="330"/>
      <c r="AH180" s="330"/>
      <c r="AI180" s="318">
        <f>+AI95+AI99+AI178</f>
        <v>738.10957601807183</v>
      </c>
      <c r="AJ180" s="319">
        <f>IF(AI180&gt;0,SQRT(AK95+AK99+AK178)/AI180,0)</f>
        <v>0.85649399744892707</v>
      </c>
      <c r="AK180" s="318">
        <f>(AI180*AJ180)^2</f>
        <v>399659.67130018875</v>
      </c>
      <c r="AL180" s="330"/>
      <c r="AM180" s="330"/>
      <c r="AN180" s="330"/>
      <c r="AO180" s="330"/>
      <c r="AP180" s="318">
        <f>+AP95+AP99+AP178</f>
        <v>8.490944802460703</v>
      </c>
      <c r="AQ180" s="319">
        <f>IF(AP180&gt;0,SQRT(AR95+AR99+AR178)/AP180,0)</f>
        <v>0.12033394676657677</v>
      </c>
      <c r="AR180" s="318">
        <f>(AP180*AQ180)^2</f>
        <v>1.0439708143594963</v>
      </c>
      <c r="AS180" s="330"/>
      <c r="AT180" s="330"/>
      <c r="AU180" s="330"/>
      <c r="AV180" s="318">
        <f>+AV95+AV99+AV178</f>
        <v>94.563600000000037</v>
      </c>
      <c r="AW180" s="319">
        <f>IF(AV180&gt;0,SQRT(AX95+AX99+AX178)/AV180,0)</f>
        <v>0.50183457096061412</v>
      </c>
      <c r="AX180" s="318">
        <f>(AV180*AW180)^2</f>
        <v>2252.0039448300031</v>
      </c>
      <c r="AY180" s="330"/>
      <c r="AZ180" s="330"/>
      <c r="BA180" s="330"/>
      <c r="BB180" s="331"/>
      <c r="BC180" s="318">
        <f>+BC95+BC99+BC178</f>
        <v>0</v>
      </c>
      <c r="BD180" s="319">
        <f>IF(BC180&gt;0,SQRT(BE95+BE99+BE178)/BC180,0)</f>
        <v>0</v>
      </c>
      <c r="BE180" s="318">
        <f>(BC180*BD180)^2</f>
        <v>0</v>
      </c>
      <c r="BF180" s="332">
        <f>+BF95+BF99+BF178</f>
        <v>33551.276680858107</v>
      </c>
      <c r="BG180" s="333">
        <f>IF(BF180&gt;0,SQRT(BH95+BH99+BH178)/BF180,0)</f>
        <v>0.16892426019146004</v>
      </c>
      <c r="BH180" s="160">
        <f t="shared" si="354"/>
        <v>32121968.513496101</v>
      </c>
      <c r="BI180" s="200"/>
      <c r="BJ180" s="462"/>
      <c r="BK180" s="462"/>
      <c r="BL180" s="462"/>
      <c r="BM180" s="463"/>
      <c r="BN180" s="463"/>
      <c r="BO180" s="463"/>
      <c r="BP180" s="462"/>
      <c r="BQ180" s="462"/>
      <c r="BR180" s="462"/>
      <c r="BS180" s="462"/>
      <c r="BT180" s="462"/>
      <c r="BU180" s="462"/>
      <c r="BV180" s="462"/>
      <c r="BW180" s="462"/>
      <c r="BX180" s="462"/>
      <c r="BY180" s="462"/>
      <c r="BZ180" s="462"/>
      <c r="CA180" s="462"/>
      <c r="CB180" s="464"/>
      <c r="CC180" s="462"/>
      <c r="CD180" s="462"/>
      <c r="CE180" s="464"/>
      <c r="CF180" s="464"/>
      <c r="CG180" s="464"/>
      <c r="CH180" s="464"/>
      <c r="CI180" s="462"/>
      <c r="CJ180" s="462"/>
      <c r="CK180" s="464"/>
      <c r="CL180" s="464"/>
      <c r="CM180" s="464"/>
      <c r="CN180" s="357"/>
      <c r="CO180" s="346"/>
      <c r="CP180" s="346"/>
      <c r="CQ180" s="171"/>
      <c r="CR180" s="171"/>
      <c r="CS180" s="171"/>
      <c r="CT180" s="171"/>
      <c r="CU180" s="171"/>
      <c r="CV180" s="171"/>
      <c r="CW180" s="171"/>
      <c r="CX180" s="171"/>
      <c r="CY180" s="171"/>
      <c r="CZ180" s="171"/>
      <c r="DA180" s="171"/>
      <c r="DB180" s="171"/>
      <c r="DC180" s="171"/>
      <c r="DD180" s="171"/>
      <c r="DE180" s="171"/>
      <c r="DF180" s="171"/>
      <c r="DG180" s="171"/>
      <c r="DH180" s="171"/>
      <c r="DI180" s="171"/>
      <c r="DJ180" s="171"/>
      <c r="DK180" s="171"/>
      <c r="DL180" s="171"/>
      <c r="DM180" s="171"/>
      <c r="DN180" s="171"/>
      <c r="DO180" s="171"/>
      <c r="DP180" s="171"/>
      <c r="DQ180" s="171"/>
      <c r="DR180" s="171"/>
      <c r="DS180" s="171"/>
      <c r="DT180" s="171"/>
      <c r="DU180" s="171"/>
      <c r="DV180" s="171"/>
      <c r="DW180" s="170"/>
      <c r="DX180" s="170"/>
      <c r="DY180" s="170"/>
      <c r="DZ180" s="170"/>
      <c r="EA180" s="170"/>
      <c r="EB180" s="170"/>
      <c r="EC180" s="170"/>
      <c r="ED180" s="170"/>
    </row>
    <row r="181" spans="1:134" s="147" customFormat="1" ht="15.75" thickBot="1" x14ac:dyDescent="0.3">
      <c r="A181" s="146"/>
      <c r="E181" s="334"/>
      <c r="F181" s="334"/>
      <c r="G181" s="334"/>
      <c r="H181" s="334"/>
      <c r="I181" s="334"/>
      <c r="J181" s="334"/>
      <c r="K181" s="334"/>
      <c r="L181" s="334"/>
      <c r="M181" s="334"/>
      <c r="N181" s="334"/>
      <c r="O181" s="334"/>
      <c r="P181" s="334"/>
      <c r="Q181" s="334"/>
      <c r="R181" s="335"/>
      <c r="S181" s="334"/>
      <c r="T181" s="334"/>
      <c r="U181" s="334"/>
      <c r="V181" s="336"/>
      <c r="W181" s="336"/>
      <c r="Z181" s="336"/>
      <c r="AA181" s="337"/>
      <c r="AB181" s="337"/>
      <c r="AC181" s="336"/>
      <c r="AD181" s="337"/>
      <c r="AE181" s="338"/>
      <c r="AG181" s="336"/>
      <c r="AH181" s="339"/>
      <c r="AI181" s="339"/>
      <c r="AJ181" s="336"/>
      <c r="AK181" s="337"/>
      <c r="AN181" s="336"/>
      <c r="AO181" s="336"/>
      <c r="AP181" s="336"/>
      <c r="AQ181" s="336"/>
      <c r="AR181" s="337"/>
      <c r="AU181" s="336"/>
      <c r="AV181" s="337"/>
      <c r="AW181" s="336"/>
      <c r="AX181" s="337"/>
      <c r="BA181" s="336"/>
      <c r="BB181" s="337"/>
      <c r="BC181" s="337"/>
      <c r="BD181" s="336"/>
      <c r="BE181" s="337"/>
      <c r="BF181" s="334"/>
      <c r="BG181" s="336"/>
      <c r="BH181" s="160"/>
      <c r="BI181" s="200"/>
      <c r="BJ181" s="462"/>
      <c r="BK181" s="462"/>
      <c r="BL181" s="462"/>
      <c r="BM181" s="463"/>
      <c r="BN181" s="463"/>
      <c r="BO181" s="463"/>
      <c r="BP181" s="462"/>
      <c r="BQ181" s="462"/>
      <c r="BR181" s="462"/>
      <c r="BS181" s="462"/>
      <c r="BT181" s="462"/>
      <c r="BU181" s="462"/>
      <c r="BV181" s="462"/>
      <c r="BW181" s="462"/>
      <c r="BX181" s="462"/>
      <c r="BY181" s="462"/>
      <c r="BZ181" s="462"/>
      <c r="CA181" s="462"/>
      <c r="CB181" s="464"/>
      <c r="CC181" s="462"/>
      <c r="CD181" s="462"/>
      <c r="CE181" s="464"/>
      <c r="CF181" s="464"/>
      <c r="CG181" s="464"/>
      <c r="CH181" s="464"/>
      <c r="CI181" s="462"/>
      <c r="CJ181" s="462"/>
      <c r="CK181" s="464"/>
      <c r="CL181" s="464"/>
      <c r="CM181" s="464"/>
      <c r="CN181" s="357"/>
      <c r="CO181" s="346"/>
      <c r="CP181" s="346"/>
      <c r="CQ181" s="171"/>
      <c r="CR181" s="171"/>
      <c r="CS181" s="171"/>
      <c r="CT181" s="171"/>
      <c r="CU181" s="171"/>
      <c r="CV181" s="171"/>
      <c r="CW181" s="171"/>
      <c r="CX181" s="171"/>
      <c r="CY181" s="171"/>
      <c r="CZ181" s="171"/>
      <c r="DA181" s="171"/>
      <c r="DB181" s="171"/>
      <c r="DC181" s="171"/>
      <c r="DD181" s="171"/>
      <c r="DE181" s="171"/>
      <c r="DF181" s="171"/>
      <c r="DG181" s="171"/>
      <c r="DH181" s="171"/>
      <c r="DI181" s="171"/>
      <c r="DJ181" s="171"/>
      <c r="DK181" s="171"/>
      <c r="DL181" s="171"/>
      <c r="DM181" s="171"/>
      <c r="DN181" s="171"/>
      <c r="DO181" s="171"/>
      <c r="DP181" s="171"/>
      <c r="DQ181" s="171"/>
      <c r="DR181" s="171"/>
      <c r="DS181" s="171"/>
      <c r="DT181" s="171"/>
      <c r="DU181" s="171"/>
      <c r="DV181" s="171"/>
      <c r="DW181" s="170"/>
      <c r="DX181" s="170"/>
      <c r="DY181" s="170"/>
      <c r="DZ181" s="170"/>
      <c r="EA181" s="170"/>
      <c r="EB181" s="170"/>
      <c r="EC181" s="170"/>
      <c r="ED181" s="170"/>
    </row>
    <row r="182" spans="1:134" s="147" customFormat="1" ht="15.75" thickBot="1" x14ac:dyDescent="0.3">
      <c r="A182" s="146"/>
      <c r="B182" s="731" t="s">
        <v>261</v>
      </c>
      <c r="C182" s="732"/>
      <c r="E182" s="334"/>
      <c r="F182" s="334"/>
      <c r="G182" s="334"/>
      <c r="H182" s="334"/>
      <c r="I182" s="334"/>
      <c r="J182" s="334"/>
      <c r="K182" s="334"/>
      <c r="L182" s="334"/>
      <c r="M182" s="334"/>
      <c r="N182" s="334"/>
      <c r="O182" s="334"/>
      <c r="P182" s="334"/>
      <c r="Q182" s="334"/>
      <c r="R182" s="335"/>
      <c r="S182" s="334"/>
      <c r="T182" s="334"/>
      <c r="U182" s="334"/>
      <c r="V182" s="336"/>
      <c r="W182" s="336"/>
      <c r="Z182" s="336"/>
      <c r="AA182" s="337"/>
      <c r="AB182" s="337"/>
      <c r="AC182" s="336"/>
      <c r="AD182" s="337"/>
      <c r="AE182" s="338"/>
      <c r="AG182" s="336"/>
      <c r="AH182" s="339"/>
      <c r="AI182" s="339"/>
      <c r="AJ182" s="336"/>
      <c r="AK182" s="337"/>
      <c r="AN182" s="336"/>
      <c r="AO182" s="336"/>
      <c r="AP182" s="336"/>
      <c r="AQ182" s="336"/>
      <c r="AR182" s="337"/>
      <c r="AU182" s="336"/>
      <c r="AV182" s="337"/>
      <c r="AW182" s="336"/>
      <c r="AX182" s="337"/>
      <c r="BA182" s="336"/>
      <c r="BB182" s="337"/>
      <c r="BC182" s="337"/>
      <c r="BD182" s="336"/>
      <c r="BE182" s="337"/>
      <c r="BF182" s="334"/>
      <c r="BG182" s="336"/>
      <c r="BH182" s="160"/>
      <c r="BI182" s="200"/>
      <c r="BJ182" s="462"/>
      <c r="BK182" s="462"/>
      <c r="BL182" s="462"/>
      <c r="BM182" s="463"/>
      <c r="BN182" s="463"/>
      <c r="BO182" s="463"/>
      <c r="BP182" s="462"/>
      <c r="BQ182" s="462"/>
      <c r="BR182" s="462"/>
      <c r="BS182" s="462"/>
      <c r="BT182" s="462"/>
      <c r="BU182" s="462"/>
      <c r="BV182" s="462"/>
      <c r="BW182" s="462"/>
      <c r="BX182" s="462"/>
      <c r="BY182" s="462"/>
      <c r="BZ182" s="462"/>
      <c r="CA182" s="462"/>
      <c r="CB182" s="464"/>
      <c r="CC182" s="462"/>
      <c r="CD182" s="462"/>
      <c r="CE182" s="464"/>
      <c r="CF182" s="464"/>
      <c r="CG182" s="464"/>
      <c r="CH182" s="464"/>
      <c r="CI182" s="462"/>
      <c r="CJ182" s="462"/>
      <c r="CK182" s="464"/>
      <c r="CL182" s="464"/>
      <c r="CM182" s="464"/>
      <c r="CN182" s="357"/>
      <c r="CO182" s="346"/>
      <c r="CP182" s="346"/>
      <c r="CQ182" s="171"/>
      <c r="CR182" s="171"/>
      <c r="CS182" s="171"/>
      <c r="CT182" s="171"/>
      <c r="CU182" s="171"/>
      <c r="CV182" s="171"/>
      <c r="CW182" s="171"/>
      <c r="CX182" s="171"/>
      <c r="CY182" s="171"/>
      <c r="CZ182" s="171"/>
      <c r="DA182" s="171"/>
      <c r="DB182" s="171"/>
      <c r="DC182" s="171"/>
      <c r="DD182" s="171"/>
      <c r="DE182" s="171"/>
      <c r="DF182" s="171"/>
      <c r="DG182" s="171"/>
      <c r="DH182" s="171"/>
      <c r="DI182" s="171"/>
      <c r="DJ182" s="171"/>
      <c r="DK182" s="171"/>
      <c r="DL182" s="171"/>
      <c r="DM182" s="171"/>
      <c r="DN182" s="171"/>
      <c r="DO182" s="171"/>
      <c r="DP182" s="171"/>
      <c r="DQ182" s="171"/>
      <c r="DR182" s="171"/>
      <c r="DS182" s="171"/>
      <c r="DT182" s="171"/>
      <c r="DU182" s="171"/>
      <c r="DV182" s="171"/>
      <c r="DW182" s="170"/>
      <c r="DX182" s="170"/>
      <c r="DY182" s="170"/>
      <c r="DZ182" s="170"/>
      <c r="EA182" s="170"/>
      <c r="EB182" s="170"/>
      <c r="EC182" s="170"/>
      <c r="ED182" s="170"/>
    </row>
    <row r="184" spans="1:134" hidden="1" x14ac:dyDescent="0.25"/>
    <row r="185" spans="1:134" hidden="1" x14ac:dyDescent="0.25"/>
    <row r="186" spans="1:134" hidden="1" x14ac:dyDescent="0.25"/>
    <row r="187" spans="1:134" hidden="1" x14ac:dyDescent="0.25"/>
    <row r="188" spans="1:134" hidden="1" x14ac:dyDescent="0.25"/>
    <row r="189" spans="1:134" hidden="1" x14ac:dyDescent="0.25"/>
    <row r="190" spans="1:134" hidden="1" x14ac:dyDescent="0.25"/>
    <row r="191" spans="1:134" hidden="1" x14ac:dyDescent="0.25"/>
    <row r="192" spans="1:134" hidden="1" x14ac:dyDescent="0.25"/>
    <row r="193" spans="1:94" s="344" customFormat="1" hidden="1" x14ac:dyDescent="0.25">
      <c r="A193" s="342"/>
      <c r="V193" s="346"/>
      <c r="AA193" s="347"/>
      <c r="AB193" s="347"/>
      <c r="AD193" s="347"/>
      <c r="AE193" s="348"/>
      <c r="AH193" s="349"/>
      <c r="AI193" s="349"/>
      <c r="AK193" s="347"/>
      <c r="AR193" s="347"/>
      <c r="AV193" s="347"/>
      <c r="AX193" s="347"/>
      <c r="BB193" s="347"/>
      <c r="BC193" s="347"/>
      <c r="BE193" s="347"/>
      <c r="BH193" s="342"/>
      <c r="BI193" s="345"/>
      <c r="BJ193" s="473"/>
      <c r="BK193" s="473"/>
      <c r="BL193" s="473"/>
      <c r="BM193" s="463"/>
      <c r="BN193" s="463"/>
      <c r="BO193" s="463"/>
      <c r="BP193" s="474"/>
      <c r="BQ193" s="474"/>
      <c r="BR193" s="474"/>
      <c r="BS193" s="474"/>
      <c r="BT193" s="474"/>
      <c r="BU193" s="474"/>
      <c r="BV193" s="473"/>
      <c r="BW193" s="474"/>
      <c r="BX193" s="474"/>
      <c r="BY193" s="473"/>
      <c r="BZ193" s="473"/>
      <c r="CA193" s="473"/>
      <c r="CB193" s="475"/>
      <c r="CC193" s="474"/>
      <c r="CD193" s="474"/>
      <c r="CE193" s="475"/>
      <c r="CF193" s="475"/>
      <c r="CG193" s="475"/>
      <c r="CH193" s="475"/>
      <c r="CI193" s="474"/>
      <c r="CJ193" s="474"/>
      <c r="CK193" s="475"/>
      <c r="CL193" s="475"/>
      <c r="CM193" s="475"/>
      <c r="CN193" s="360"/>
      <c r="CO193" s="346"/>
      <c r="CP193" s="346"/>
    </row>
    <row r="194" spans="1:94" s="344" customFormat="1" ht="15.75" hidden="1" thickBot="1" x14ac:dyDescent="0.3">
      <c r="A194" s="342"/>
      <c r="V194" s="346"/>
      <c r="AA194" s="347"/>
      <c r="AB194" s="347"/>
      <c r="AD194" s="347"/>
      <c r="AE194" s="348"/>
      <c r="AH194" s="349"/>
      <c r="AI194" s="349"/>
      <c r="AK194" s="347"/>
      <c r="AR194" s="347"/>
      <c r="AV194" s="347"/>
      <c r="AX194" s="347"/>
      <c r="BB194" s="347"/>
      <c r="BC194" s="347"/>
      <c r="BE194" s="347"/>
      <c r="BH194" s="342"/>
      <c r="BI194" s="345">
        <v>1</v>
      </c>
      <c r="BJ194" s="473">
        <v>2</v>
      </c>
      <c r="BK194" s="473">
        <v>3</v>
      </c>
      <c r="BL194" s="473">
        <v>4</v>
      </c>
      <c r="BM194" s="473">
        <v>5</v>
      </c>
      <c r="BN194" s="473">
        <v>6</v>
      </c>
      <c r="BO194" s="473">
        <v>7</v>
      </c>
      <c r="BP194" s="473">
        <v>8</v>
      </c>
      <c r="BQ194" s="473">
        <v>9</v>
      </c>
      <c r="BR194" s="473">
        <v>10</v>
      </c>
      <c r="BS194" s="473">
        <v>11</v>
      </c>
      <c r="BT194" s="473">
        <v>12</v>
      </c>
      <c r="BU194" s="473">
        <v>13</v>
      </c>
      <c r="BV194" s="473">
        <v>14</v>
      </c>
      <c r="BW194" s="473">
        <v>15</v>
      </c>
      <c r="BX194" s="473">
        <v>16</v>
      </c>
      <c r="BY194" s="473">
        <v>17</v>
      </c>
      <c r="BZ194" s="473">
        <v>18</v>
      </c>
      <c r="CA194" s="473">
        <v>19</v>
      </c>
      <c r="CB194" s="473">
        <v>20</v>
      </c>
      <c r="CC194" s="473">
        <v>21</v>
      </c>
      <c r="CD194" s="473">
        <v>22</v>
      </c>
      <c r="CE194" s="473">
        <v>23</v>
      </c>
      <c r="CF194" s="473">
        <v>24</v>
      </c>
      <c r="CG194" s="473">
        <v>25</v>
      </c>
      <c r="CH194" s="473">
        <v>26</v>
      </c>
      <c r="CI194" s="473">
        <v>27</v>
      </c>
      <c r="CJ194" s="473">
        <v>28</v>
      </c>
      <c r="CK194" s="473">
        <v>29</v>
      </c>
      <c r="CL194" s="473">
        <v>30</v>
      </c>
      <c r="CM194" s="473">
        <v>31</v>
      </c>
      <c r="CN194" s="359">
        <v>32</v>
      </c>
      <c r="CO194" s="581">
        <v>33</v>
      </c>
      <c r="CP194" s="581">
        <v>34</v>
      </c>
    </row>
    <row r="195" spans="1:94" s="344" customFormat="1" ht="26.25" hidden="1" customHeight="1" thickBot="1" x14ac:dyDescent="0.3">
      <c r="A195" s="342"/>
      <c r="V195" s="346"/>
      <c r="AA195" s="347"/>
      <c r="AB195" s="347"/>
      <c r="AD195" s="347"/>
      <c r="AE195" s="348"/>
      <c r="AH195" s="349"/>
      <c r="AI195" s="349"/>
      <c r="AK195" s="347"/>
      <c r="AR195" s="347"/>
      <c r="AV195" s="347"/>
      <c r="AX195" s="347"/>
      <c r="BB195" s="347"/>
      <c r="BC195" s="347"/>
      <c r="BE195" s="347"/>
      <c r="BF195" s="350"/>
      <c r="BG195" s="351"/>
      <c r="BH195" s="351"/>
      <c r="BI195" s="497"/>
      <c r="BJ195" s="498"/>
      <c r="BK195" s="733" t="s">
        <v>796</v>
      </c>
      <c r="BL195" s="498"/>
      <c r="BM195" s="733" t="s">
        <v>392</v>
      </c>
      <c r="BN195" s="733" t="s">
        <v>392</v>
      </c>
      <c r="BO195" s="733" t="s">
        <v>399</v>
      </c>
      <c r="BP195" s="735" t="s">
        <v>318</v>
      </c>
      <c r="BQ195" s="736"/>
      <c r="BR195" s="736"/>
      <c r="BS195" s="736"/>
      <c r="BT195" s="736"/>
      <c r="BU195" s="736"/>
      <c r="BV195" s="736"/>
      <c r="BW195" s="736"/>
      <c r="BX195" s="736"/>
      <c r="BY195" s="736"/>
      <c r="BZ195" s="736"/>
      <c r="CA195" s="737"/>
      <c r="CB195" s="735" t="s">
        <v>319</v>
      </c>
      <c r="CC195" s="736"/>
      <c r="CD195" s="736"/>
      <c r="CE195" s="736"/>
      <c r="CF195" s="736"/>
      <c r="CG195" s="736"/>
      <c r="CH195" s="736"/>
      <c r="CI195" s="736"/>
      <c r="CJ195" s="736"/>
      <c r="CK195" s="736"/>
      <c r="CL195" s="736"/>
      <c r="CM195" s="737"/>
      <c r="CN195" s="360"/>
      <c r="CO195" s="346" t="s">
        <v>454</v>
      </c>
      <c r="CP195" s="346"/>
    </row>
    <row r="196" spans="1:94" s="344" customFormat="1" ht="58.5" hidden="1" customHeight="1" thickBot="1" x14ac:dyDescent="0.3">
      <c r="A196" s="342"/>
      <c r="V196" s="346"/>
      <c r="X196" s="350"/>
      <c r="Y196" s="350"/>
      <c r="Z196" s="350"/>
      <c r="AA196" s="353"/>
      <c r="AB196" s="353"/>
      <c r="AC196" s="350"/>
      <c r="AD196" s="353"/>
      <c r="AE196" s="352"/>
      <c r="AF196" s="350"/>
      <c r="AG196" s="350"/>
      <c r="AH196" s="354"/>
      <c r="AI196" s="354"/>
      <c r="AJ196" s="350"/>
      <c r="AK196" s="353"/>
      <c r="AL196" s="350"/>
      <c r="AM196" s="350"/>
      <c r="AN196" s="350"/>
      <c r="AO196" s="350"/>
      <c r="AP196" s="350"/>
      <c r="AQ196" s="350"/>
      <c r="AR196" s="353"/>
      <c r="AS196" s="350"/>
      <c r="AT196" s="350"/>
      <c r="AU196" s="350"/>
      <c r="AV196" s="353"/>
      <c r="AW196" s="350"/>
      <c r="AX196" s="353"/>
      <c r="AY196" s="350"/>
      <c r="AZ196" s="350"/>
      <c r="BA196" s="350"/>
      <c r="BB196" s="353"/>
      <c r="BC196" s="353"/>
      <c r="BD196" s="350"/>
      <c r="BE196" s="353"/>
      <c r="BF196" s="350"/>
      <c r="BG196" s="350"/>
      <c r="BH196" s="350"/>
      <c r="BI196" s="497" t="s">
        <v>547</v>
      </c>
      <c r="BJ196" s="499" t="s">
        <v>412</v>
      </c>
      <c r="BK196" s="734"/>
      <c r="BL196" s="499" t="s">
        <v>410</v>
      </c>
      <c r="BM196" s="734"/>
      <c r="BN196" s="734"/>
      <c r="BO196" s="734"/>
      <c r="BP196" s="500" t="s">
        <v>797</v>
      </c>
      <c r="BQ196" s="500" t="s">
        <v>798</v>
      </c>
      <c r="BR196" s="499" t="s">
        <v>410</v>
      </c>
      <c r="BS196" s="500" t="s">
        <v>392</v>
      </c>
      <c r="BT196" s="500" t="s">
        <v>392</v>
      </c>
      <c r="BU196" s="500" t="s">
        <v>399</v>
      </c>
      <c r="BV196" s="500" t="s">
        <v>424</v>
      </c>
      <c r="BW196" s="500" t="s">
        <v>799</v>
      </c>
      <c r="BX196" s="499" t="s">
        <v>410</v>
      </c>
      <c r="BY196" s="500" t="s">
        <v>392</v>
      </c>
      <c r="BZ196" s="500" t="s">
        <v>392</v>
      </c>
      <c r="CA196" s="500" t="s">
        <v>399</v>
      </c>
      <c r="CB196" s="500" t="s">
        <v>425</v>
      </c>
      <c r="CC196" s="500" t="s">
        <v>798</v>
      </c>
      <c r="CD196" s="499" t="s">
        <v>410</v>
      </c>
      <c r="CE196" s="500" t="s">
        <v>392</v>
      </c>
      <c r="CF196" s="500" t="s">
        <v>392</v>
      </c>
      <c r="CG196" s="500" t="s">
        <v>399</v>
      </c>
      <c r="CH196" s="500" t="s">
        <v>424</v>
      </c>
      <c r="CI196" s="500" t="s">
        <v>799</v>
      </c>
      <c r="CJ196" s="499" t="s">
        <v>410</v>
      </c>
      <c r="CK196" s="500" t="s">
        <v>392</v>
      </c>
      <c r="CL196" s="500" t="s">
        <v>392</v>
      </c>
      <c r="CM196" s="500" t="s">
        <v>399</v>
      </c>
      <c r="CN196" s="360"/>
      <c r="CO196" s="346" t="s">
        <v>455</v>
      </c>
      <c r="CP196" s="346" t="s">
        <v>456</v>
      </c>
    </row>
    <row r="197" spans="1:94" s="344" customFormat="1" ht="16.5" hidden="1" customHeight="1" thickBot="1" x14ac:dyDescent="0.3">
      <c r="A197" s="342"/>
      <c r="V197" s="346"/>
      <c r="X197" s="350"/>
      <c r="Y197" s="350"/>
      <c r="Z197" s="350"/>
      <c r="AA197" s="353"/>
      <c r="AB197" s="353"/>
      <c r="AC197" s="350"/>
      <c r="AD197" s="353"/>
      <c r="AE197" s="352"/>
      <c r="AF197" s="350"/>
      <c r="AG197" s="350"/>
      <c r="AH197" s="354"/>
      <c r="AI197" s="354"/>
      <c r="AJ197" s="350"/>
      <c r="AK197" s="353"/>
      <c r="AL197" s="350"/>
      <c r="AM197" s="350"/>
      <c r="AN197" s="350"/>
      <c r="AO197" s="350"/>
      <c r="AP197" s="350"/>
      <c r="AQ197" s="350"/>
      <c r="AR197" s="353"/>
      <c r="AS197" s="350"/>
      <c r="AT197" s="350"/>
      <c r="AU197" s="350"/>
      <c r="AV197" s="353"/>
      <c r="AW197" s="350"/>
      <c r="AX197" s="353"/>
      <c r="AY197" s="350"/>
      <c r="AZ197" s="350"/>
      <c r="BA197" s="350"/>
      <c r="BB197" s="353"/>
      <c r="BC197" s="353"/>
      <c r="BD197" s="350"/>
      <c r="BE197" s="353"/>
      <c r="BF197" s="350"/>
      <c r="BG197" s="350"/>
      <c r="BH197" s="350"/>
      <c r="BI197" s="501" t="s">
        <v>69</v>
      </c>
      <c r="BJ197" s="502" t="s">
        <v>800</v>
      </c>
      <c r="BK197" s="502">
        <v>2534.8130000000001</v>
      </c>
      <c r="BL197" s="502" t="s">
        <v>801</v>
      </c>
      <c r="BM197" s="503">
        <v>2.64E-3</v>
      </c>
      <c r="BN197" s="503">
        <v>2.64E-3</v>
      </c>
      <c r="BO197" s="503" t="s">
        <v>400</v>
      </c>
      <c r="BP197" s="502">
        <v>28.760200000000001</v>
      </c>
      <c r="BQ197" s="502">
        <f>BP197/1000</f>
        <v>2.87602E-2</v>
      </c>
      <c r="BR197" s="502" t="s">
        <v>802</v>
      </c>
      <c r="BS197" s="504">
        <v>3.0000000000000001E-3</v>
      </c>
      <c r="BT197" s="504">
        <v>0.03</v>
      </c>
      <c r="BU197" s="502" t="s">
        <v>401</v>
      </c>
      <c r="BV197" s="502">
        <v>43.1404</v>
      </c>
      <c r="BW197" s="502">
        <f>BV197/1000</f>
        <v>4.3140400000000002E-2</v>
      </c>
      <c r="BX197" s="502" t="s">
        <v>803</v>
      </c>
      <c r="BY197" s="504">
        <v>5.0000000000000001E-3</v>
      </c>
      <c r="BZ197" s="504">
        <v>0.05</v>
      </c>
      <c r="CA197" s="502" t="s">
        <v>401</v>
      </c>
      <c r="CB197" s="502">
        <v>0</v>
      </c>
      <c r="CC197" s="502">
        <f>CB197/1000</f>
        <v>0</v>
      </c>
      <c r="CD197" s="502" t="s">
        <v>802</v>
      </c>
      <c r="CE197" s="504">
        <v>0</v>
      </c>
      <c r="CF197" s="504">
        <v>0</v>
      </c>
      <c r="CG197" s="502" t="s">
        <v>401</v>
      </c>
      <c r="CH197" s="502">
        <v>0</v>
      </c>
      <c r="CI197" s="502">
        <f>CH197/1000</f>
        <v>0</v>
      </c>
      <c r="CJ197" s="502" t="s">
        <v>803</v>
      </c>
      <c r="CK197" s="504">
        <v>0</v>
      </c>
      <c r="CL197" s="504">
        <v>0</v>
      </c>
      <c r="CM197" s="502" t="s">
        <v>401</v>
      </c>
      <c r="CN197" s="360"/>
      <c r="CO197" s="346">
        <v>0.15</v>
      </c>
      <c r="CP197" s="346">
        <v>0.2</v>
      </c>
    </row>
    <row r="198" spans="1:94" s="344" customFormat="1" ht="16.5" hidden="1" customHeight="1" thickBot="1" x14ac:dyDescent="0.3">
      <c r="A198" s="342"/>
      <c r="V198" s="346"/>
      <c r="X198" s="350"/>
      <c r="Y198" s="350"/>
      <c r="Z198" s="350"/>
      <c r="AA198" s="353"/>
      <c r="AB198" s="353"/>
      <c r="AC198" s="350"/>
      <c r="AD198" s="353"/>
      <c r="AE198" s="352"/>
      <c r="AF198" s="350"/>
      <c r="AG198" s="350"/>
      <c r="AH198" s="354"/>
      <c r="AI198" s="354"/>
      <c r="AJ198" s="350"/>
      <c r="AK198" s="353"/>
      <c r="AL198" s="350"/>
      <c r="AM198" s="350"/>
      <c r="AN198" s="350"/>
      <c r="AO198" s="350"/>
      <c r="AP198" s="350"/>
      <c r="AQ198" s="350"/>
      <c r="AR198" s="353"/>
      <c r="AS198" s="350"/>
      <c r="AT198" s="350"/>
      <c r="AU198" s="350"/>
      <c r="AV198" s="353"/>
      <c r="AW198" s="350"/>
      <c r="AX198" s="353"/>
      <c r="AY198" s="350"/>
      <c r="AZ198" s="350"/>
      <c r="BA198" s="350"/>
      <c r="BB198" s="353"/>
      <c r="BC198" s="353"/>
      <c r="BD198" s="350"/>
      <c r="BE198" s="353"/>
      <c r="BF198" s="350"/>
      <c r="BG198" s="350"/>
      <c r="BH198" s="350"/>
      <c r="BI198" s="505" t="s">
        <v>370</v>
      </c>
      <c r="BJ198" s="502" t="s">
        <v>804</v>
      </c>
      <c r="BK198" s="482">
        <v>2160.7550000000001</v>
      </c>
      <c r="BL198" s="502" t="s">
        <v>801</v>
      </c>
      <c r="BM198" s="504">
        <v>3.0399999999999997E-3</v>
      </c>
      <c r="BN198" s="504">
        <v>3.0399999999999997E-3</v>
      </c>
      <c r="BO198" s="503" t="s">
        <v>400</v>
      </c>
      <c r="BP198" s="506">
        <v>26.622399999999999</v>
      </c>
      <c r="BQ198" s="502">
        <f t="shared" ref="BQ198:BQ221" si="355">BP198/1000</f>
        <v>2.6622399999999997E-2</v>
      </c>
      <c r="BR198" s="502" t="s">
        <v>805</v>
      </c>
      <c r="BS198" s="504">
        <v>3.0000000000000001E-3</v>
      </c>
      <c r="BT198" s="504">
        <v>0.03</v>
      </c>
      <c r="BU198" s="502" t="s">
        <v>401</v>
      </c>
      <c r="BV198" s="482">
        <v>39.933500000000002</v>
      </c>
      <c r="BW198" s="502">
        <f t="shared" ref="BW198:BW221" si="356">BV198/1000</f>
        <v>3.9933500000000004E-2</v>
      </c>
      <c r="BX198" s="502" t="s">
        <v>803</v>
      </c>
      <c r="BY198" s="504">
        <v>5.0000000000000001E-3</v>
      </c>
      <c r="BZ198" s="504">
        <v>0.05</v>
      </c>
      <c r="CA198" s="502" t="s">
        <v>401</v>
      </c>
      <c r="CB198" s="502">
        <v>0</v>
      </c>
      <c r="CC198" s="502">
        <f t="shared" ref="CC198:CC221" si="357">CB198/1000</f>
        <v>0</v>
      </c>
      <c r="CD198" s="502" t="s">
        <v>802</v>
      </c>
      <c r="CE198" s="504">
        <v>0</v>
      </c>
      <c r="CF198" s="504">
        <v>0</v>
      </c>
      <c r="CG198" s="502" t="s">
        <v>401</v>
      </c>
      <c r="CH198" s="482">
        <v>0</v>
      </c>
      <c r="CI198" s="502">
        <f t="shared" ref="CI198:CI221" si="358">CH198/1000</f>
        <v>0</v>
      </c>
      <c r="CJ198" s="502" t="s">
        <v>803</v>
      </c>
      <c r="CK198" s="504">
        <v>0</v>
      </c>
      <c r="CL198" s="504">
        <v>0</v>
      </c>
      <c r="CM198" s="502" t="s">
        <v>401</v>
      </c>
      <c r="CN198" s="360"/>
      <c r="CO198" s="346">
        <v>0.15</v>
      </c>
      <c r="CP198" s="346">
        <v>0.2</v>
      </c>
    </row>
    <row r="199" spans="1:94" s="344" customFormat="1" ht="16.5" hidden="1" customHeight="1" thickBot="1" x14ac:dyDescent="0.3">
      <c r="A199" s="342"/>
      <c r="V199" s="346"/>
      <c r="X199" s="350"/>
      <c r="Y199" s="350"/>
      <c r="Z199" s="350"/>
      <c r="AA199" s="353"/>
      <c r="AB199" s="353"/>
      <c r="AC199" s="350"/>
      <c r="AD199" s="353"/>
      <c r="AE199" s="352"/>
      <c r="AF199" s="350"/>
      <c r="AG199" s="350"/>
      <c r="AH199" s="354"/>
      <c r="AI199" s="354"/>
      <c r="AJ199" s="350"/>
      <c r="AK199" s="353"/>
      <c r="AL199" s="350"/>
      <c r="AM199" s="350"/>
      <c r="AN199" s="350"/>
      <c r="AO199" s="350"/>
      <c r="AP199" s="350"/>
      <c r="AQ199" s="350"/>
      <c r="AR199" s="353"/>
      <c r="AS199" s="350"/>
      <c r="AT199" s="350"/>
      <c r="AU199" s="350"/>
      <c r="AV199" s="353"/>
      <c r="AW199" s="350"/>
      <c r="AX199" s="353"/>
      <c r="AY199" s="350"/>
      <c r="AZ199" s="350"/>
      <c r="BA199" s="350"/>
      <c r="BB199" s="353"/>
      <c r="BC199" s="353"/>
      <c r="BD199" s="350"/>
      <c r="BE199" s="353"/>
      <c r="BF199" s="350"/>
      <c r="BG199" s="350"/>
      <c r="BH199" s="350"/>
      <c r="BI199" s="505" t="s">
        <v>371</v>
      </c>
      <c r="BJ199" s="502" t="s">
        <v>804</v>
      </c>
      <c r="BK199" s="482">
        <v>2894.0590000000002</v>
      </c>
      <c r="BL199" s="502" t="s">
        <v>801</v>
      </c>
      <c r="BM199" s="504">
        <v>2.3499999999999997E-3</v>
      </c>
      <c r="BN199" s="504">
        <v>2.3499999999999997E-3</v>
      </c>
      <c r="BO199" s="503" t="s">
        <v>400</v>
      </c>
      <c r="BP199" s="506">
        <v>30.416899999999998</v>
      </c>
      <c r="BQ199" s="502">
        <f t="shared" si="355"/>
        <v>3.0416899999999997E-2</v>
      </c>
      <c r="BR199" s="502" t="s">
        <v>802</v>
      </c>
      <c r="BS199" s="504">
        <v>3.0000000000000001E-3</v>
      </c>
      <c r="BT199" s="504">
        <v>0.03</v>
      </c>
      <c r="BU199" s="502" t="s">
        <v>401</v>
      </c>
      <c r="BV199" s="482">
        <v>45.625300000000003</v>
      </c>
      <c r="BW199" s="502">
        <f t="shared" si="356"/>
        <v>4.5625300000000001E-2</v>
      </c>
      <c r="BX199" s="502" t="s">
        <v>803</v>
      </c>
      <c r="BY199" s="504">
        <v>5.0000000000000001E-3</v>
      </c>
      <c r="BZ199" s="504">
        <v>0.05</v>
      </c>
      <c r="CA199" s="502" t="s">
        <v>401</v>
      </c>
      <c r="CB199" s="502">
        <v>0</v>
      </c>
      <c r="CC199" s="502">
        <f t="shared" si="357"/>
        <v>0</v>
      </c>
      <c r="CD199" s="502" t="s">
        <v>802</v>
      </c>
      <c r="CE199" s="504">
        <v>0</v>
      </c>
      <c r="CF199" s="504">
        <v>0</v>
      </c>
      <c r="CG199" s="502" t="s">
        <v>401</v>
      </c>
      <c r="CH199" s="482">
        <v>0</v>
      </c>
      <c r="CI199" s="502">
        <f t="shared" si="358"/>
        <v>0</v>
      </c>
      <c r="CJ199" s="502" t="s">
        <v>803</v>
      </c>
      <c r="CK199" s="504">
        <v>0</v>
      </c>
      <c r="CL199" s="504">
        <v>0</v>
      </c>
      <c r="CM199" s="502" t="s">
        <v>401</v>
      </c>
      <c r="CN199" s="360"/>
      <c r="CO199" s="346">
        <v>0.15</v>
      </c>
      <c r="CP199" s="346">
        <v>0.2</v>
      </c>
    </row>
    <row r="200" spans="1:94" s="344" customFormat="1" ht="16.5" hidden="1" customHeight="1" thickBot="1" x14ac:dyDescent="0.3">
      <c r="A200" s="342"/>
      <c r="V200" s="346"/>
      <c r="X200" s="350"/>
      <c r="Y200" s="350"/>
      <c r="Z200" s="350"/>
      <c r="AA200" s="353"/>
      <c r="AB200" s="353"/>
      <c r="AC200" s="350"/>
      <c r="AD200" s="353"/>
      <c r="AE200" s="352"/>
      <c r="AF200" s="350"/>
      <c r="AG200" s="350"/>
      <c r="AH200" s="354"/>
      <c r="AI200" s="354"/>
      <c r="AJ200" s="350"/>
      <c r="AK200" s="353"/>
      <c r="AL200" s="350"/>
      <c r="AM200" s="350"/>
      <c r="AN200" s="350"/>
      <c r="AO200" s="350"/>
      <c r="AP200" s="350"/>
      <c r="AQ200" s="350"/>
      <c r="AR200" s="353"/>
      <c r="AS200" s="350"/>
      <c r="AT200" s="350"/>
      <c r="AU200" s="350"/>
      <c r="AV200" s="353"/>
      <c r="AW200" s="350"/>
      <c r="AX200" s="353"/>
      <c r="AY200" s="350"/>
      <c r="AZ200" s="350"/>
      <c r="BA200" s="350"/>
      <c r="BB200" s="353"/>
      <c r="BC200" s="353"/>
      <c r="BD200" s="350"/>
      <c r="BE200" s="353"/>
      <c r="BF200" s="350"/>
      <c r="BG200" s="350"/>
      <c r="BH200" s="350"/>
      <c r="BI200" s="505" t="s">
        <v>372</v>
      </c>
      <c r="BJ200" s="502" t="s">
        <v>804</v>
      </c>
      <c r="BK200" s="482">
        <v>2214.4580000000001</v>
      </c>
      <c r="BL200" s="502" t="s">
        <v>801</v>
      </c>
      <c r="BM200" s="504">
        <v>2.9299999999999999E-3</v>
      </c>
      <c r="BN200" s="504">
        <v>2.9299999999999999E-3</v>
      </c>
      <c r="BO200" s="503" t="s">
        <v>400</v>
      </c>
      <c r="BP200" s="506">
        <v>29.170200000000001</v>
      </c>
      <c r="BQ200" s="502">
        <f t="shared" si="355"/>
        <v>2.91702E-2</v>
      </c>
      <c r="BR200" s="502" t="s">
        <v>802</v>
      </c>
      <c r="BS200" s="504">
        <v>3.0000000000000001E-3</v>
      </c>
      <c r="BT200" s="504">
        <v>0.03</v>
      </c>
      <c r="BU200" s="502" t="s">
        <v>401</v>
      </c>
      <c r="BV200" s="482">
        <v>43.755299999999998</v>
      </c>
      <c r="BW200" s="502">
        <f t="shared" si="356"/>
        <v>4.3755299999999997E-2</v>
      </c>
      <c r="BX200" s="502" t="s">
        <v>803</v>
      </c>
      <c r="BY200" s="504">
        <v>5.0000000000000001E-3</v>
      </c>
      <c r="BZ200" s="504">
        <v>0.05</v>
      </c>
      <c r="CA200" s="502" t="s">
        <v>401</v>
      </c>
      <c r="CB200" s="502">
        <v>0</v>
      </c>
      <c r="CC200" s="502">
        <f t="shared" si="357"/>
        <v>0</v>
      </c>
      <c r="CD200" s="502" t="s">
        <v>802</v>
      </c>
      <c r="CE200" s="504">
        <v>0</v>
      </c>
      <c r="CF200" s="504">
        <v>0</v>
      </c>
      <c r="CG200" s="502" t="s">
        <v>401</v>
      </c>
      <c r="CH200" s="482">
        <v>0</v>
      </c>
      <c r="CI200" s="502">
        <f t="shared" si="358"/>
        <v>0</v>
      </c>
      <c r="CJ200" s="502" t="s">
        <v>803</v>
      </c>
      <c r="CK200" s="504">
        <v>0</v>
      </c>
      <c r="CL200" s="504">
        <v>0</v>
      </c>
      <c r="CM200" s="502" t="s">
        <v>401</v>
      </c>
      <c r="CN200" s="360"/>
      <c r="CO200" s="346">
        <v>0.15</v>
      </c>
      <c r="CP200" s="346">
        <v>0.2</v>
      </c>
    </row>
    <row r="201" spans="1:94" s="344" customFormat="1" ht="16.5" hidden="1" customHeight="1" thickBot="1" x14ac:dyDescent="0.3">
      <c r="A201" s="342"/>
      <c r="V201" s="346"/>
      <c r="X201" s="350"/>
      <c r="Y201" s="350"/>
      <c r="Z201" s="350"/>
      <c r="AA201" s="353"/>
      <c r="AB201" s="353"/>
      <c r="AC201" s="350"/>
      <c r="AD201" s="353"/>
      <c r="AE201" s="352"/>
      <c r="AF201" s="350"/>
      <c r="AG201" s="350"/>
      <c r="AH201" s="354"/>
      <c r="AI201" s="354"/>
      <c r="AJ201" s="350"/>
      <c r="AK201" s="353"/>
      <c r="AL201" s="350"/>
      <c r="AM201" s="350"/>
      <c r="AN201" s="350"/>
      <c r="AO201" s="350"/>
      <c r="AP201" s="350"/>
      <c r="AQ201" s="350"/>
      <c r="AR201" s="353"/>
      <c r="AS201" s="350"/>
      <c r="AT201" s="350"/>
      <c r="AU201" s="350"/>
      <c r="AV201" s="353"/>
      <c r="AW201" s="350"/>
      <c r="AX201" s="353"/>
      <c r="AY201" s="350"/>
      <c r="AZ201" s="350"/>
      <c r="BA201" s="350"/>
      <c r="BB201" s="353"/>
      <c r="BC201" s="353"/>
      <c r="BD201" s="350"/>
      <c r="BE201" s="353"/>
      <c r="BF201" s="350"/>
      <c r="BG201" s="350"/>
      <c r="BH201" s="350"/>
      <c r="BI201" s="505" t="s">
        <v>373</v>
      </c>
      <c r="BJ201" s="502" t="s">
        <v>804</v>
      </c>
      <c r="BK201" s="482">
        <v>2507.6329999999998</v>
      </c>
      <c r="BL201" s="502" t="s">
        <v>801</v>
      </c>
      <c r="BM201" s="504">
        <v>2.6099999999999999E-3</v>
      </c>
      <c r="BN201" s="504">
        <v>2.6099999999999999E-3</v>
      </c>
      <c r="BO201" s="503" t="s">
        <v>400</v>
      </c>
      <c r="BP201" s="506">
        <v>31.212299999999999</v>
      </c>
      <c r="BQ201" s="502">
        <f t="shared" si="355"/>
        <v>3.1212299999999998E-2</v>
      </c>
      <c r="BR201" s="502" t="s">
        <v>802</v>
      </c>
      <c r="BS201" s="504">
        <v>3.0000000000000001E-3</v>
      </c>
      <c r="BT201" s="504">
        <v>0.03</v>
      </c>
      <c r="BU201" s="502" t="s">
        <v>401</v>
      </c>
      <c r="BV201" s="482">
        <v>46.818399999999997</v>
      </c>
      <c r="BW201" s="502">
        <f t="shared" si="356"/>
        <v>4.6818399999999996E-2</v>
      </c>
      <c r="BX201" s="502" t="s">
        <v>803</v>
      </c>
      <c r="BY201" s="504">
        <v>5.0000000000000001E-3</v>
      </c>
      <c r="BZ201" s="504">
        <v>0.05</v>
      </c>
      <c r="CA201" s="502" t="s">
        <v>401</v>
      </c>
      <c r="CB201" s="502">
        <v>0</v>
      </c>
      <c r="CC201" s="502">
        <f t="shared" si="357"/>
        <v>0</v>
      </c>
      <c r="CD201" s="502" t="s">
        <v>802</v>
      </c>
      <c r="CE201" s="504">
        <v>0</v>
      </c>
      <c r="CF201" s="504">
        <v>0</v>
      </c>
      <c r="CG201" s="502" t="s">
        <v>401</v>
      </c>
      <c r="CH201" s="482">
        <v>0</v>
      </c>
      <c r="CI201" s="502">
        <f t="shared" si="358"/>
        <v>0</v>
      </c>
      <c r="CJ201" s="502" t="s">
        <v>803</v>
      </c>
      <c r="CK201" s="504">
        <v>0</v>
      </c>
      <c r="CL201" s="504">
        <v>0</v>
      </c>
      <c r="CM201" s="502" t="s">
        <v>401</v>
      </c>
      <c r="CN201" s="360"/>
      <c r="CO201" s="346">
        <v>0.15</v>
      </c>
      <c r="CP201" s="346">
        <v>0.2</v>
      </c>
    </row>
    <row r="202" spans="1:94" s="344" customFormat="1" ht="16.5" hidden="1" customHeight="1" thickBot="1" x14ac:dyDescent="0.3">
      <c r="A202" s="342"/>
      <c r="V202" s="346"/>
      <c r="X202" s="350"/>
      <c r="Y202" s="350"/>
      <c r="Z202" s="350"/>
      <c r="AA202" s="353"/>
      <c r="AB202" s="353"/>
      <c r="AC202" s="350"/>
      <c r="AD202" s="353"/>
      <c r="AE202" s="352"/>
      <c r="AF202" s="350"/>
      <c r="AG202" s="350"/>
      <c r="AH202" s="354"/>
      <c r="AI202" s="354"/>
      <c r="AJ202" s="350"/>
      <c r="AK202" s="353"/>
      <c r="AL202" s="350"/>
      <c r="AM202" s="350"/>
      <c r="AN202" s="350"/>
      <c r="AO202" s="350"/>
      <c r="AP202" s="350"/>
      <c r="AQ202" s="350"/>
      <c r="AR202" s="353"/>
      <c r="AS202" s="350"/>
      <c r="AT202" s="350"/>
      <c r="AU202" s="350"/>
      <c r="AV202" s="353"/>
      <c r="AW202" s="350"/>
      <c r="AX202" s="353"/>
      <c r="AY202" s="350"/>
      <c r="AZ202" s="350"/>
      <c r="BA202" s="350"/>
      <c r="BB202" s="353"/>
      <c r="BC202" s="353"/>
      <c r="BD202" s="350"/>
      <c r="BE202" s="353"/>
      <c r="BF202" s="350"/>
      <c r="BG202" s="350"/>
      <c r="BH202" s="350"/>
      <c r="BI202" s="505" t="s">
        <v>374</v>
      </c>
      <c r="BJ202" s="502" t="s">
        <v>804</v>
      </c>
      <c r="BK202" s="482">
        <v>2812.7539999999999</v>
      </c>
      <c r="BL202" s="502" t="s">
        <v>801</v>
      </c>
      <c r="BM202" s="504">
        <v>2.3899999999999998E-3</v>
      </c>
      <c r="BN202" s="504">
        <v>2.3899999999999998E-3</v>
      </c>
      <c r="BO202" s="503" t="s">
        <v>400</v>
      </c>
      <c r="BP202" s="506">
        <v>31.229299999999999</v>
      </c>
      <c r="BQ202" s="502">
        <f t="shared" si="355"/>
        <v>3.1229299999999998E-2</v>
      </c>
      <c r="BR202" s="502" t="s">
        <v>802</v>
      </c>
      <c r="BS202" s="504">
        <v>3.0000000000000001E-3</v>
      </c>
      <c r="BT202" s="504">
        <v>0.03</v>
      </c>
      <c r="BU202" s="502" t="s">
        <v>401</v>
      </c>
      <c r="BV202" s="482">
        <v>46.843899999999998</v>
      </c>
      <c r="BW202" s="502">
        <f t="shared" si="356"/>
        <v>4.6843900000000001E-2</v>
      </c>
      <c r="BX202" s="502" t="s">
        <v>803</v>
      </c>
      <c r="BY202" s="504">
        <v>5.0000000000000001E-3</v>
      </c>
      <c r="BZ202" s="504">
        <v>0.05</v>
      </c>
      <c r="CA202" s="502" t="s">
        <v>401</v>
      </c>
      <c r="CB202" s="502">
        <v>0</v>
      </c>
      <c r="CC202" s="502">
        <f t="shared" si="357"/>
        <v>0</v>
      </c>
      <c r="CD202" s="502" t="s">
        <v>802</v>
      </c>
      <c r="CE202" s="504">
        <v>0</v>
      </c>
      <c r="CF202" s="504">
        <v>0</v>
      </c>
      <c r="CG202" s="502" t="s">
        <v>401</v>
      </c>
      <c r="CH202" s="482">
        <v>0</v>
      </c>
      <c r="CI202" s="502">
        <f t="shared" si="358"/>
        <v>0</v>
      </c>
      <c r="CJ202" s="502" t="s">
        <v>803</v>
      </c>
      <c r="CK202" s="504">
        <v>0</v>
      </c>
      <c r="CL202" s="504">
        <v>0</v>
      </c>
      <c r="CM202" s="502" t="s">
        <v>401</v>
      </c>
      <c r="CN202" s="360"/>
      <c r="CO202" s="346">
        <v>0.15</v>
      </c>
      <c r="CP202" s="346">
        <v>0.2</v>
      </c>
    </row>
    <row r="203" spans="1:94" s="344" customFormat="1" ht="16.5" hidden="1" customHeight="1" thickBot="1" x14ac:dyDescent="0.3">
      <c r="A203" s="342"/>
      <c r="V203" s="346"/>
      <c r="X203" s="350"/>
      <c r="Y203" s="350"/>
      <c r="Z203" s="350"/>
      <c r="AA203" s="353"/>
      <c r="AB203" s="353"/>
      <c r="AC203" s="350"/>
      <c r="AD203" s="353"/>
      <c r="AE203" s="352"/>
      <c r="AF203" s="350"/>
      <c r="AG203" s="350"/>
      <c r="AH203" s="354"/>
      <c r="AI203" s="354"/>
      <c r="AJ203" s="350"/>
      <c r="AK203" s="353"/>
      <c r="AL203" s="350"/>
      <c r="AM203" s="350"/>
      <c r="AN203" s="350"/>
      <c r="AO203" s="350"/>
      <c r="AP203" s="350"/>
      <c r="AQ203" s="350"/>
      <c r="AR203" s="353"/>
      <c r="AS203" s="350"/>
      <c r="AT203" s="350"/>
      <c r="AU203" s="350"/>
      <c r="AV203" s="353"/>
      <c r="AW203" s="350"/>
      <c r="AX203" s="353"/>
      <c r="AY203" s="350"/>
      <c r="AZ203" s="350"/>
      <c r="BA203" s="350"/>
      <c r="BB203" s="353"/>
      <c r="BC203" s="353"/>
      <c r="BD203" s="350"/>
      <c r="BE203" s="353"/>
      <c r="BF203" s="350"/>
      <c r="BG203" s="350"/>
      <c r="BH203" s="350"/>
      <c r="BI203" s="505" t="s">
        <v>375</v>
      </c>
      <c r="BJ203" s="502" t="s">
        <v>804</v>
      </c>
      <c r="BK203" s="482">
        <v>1903.181</v>
      </c>
      <c r="BL203" s="502" t="s">
        <v>801</v>
      </c>
      <c r="BM203" s="504">
        <v>3.5399999999999997E-3</v>
      </c>
      <c r="BN203" s="504">
        <v>3.5399999999999997E-3</v>
      </c>
      <c r="BO203" s="503" t="s">
        <v>400</v>
      </c>
      <c r="BP203" s="506">
        <v>20.947600000000001</v>
      </c>
      <c r="BQ203" s="502">
        <f t="shared" si="355"/>
        <v>2.09476E-2</v>
      </c>
      <c r="BR203" s="502" t="s">
        <v>802</v>
      </c>
      <c r="BS203" s="504">
        <v>3.0000000000000001E-3</v>
      </c>
      <c r="BT203" s="504">
        <v>0.03</v>
      </c>
      <c r="BU203" s="502" t="s">
        <v>401</v>
      </c>
      <c r="BV203" s="482">
        <v>31.421399999999998</v>
      </c>
      <c r="BW203" s="502">
        <f t="shared" si="356"/>
        <v>3.1421399999999995E-2</v>
      </c>
      <c r="BX203" s="502" t="s">
        <v>803</v>
      </c>
      <c r="BY203" s="504">
        <v>5.0000000000000001E-3</v>
      </c>
      <c r="BZ203" s="504">
        <v>0.05</v>
      </c>
      <c r="CA203" s="502" t="s">
        <v>401</v>
      </c>
      <c r="CB203" s="502">
        <v>0</v>
      </c>
      <c r="CC203" s="502">
        <f t="shared" si="357"/>
        <v>0</v>
      </c>
      <c r="CD203" s="502" t="s">
        <v>802</v>
      </c>
      <c r="CE203" s="504">
        <v>0</v>
      </c>
      <c r="CF203" s="504">
        <v>0</v>
      </c>
      <c r="CG203" s="502" t="s">
        <v>401</v>
      </c>
      <c r="CH203" s="482">
        <v>0</v>
      </c>
      <c r="CI203" s="502">
        <f t="shared" si="358"/>
        <v>0</v>
      </c>
      <c r="CJ203" s="502" t="s">
        <v>803</v>
      </c>
      <c r="CK203" s="504">
        <v>0</v>
      </c>
      <c r="CL203" s="504">
        <v>0</v>
      </c>
      <c r="CM203" s="502" t="s">
        <v>401</v>
      </c>
      <c r="CN203" s="360"/>
      <c r="CO203" s="346">
        <v>0.15</v>
      </c>
      <c r="CP203" s="346">
        <v>0.2</v>
      </c>
    </row>
    <row r="204" spans="1:94" s="344" customFormat="1" ht="16.5" hidden="1" customHeight="1" thickBot="1" x14ac:dyDescent="0.3">
      <c r="A204" s="342"/>
      <c r="V204" s="346"/>
      <c r="X204" s="350"/>
      <c r="Y204" s="350"/>
      <c r="Z204" s="350"/>
      <c r="AA204" s="353"/>
      <c r="AB204" s="353"/>
      <c r="AC204" s="350"/>
      <c r="AD204" s="353"/>
      <c r="AE204" s="352"/>
      <c r="AF204" s="350"/>
      <c r="AG204" s="350"/>
      <c r="AH204" s="354"/>
      <c r="AI204" s="354"/>
      <c r="AJ204" s="350"/>
      <c r="AK204" s="353"/>
      <c r="AL204" s="350"/>
      <c r="AM204" s="350"/>
      <c r="AN204" s="350"/>
      <c r="AO204" s="350"/>
      <c r="AP204" s="350"/>
      <c r="AQ204" s="350"/>
      <c r="AR204" s="353"/>
      <c r="AS204" s="350"/>
      <c r="AT204" s="350"/>
      <c r="AU204" s="350"/>
      <c r="AV204" s="353"/>
      <c r="AW204" s="350"/>
      <c r="AX204" s="353"/>
      <c r="AY204" s="350"/>
      <c r="AZ204" s="350"/>
      <c r="BA204" s="350"/>
      <c r="BB204" s="353"/>
      <c r="BC204" s="353"/>
      <c r="BD204" s="350"/>
      <c r="BE204" s="353"/>
      <c r="BI204" s="505" t="s">
        <v>376</v>
      </c>
      <c r="BJ204" s="502" t="s">
        <v>804</v>
      </c>
      <c r="BK204" s="482">
        <v>2560.306</v>
      </c>
      <c r="BL204" s="502" t="s">
        <v>801</v>
      </c>
      <c r="BM204" s="504">
        <v>2.5400000000000002E-3</v>
      </c>
      <c r="BN204" s="504">
        <v>2.5400000000000002E-3</v>
      </c>
      <c r="BO204" s="503" t="s">
        <v>400</v>
      </c>
      <c r="BP204" s="506">
        <v>33.076700000000002</v>
      </c>
      <c r="BQ204" s="502">
        <f t="shared" si="355"/>
        <v>3.3076700000000001E-2</v>
      </c>
      <c r="BR204" s="502" t="s">
        <v>802</v>
      </c>
      <c r="BS204" s="504">
        <v>3.0000000000000001E-3</v>
      </c>
      <c r="BT204" s="504">
        <v>0.03</v>
      </c>
      <c r="BU204" s="502" t="s">
        <v>401</v>
      </c>
      <c r="BV204" s="482">
        <v>49.615000000000002</v>
      </c>
      <c r="BW204" s="502">
        <f t="shared" si="356"/>
        <v>4.9614999999999999E-2</v>
      </c>
      <c r="BX204" s="502" t="s">
        <v>803</v>
      </c>
      <c r="BY204" s="504">
        <v>5.0000000000000001E-3</v>
      </c>
      <c r="BZ204" s="504">
        <v>0.05</v>
      </c>
      <c r="CA204" s="502" t="s">
        <v>401</v>
      </c>
      <c r="CB204" s="502">
        <v>0</v>
      </c>
      <c r="CC204" s="502">
        <f t="shared" si="357"/>
        <v>0</v>
      </c>
      <c r="CD204" s="502" t="s">
        <v>802</v>
      </c>
      <c r="CE204" s="504">
        <v>0</v>
      </c>
      <c r="CF204" s="504">
        <v>0</v>
      </c>
      <c r="CG204" s="502" t="s">
        <v>401</v>
      </c>
      <c r="CH204" s="482">
        <v>0</v>
      </c>
      <c r="CI204" s="502">
        <f t="shared" si="358"/>
        <v>0</v>
      </c>
      <c r="CJ204" s="502" t="s">
        <v>803</v>
      </c>
      <c r="CK204" s="504">
        <v>0</v>
      </c>
      <c r="CL204" s="504">
        <v>0</v>
      </c>
      <c r="CM204" s="502" t="s">
        <v>401</v>
      </c>
      <c r="CN204" s="360"/>
      <c r="CO204" s="346">
        <v>0.15</v>
      </c>
      <c r="CP204" s="346">
        <v>0.2</v>
      </c>
    </row>
    <row r="205" spans="1:94" s="344" customFormat="1" ht="16.5" hidden="1" customHeight="1" thickBot="1" x14ac:dyDescent="0.3">
      <c r="A205" s="342"/>
      <c r="V205" s="346"/>
      <c r="X205" s="350"/>
      <c r="Y205" s="350"/>
      <c r="Z205" s="350"/>
      <c r="AA205" s="353"/>
      <c r="AB205" s="353"/>
      <c r="AC205" s="350"/>
      <c r="AD205" s="353"/>
      <c r="AE205" s="352"/>
      <c r="AF205" s="350"/>
      <c r="AG205" s="350"/>
      <c r="AH205" s="354"/>
      <c r="AI205" s="354"/>
      <c r="AJ205" s="350"/>
      <c r="AK205" s="353"/>
      <c r="AL205" s="350"/>
      <c r="AM205" s="350"/>
      <c r="AN205" s="350"/>
      <c r="AO205" s="350"/>
      <c r="AP205" s="350"/>
      <c r="AQ205" s="350"/>
      <c r="AR205" s="353"/>
      <c r="AS205" s="350"/>
      <c r="AT205" s="350"/>
      <c r="AU205" s="350"/>
      <c r="AV205" s="353"/>
      <c r="AW205" s="350"/>
      <c r="AX205" s="353"/>
      <c r="AY205" s="350"/>
      <c r="AZ205" s="350"/>
      <c r="BA205" s="350"/>
      <c r="BB205" s="353"/>
      <c r="BC205" s="353"/>
      <c r="BD205" s="350"/>
      <c r="BE205" s="353"/>
      <c r="BF205" s="350"/>
      <c r="BG205" s="350"/>
      <c r="BH205" s="350"/>
      <c r="BI205" s="505" t="s">
        <v>377</v>
      </c>
      <c r="BJ205" s="502" t="s">
        <v>804</v>
      </c>
      <c r="BK205" s="482">
        <v>2690.982</v>
      </c>
      <c r="BL205" s="502" t="s">
        <v>801</v>
      </c>
      <c r="BM205" s="504">
        <v>2.5100000000000001E-3</v>
      </c>
      <c r="BN205" s="504">
        <v>2.5100000000000001E-3</v>
      </c>
      <c r="BO205" s="503" t="s">
        <v>400</v>
      </c>
      <c r="BP205" s="506">
        <v>29.204699999999999</v>
      </c>
      <c r="BQ205" s="502">
        <f t="shared" si="355"/>
        <v>2.92047E-2</v>
      </c>
      <c r="BR205" s="502" t="s">
        <v>802</v>
      </c>
      <c r="BS205" s="504">
        <v>3.0000000000000001E-3</v>
      </c>
      <c r="BT205" s="504">
        <v>0.03</v>
      </c>
      <c r="BU205" s="502" t="s">
        <v>401</v>
      </c>
      <c r="BV205" s="482">
        <v>43.807099999999998</v>
      </c>
      <c r="BW205" s="502">
        <f t="shared" si="356"/>
        <v>4.3807100000000002E-2</v>
      </c>
      <c r="BX205" s="502" t="s">
        <v>803</v>
      </c>
      <c r="BY205" s="504">
        <v>5.0000000000000001E-3</v>
      </c>
      <c r="BZ205" s="504">
        <v>0.05</v>
      </c>
      <c r="CA205" s="502" t="s">
        <v>401</v>
      </c>
      <c r="CB205" s="502">
        <v>0</v>
      </c>
      <c r="CC205" s="502">
        <f t="shared" si="357"/>
        <v>0</v>
      </c>
      <c r="CD205" s="502" t="s">
        <v>802</v>
      </c>
      <c r="CE205" s="504">
        <v>0</v>
      </c>
      <c r="CF205" s="504">
        <v>0</v>
      </c>
      <c r="CG205" s="502" t="s">
        <v>401</v>
      </c>
      <c r="CH205" s="482">
        <v>0</v>
      </c>
      <c r="CI205" s="502">
        <f t="shared" si="358"/>
        <v>0</v>
      </c>
      <c r="CJ205" s="502" t="s">
        <v>803</v>
      </c>
      <c r="CK205" s="504">
        <v>0</v>
      </c>
      <c r="CL205" s="504">
        <v>0</v>
      </c>
      <c r="CM205" s="502" t="s">
        <v>401</v>
      </c>
      <c r="CN205" s="360"/>
      <c r="CO205" s="346">
        <v>0.15</v>
      </c>
      <c r="CP205" s="346">
        <v>0.2</v>
      </c>
    </row>
    <row r="206" spans="1:94" s="344" customFormat="1" ht="16.5" hidden="1" customHeight="1" thickBot="1" x14ac:dyDescent="0.3">
      <c r="A206" s="342"/>
      <c r="V206" s="346"/>
      <c r="AA206" s="347"/>
      <c r="AB206" s="347"/>
      <c r="AD206" s="347"/>
      <c r="AE206" s="348"/>
      <c r="AH206" s="349"/>
      <c r="AI206" s="349"/>
      <c r="AK206" s="347"/>
      <c r="AR206" s="347"/>
      <c r="AV206" s="347"/>
      <c r="AX206" s="347"/>
      <c r="BB206" s="347"/>
      <c r="BC206" s="347"/>
      <c r="BE206" s="347"/>
      <c r="BH206" s="342"/>
      <c r="BI206" s="505" t="s">
        <v>378</v>
      </c>
      <c r="BJ206" s="502" t="s">
        <v>804</v>
      </c>
      <c r="BK206" s="482">
        <v>3052.7950000000001</v>
      </c>
      <c r="BL206" s="502" t="s">
        <v>801</v>
      </c>
      <c r="BM206" s="504">
        <v>2.1800000000000001E-3</v>
      </c>
      <c r="BN206" s="504">
        <v>2.1800000000000001E-3</v>
      </c>
      <c r="BO206" s="503" t="s">
        <v>400</v>
      </c>
      <c r="BP206" s="506">
        <v>35.206200000000003</v>
      </c>
      <c r="BQ206" s="502">
        <f t="shared" si="355"/>
        <v>3.52062E-2</v>
      </c>
      <c r="BR206" s="502" t="s">
        <v>802</v>
      </c>
      <c r="BS206" s="504">
        <v>3.0000000000000001E-3</v>
      </c>
      <c r="BT206" s="504">
        <v>0.03</v>
      </c>
      <c r="BU206" s="502" t="s">
        <v>401</v>
      </c>
      <c r="BV206" s="482">
        <v>52.8093</v>
      </c>
      <c r="BW206" s="502">
        <f t="shared" si="356"/>
        <v>5.2809300000000003E-2</v>
      </c>
      <c r="BX206" s="502" t="s">
        <v>803</v>
      </c>
      <c r="BY206" s="504">
        <v>5.0000000000000001E-3</v>
      </c>
      <c r="BZ206" s="504">
        <v>0.05</v>
      </c>
      <c r="CA206" s="502" t="s">
        <v>401</v>
      </c>
      <c r="CB206" s="502">
        <v>0</v>
      </c>
      <c r="CC206" s="502">
        <f t="shared" si="357"/>
        <v>0</v>
      </c>
      <c r="CD206" s="502" t="s">
        <v>802</v>
      </c>
      <c r="CE206" s="504">
        <v>0</v>
      </c>
      <c r="CF206" s="504">
        <v>0</v>
      </c>
      <c r="CG206" s="502" t="s">
        <v>401</v>
      </c>
      <c r="CH206" s="482">
        <v>0</v>
      </c>
      <c r="CI206" s="502">
        <f t="shared" si="358"/>
        <v>0</v>
      </c>
      <c r="CJ206" s="502" t="s">
        <v>803</v>
      </c>
      <c r="CK206" s="504">
        <v>0</v>
      </c>
      <c r="CL206" s="504">
        <v>0</v>
      </c>
      <c r="CM206" s="502" t="s">
        <v>401</v>
      </c>
      <c r="CN206" s="360"/>
      <c r="CO206" s="346">
        <v>0.15</v>
      </c>
      <c r="CP206" s="346">
        <v>0.2</v>
      </c>
    </row>
    <row r="207" spans="1:94" s="344" customFormat="1" ht="16.5" hidden="1" customHeight="1" thickBot="1" x14ac:dyDescent="0.3">
      <c r="A207" s="342"/>
      <c r="V207" s="346"/>
      <c r="AA207" s="347"/>
      <c r="AB207" s="347"/>
      <c r="AD207" s="347"/>
      <c r="AE207" s="348"/>
      <c r="AH207" s="349"/>
      <c r="AI207" s="349"/>
      <c r="AK207" s="347"/>
      <c r="AR207" s="347"/>
      <c r="AV207" s="347"/>
      <c r="AX207" s="347"/>
      <c r="BB207" s="347"/>
      <c r="BC207" s="347"/>
      <c r="BE207" s="347"/>
      <c r="BH207" s="342"/>
      <c r="BI207" s="505" t="s">
        <v>379</v>
      </c>
      <c r="BJ207" s="502" t="s">
        <v>804</v>
      </c>
      <c r="BK207" s="482">
        <v>2277.4490000000001</v>
      </c>
      <c r="BL207" s="502" t="s">
        <v>801</v>
      </c>
      <c r="BM207" s="504">
        <v>2.98E-3</v>
      </c>
      <c r="BN207" s="504">
        <v>2.98E-3</v>
      </c>
      <c r="BO207" s="503" t="s">
        <v>400</v>
      </c>
      <c r="BP207" s="506">
        <v>24.4054</v>
      </c>
      <c r="BQ207" s="502">
        <f t="shared" si="355"/>
        <v>2.4405400000000001E-2</v>
      </c>
      <c r="BR207" s="502" t="s">
        <v>802</v>
      </c>
      <c r="BS207" s="504">
        <v>3.0000000000000001E-3</v>
      </c>
      <c r="BT207" s="504">
        <v>0.03</v>
      </c>
      <c r="BU207" s="502" t="s">
        <v>401</v>
      </c>
      <c r="BV207" s="482">
        <v>36.6081</v>
      </c>
      <c r="BW207" s="502">
        <f t="shared" si="356"/>
        <v>3.6608099999999998E-2</v>
      </c>
      <c r="BX207" s="502" t="s">
        <v>803</v>
      </c>
      <c r="BY207" s="504">
        <v>5.0000000000000001E-3</v>
      </c>
      <c r="BZ207" s="504">
        <v>0.05</v>
      </c>
      <c r="CA207" s="502" t="s">
        <v>401</v>
      </c>
      <c r="CB207" s="502">
        <v>0</v>
      </c>
      <c r="CC207" s="502">
        <f t="shared" si="357"/>
        <v>0</v>
      </c>
      <c r="CD207" s="502" t="s">
        <v>802</v>
      </c>
      <c r="CE207" s="504">
        <v>0</v>
      </c>
      <c r="CF207" s="504">
        <v>0</v>
      </c>
      <c r="CG207" s="502" t="s">
        <v>401</v>
      </c>
      <c r="CH207" s="482">
        <v>0</v>
      </c>
      <c r="CI207" s="502">
        <f t="shared" si="358"/>
        <v>0</v>
      </c>
      <c r="CJ207" s="502" t="s">
        <v>803</v>
      </c>
      <c r="CK207" s="504">
        <v>0</v>
      </c>
      <c r="CL207" s="504">
        <v>0</v>
      </c>
      <c r="CM207" s="502" t="s">
        <v>401</v>
      </c>
      <c r="CN207" s="360"/>
      <c r="CO207" s="346">
        <v>0.15</v>
      </c>
      <c r="CP207" s="346">
        <v>0.2</v>
      </c>
    </row>
    <row r="208" spans="1:94" s="344" customFormat="1" ht="16.5" hidden="1" customHeight="1" thickBot="1" x14ac:dyDescent="0.3">
      <c r="A208" s="342"/>
      <c r="V208" s="346"/>
      <c r="AA208" s="347"/>
      <c r="AB208" s="347"/>
      <c r="AD208" s="347"/>
      <c r="AE208" s="348"/>
      <c r="AH208" s="349"/>
      <c r="AI208" s="349"/>
      <c r="AK208" s="347"/>
      <c r="AR208" s="347"/>
      <c r="AV208" s="347"/>
      <c r="AX208" s="347"/>
      <c r="BB208" s="347"/>
      <c r="BC208" s="347"/>
      <c r="BE208" s="347"/>
      <c r="BH208" s="342"/>
      <c r="BI208" s="505" t="s">
        <v>68</v>
      </c>
      <c r="BJ208" s="502" t="s">
        <v>804</v>
      </c>
      <c r="BK208" s="528">
        <v>0</v>
      </c>
      <c r="BL208" s="502" t="s">
        <v>801</v>
      </c>
      <c r="BM208" s="504">
        <v>4.3E-3</v>
      </c>
      <c r="BN208" s="504">
        <v>4.3E-3</v>
      </c>
      <c r="BO208" s="503" t="s">
        <v>400</v>
      </c>
      <c r="BP208" s="506">
        <v>442.28840000000002</v>
      </c>
      <c r="BQ208" s="502">
        <f t="shared" si="355"/>
        <v>0.44228840000000003</v>
      </c>
      <c r="BR208" s="502" t="s">
        <v>802</v>
      </c>
      <c r="BS208" s="504">
        <v>0.1</v>
      </c>
      <c r="BT208" s="504">
        <v>1</v>
      </c>
      <c r="BU208" s="502" t="s">
        <v>401</v>
      </c>
      <c r="BV208" s="482">
        <v>58.971800000000002</v>
      </c>
      <c r="BW208" s="502">
        <f t="shared" si="356"/>
        <v>5.8971800000000005E-2</v>
      </c>
      <c r="BX208" s="502" t="s">
        <v>803</v>
      </c>
      <c r="BY208" s="504">
        <v>1.4999999999999999E-2</v>
      </c>
      <c r="BZ208" s="504">
        <v>0.15</v>
      </c>
      <c r="CA208" s="502" t="s">
        <v>401</v>
      </c>
      <c r="CB208" s="502">
        <v>0</v>
      </c>
      <c r="CC208" s="502">
        <f t="shared" si="357"/>
        <v>0</v>
      </c>
      <c r="CD208" s="502" t="s">
        <v>802</v>
      </c>
      <c r="CE208" s="504">
        <v>0</v>
      </c>
      <c r="CF208" s="504">
        <v>0</v>
      </c>
      <c r="CG208" s="502" t="s">
        <v>401</v>
      </c>
      <c r="CH208" s="482">
        <v>0</v>
      </c>
      <c r="CI208" s="502">
        <f t="shared" si="358"/>
        <v>0</v>
      </c>
      <c r="CJ208" s="502" t="s">
        <v>803</v>
      </c>
      <c r="CK208" s="504">
        <v>0</v>
      </c>
      <c r="CL208" s="504">
        <v>0</v>
      </c>
      <c r="CM208" s="502" t="s">
        <v>401</v>
      </c>
      <c r="CN208" s="360"/>
      <c r="CO208" s="346">
        <v>0.6</v>
      </c>
      <c r="CP208" s="346">
        <v>1</v>
      </c>
    </row>
    <row r="209" spans="1:94" s="344" customFormat="1" ht="16.5" hidden="1" customHeight="1" thickBot="1" x14ac:dyDescent="0.3">
      <c r="A209" s="342"/>
      <c r="V209" s="346"/>
      <c r="AA209" s="347"/>
      <c r="AB209" s="347"/>
      <c r="AD209" s="347"/>
      <c r="AE209" s="348"/>
      <c r="AH209" s="349"/>
      <c r="AI209" s="349"/>
      <c r="AK209" s="347"/>
      <c r="AR209" s="347"/>
      <c r="AV209" s="347"/>
      <c r="AX209" s="347"/>
      <c r="BB209" s="347"/>
      <c r="BC209" s="347"/>
      <c r="BE209" s="347"/>
      <c r="BH209" s="342"/>
      <c r="BI209" s="505" t="s">
        <v>380</v>
      </c>
      <c r="BJ209" s="502" t="s">
        <v>804</v>
      </c>
      <c r="BK209" s="528">
        <v>0</v>
      </c>
      <c r="BL209" s="502" t="s">
        <v>801</v>
      </c>
      <c r="BM209" s="504">
        <v>3.82E-3</v>
      </c>
      <c r="BN209" s="504">
        <v>3.82E-3</v>
      </c>
      <c r="BO209" s="503" t="s">
        <v>400</v>
      </c>
      <c r="BP209" s="506">
        <v>499.19130000000001</v>
      </c>
      <c r="BQ209" s="502">
        <f t="shared" si="355"/>
        <v>0.4991913</v>
      </c>
      <c r="BR209" s="502" t="s">
        <v>802</v>
      </c>
      <c r="BS209" s="504">
        <v>0.1</v>
      </c>
      <c r="BT209" s="504">
        <v>1</v>
      </c>
      <c r="BU209" s="502" t="s">
        <v>401</v>
      </c>
      <c r="BV209" s="482">
        <v>66.558800000000005</v>
      </c>
      <c r="BW209" s="502">
        <f t="shared" si="356"/>
        <v>6.6558800000000001E-2</v>
      </c>
      <c r="BX209" s="502" t="s">
        <v>803</v>
      </c>
      <c r="BY209" s="504">
        <v>1.4999999999999999E-2</v>
      </c>
      <c r="BZ209" s="504">
        <v>0.15</v>
      </c>
      <c r="CA209" s="502" t="s">
        <v>401</v>
      </c>
      <c r="CB209" s="502">
        <v>0</v>
      </c>
      <c r="CC209" s="502">
        <f t="shared" si="357"/>
        <v>0</v>
      </c>
      <c r="CD209" s="502" t="s">
        <v>802</v>
      </c>
      <c r="CE209" s="504">
        <v>0</v>
      </c>
      <c r="CF209" s="504">
        <v>0</v>
      </c>
      <c r="CG209" s="502" t="s">
        <v>401</v>
      </c>
      <c r="CH209" s="482">
        <v>0</v>
      </c>
      <c r="CI209" s="502">
        <f t="shared" si="358"/>
        <v>0</v>
      </c>
      <c r="CJ209" s="502" t="s">
        <v>803</v>
      </c>
      <c r="CK209" s="504">
        <v>0</v>
      </c>
      <c r="CL209" s="504">
        <v>0</v>
      </c>
      <c r="CM209" s="502" t="s">
        <v>401</v>
      </c>
      <c r="CN209" s="361"/>
      <c r="CO209" s="346">
        <v>0.6</v>
      </c>
      <c r="CP209" s="346">
        <v>1</v>
      </c>
    </row>
    <row r="210" spans="1:94" s="344" customFormat="1" ht="16.5" hidden="1" customHeight="1" thickBot="1" x14ac:dyDescent="0.3">
      <c r="A210" s="342"/>
      <c r="V210" s="346"/>
      <c r="AA210" s="347"/>
      <c r="AB210" s="347"/>
      <c r="AD210" s="347"/>
      <c r="AE210" s="348"/>
      <c r="AH210" s="349"/>
      <c r="AI210" s="349"/>
      <c r="AK210" s="347"/>
      <c r="AR210" s="347"/>
      <c r="AV210" s="347"/>
      <c r="AX210" s="347"/>
      <c r="BB210" s="347"/>
      <c r="BC210" s="347"/>
      <c r="BE210" s="347"/>
      <c r="BH210" s="342"/>
      <c r="BI210" s="505" t="s">
        <v>381</v>
      </c>
      <c r="BJ210" s="502" t="s">
        <v>804</v>
      </c>
      <c r="BK210" s="528">
        <v>0</v>
      </c>
      <c r="BL210" s="502" t="s">
        <v>801</v>
      </c>
      <c r="BM210" s="504">
        <v>3.98E-3</v>
      </c>
      <c r="BN210" s="504">
        <v>3.98E-3</v>
      </c>
      <c r="BO210" s="503" t="s">
        <v>400</v>
      </c>
      <c r="BP210" s="506">
        <v>503.12909999999999</v>
      </c>
      <c r="BQ210" s="502">
        <f t="shared" si="355"/>
        <v>0.5031291</v>
      </c>
      <c r="BR210" s="502" t="s">
        <v>802</v>
      </c>
      <c r="BS210" s="504">
        <v>0.1</v>
      </c>
      <c r="BT210" s="504">
        <v>1</v>
      </c>
      <c r="BU210" s="502" t="s">
        <v>401</v>
      </c>
      <c r="BV210" s="482">
        <v>67.0839</v>
      </c>
      <c r="BW210" s="502">
        <f t="shared" si="356"/>
        <v>6.7083900000000002E-2</v>
      </c>
      <c r="BX210" s="502" t="s">
        <v>803</v>
      </c>
      <c r="BY210" s="504">
        <v>1.4999999999999999E-2</v>
      </c>
      <c r="BZ210" s="504">
        <v>0.15</v>
      </c>
      <c r="CA210" s="502" t="s">
        <v>401</v>
      </c>
      <c r="CB210" s="502">
        <v>0</v>
      </c>
      <c r="CC210" s="502">
        <f t="shared" si="357"/>
        <v>0</v>
      </c>
      <c r="CD210" s="502" t="s">
        <v>802</v>
      </c>
      <c r="CE210" s="504">
        <v>0</v>
      </c>
      <c r="CF210" s="504">
        <v>0</v>
      </c>
      <c r="CG210" s="502" t="s">
        <v>401</v>
      </c>
      <c r="CH210" s="482">
        <v>0</v>
      </c>
      <c r="CI210" s="502">
        <f t="shared" si="358"/>
        <v>0</v>
      </c>
      <c r="CJ210" s="502" t="s">
        <v>803</v>
      </c>
      <c r="CK210" s="504">
        <v>0</v>
      </c>
      <c r="CL210" s="504">
        <v>0</v>
      </c>
      <c r="CM210" s="502" t="s">
        <v>401</v>
      </c>
      <c r="CN210" s="360"/>
      <c r="CO210" s="346">
        <v>0.6</v>
      </c>
      <c r="CP210" s="346">
        <v>1</v>
      </c>
    </row>
    <row r="211" spans="1:94" s="344" customFormat="1" ht="16.5" hidden="1" customHeight="1" thickBot="1" x14ac:dyDescent="0.3">
      <c r="A211" s="342"/>
      <c r="V211" s="346"/>
      <c r="AA211" s="347"/>
      <c r="AB211" s="347"/>
      <c r="AD211" s="347"/>
      <c r="AE211" s="348"/>
      <c r="AH211" s="349"/>
      <c r="AI211" s="349"/>
      <c r="AK211" s="347"/>
      <c r="AR211" s="347"/>
      <c r="AV211" s="347"/>
      <c r="AX211" s="347"/>
      <c r="BB211" s="347"/>
      <c r="BC211" s="347"/>
      <c r="BE211" s="347"/>
      <c r="BH211" s="342"/>
      <c r="BI211" s="505" t="s">
        <v>382</v>
      </c>
      <c r="BJ211" s="502" t="s">
        <v>804</v>
      </c>
      <c r="BK211" s="528">
        <v>0</v>
      </c>
      <c r="BL211" s="502" t="s">
        <v>801</v>
      </c>
      <c r="BM211" s="504">
        <v>3.5799999999999998E-3</v>
      </c>
      <c r="BN211" s="504">
        <v>3.5799999999999998E-3</v>
      </c>
      <c r="BO211" s="503" t="s">
        <v>400</v>
      </c>
      <c r="BP211" s="506">
        <v>548.92100000000005</v>
      </c>
      <c r="BQ211" s="502">
        <f t="shared" si="355"/>
        <v>0.5489210000000001</v>
      </c>
      <c r="BR211" s="502" t="s">
        <v>802</v>
      </c>
      <c r="BS211" s="504">
        <v>0.1</v>
      </c>
      <c r="BT211" s="504">
        <v>1</v>
      </c>
      <c r="BU211" s="502" t="s">
        <v>401</v>
      </c>
      <c r="BV211" s="482">
        <v>73.189499999999995</v>
      </c>
      <c r="BW211" s="502">
        <f t="shared" si="356"/>
        <v>7.3189499999999991E-2</v>
      </c>
      <c r="BX211" s="502" t="s">
        <v>803</v>
      </c>
      <c r="BY211" s="504">
        <v>1.4999999999999999E-2</v>
      </c>
      <c r="BZ211" s="504">
        <v>0.15</v>
      </c>
      <c r="CA211" s="502" t="s">
        <v>401</v>
      </c>
      <c r="CB211" s="502">
        <v>0</v>
      </c>
      <c r="CC211" s="502">
        <f t="shared" si="357"/>
        <v>0</v>
      </c>
      <c r="CD211" s="502" t="s">
        <v>802</v>
      </c>
      <c r="CE211" s="504">
        <v>0</v>
      </c>
      <c r="CF211" s="504">
        <v>0</v>
      </c>
      <c r="CG211" s="502" t="s">
        <v>401</v>
      </c>
      <c r="CH211" s="482">
        <v>0</v>
      </c>
      <c r="CI211" s="502">
        <f t="shared" si="358"/>
        <v>0</v>
      </c>
      <c r="CJ211" s="502" t="s">
        <v>803</v>
      </c>
      <c r="CK211" s="504">
        <v>0</v>
      </c>
      <c r="CL211" s="504">
        <v>0</v>
      </c>
      <c r="CM211" s="502" t="s">
        <v>401</v>
      </c>
      <c r="CN211" s="360"/>
      <c r="CO211" s="346">
        <v>0.6</v>
      </c>
      <c r="CP211" s="346">
        <v>1</v>
      </c>
    </row>
    <row r="212" spans="1:94" s="344" customFormat="1" ht="16.5" hidden="1" customHeight="1" thickBot="1" x14ac:dyDescent="0.3">
      <c r="A212" s="342"/>
      <c r="V212" s="346"/>
      <c r="AA212" s="347"/>
      <c r="AB212" s="347"/>
      <c r="AD212" s="347"/>
      <c r="AE212" s="348"/>
      <c r="AH212" s="349"/>
      <c r="AI212" s="349"/>
      <c r="AK212" s="347"/>
      <c r="AR212" s="347"/>
      <c r="AV212" s="347"/>
      <c r="AX212" s="347"/>
      <c r="BB212" s="347"/>
      <c r="BC212" s="347"/>
      <c r="BE212" s="347"/>
      <c r="BH212" s="342"/>
      <c r="BI212" s="505" t="s">
        <v>383</v>
      </c>
      <c r="BJ212" s="502" t="s">
        <v>804</v>
      </c>
      <c r="BK212" s="528">
        <v>0</v>
      </c>
      <c r="BL212" s="502" t="s">
        <v>801</v>
      </c>
      <c r="BM212" s="504">
        <v>4.4900000000000001E-3</v>
      </c>
      <c r="BN212" s="504">
        <v>4.4900000000000001E-3</v>
      </c>
      <c r="BO212" s="503" t="s">
        <v>400</v>
      </c>
      <c r="BP212" s="506">
        <v>448.58819999999997</v>
      </c>
      <c r="BQ212" s="502">
        <f t="shared" si="355"/>
        <v>0.44858819999999999</v>
      </c>
      <c r="BR212" s="502" t="s">
        <v>802</v>
      </c>
      <c r="BS212" s="504">
        <v>0.1</v>
      </c>
      <c r="BT212" s="504">
        <v>1</v>
      </c>
      <c r="BU212" s="502" t="s">
        <v>401</v>
      </c>
      <c r="BV212" s="482">
        <v>59.811799999999998</v>
      </c>
      <c r="BW212" s="502">
        <f t="shared" si="356"/>
        <v>5.9811799999999998E-2</v>
      </c>
      <c r="BX212" s="502" t="s">
        <v>803</v>
      </c>
      <c r="BY212" s="504">
        <v>1.4999999999999999E-2</v>
      </c>
      <c r="BZ212" s="504">
        <v>0.15</v>
      </c>
      <c r="CA212" s="502" t="s">
        <v>401</v>
      </c>
      <c r="CB212" s="502">
        <v>0</v>
      </c>
      <c r="CC212" s="502">
        <f t="shared" si="357"/>
        <v>0</v>
      </c>
      <c r="CD212" s="502" t="s">
        <v>802</v>
      </c>
      <c r="CE212" s="504">
        <v>0</v>
      </c>
      <c r="CF212" s="504">
        <v>0</v>
      </c>
      <c r="CG212" s="502" t="s">
        <v>401</v>
      </c>
      <c r="CH212" s="482">
        <v>0</v>
      </c>
      <c r="CI212" s="502">
        <f t="shared" si="358"/>
        <v>0</v>
      </c>
      <c r="CJ212" s="502" t="s">
        <v>803</v>
      </c>
      <c r="CK212" s="504">
        <v>0</v>
      </c>
      <c r="CL212" s="504">
        <v>0</v>
      </c>
      <c r="CM212" s="502" t="s">
        <v>401</v>
      </c>
      <c r="CN212" s="360"/>
      <c r="CO212" s="346">
        <v>0.6</v>
      </c>
      <c r="CP212" s="346">
        <v>1</v>
      </c>
    </row>
    <row r="213" spans="1:94" s="344" customFormat="1" ht="16.5" hidden="1" customHeight="1" thickBot="1" x14ac:dyDescent="0.3">
      <c r="A213" s="342"/>
      <c r="V213" s="346"/>
      <c r="AA213" s="347"/>
      <c r="AB213" s="347"/>
      <c r="AD213" s="347"/>
      <c r="AE213" s="348"/>
      <c r="AH213" s="349"/>
      <c r="AI213" s="349"/>
      <c r="AK213" s="347"/>
      <c r="AR213" s="347"/>
      <c r="AV213" s="347"/>
      <c r="AX213" s="347"/>
      <c r="BB213" s="347"/>
      <c r="BC213" s="347"/>
      <c r="BE213" s="347"/>
      <c r="BH213" s="342"/>
      <c r="BI213" s="505" t="s">
        <v>384</v>
      </c>
      <c r="BJ213" s="502" t="s">
        <v>804</v>
      </c>
      <c r="BK213" s="528">
        <v>0</v>
      </c>
      <c r="BL213" s="502" t="s">
        <v>801</v>
      </c>
      <c r="BM213" s="504">
        <v>3.0299999999999997E-3</v>
      </c>
      <c r="BN213" s="504">
        <v>3.0299999999999997E-3</v>
      </c>
      <c r="BO213" s="503" t="s">
        <v>400</v>
      </c>
      <c r="BP213" s="506">
        <v>735.18640000000005</v>
      </c>
      <c r="BQ213" s="502">
        <f t="shared" si="355"/>
        <v>0.73518640000000002</v>
      </c>
      <c r="BR213" s="502" t="s">
        <v>802</v>
      </c>
      <c r="BS213" s="504">
        <v>0.1</v>
      </c>
      <c r="BT213" s="504">
        <v>1</v>
      </c>
      <c r="BU213" s="502" t="s">
        <v>401</v>
      </c>
      <c r="BV213" s="482">
        <v>98.024799999999999</v>
      </c>
      <c r="BW213" s="502">
        <f t="shared" si="356"/>
        <v>9.8024799999999995E-2</v>
      </c>
      <c r="BX213" s="502" t="s">
        <v>803</v>
      </c>
      <c r="BY213" s="504">
        <v>1.4999999999999999E-2</v>
      </c>
      <c r="BZ213" s="504">
        <v>0.15</v>
      </c>
      <c r="CA213" s="502" t="s">
        <v>401</v>
      </c>
      <c r="CB213" s="502">
        <v>0</v>
      </c>
      <c r="CC213" s="502">
        <f t="shared" si="357"/>
        <v>0</v>
      </c>
      <c r="CD213" s="502" t="s">
        <v>802</v>
      </c>
      <c r="CE213" s="504">
        <v>0</v>
      </c>
      <c r="CF213" s="504">
        <v>0</v>
      </c>
      <c r="CG213" s="502" t="s">
        <v>401</v>
      </c>
      <c r="CH213" s="482">
        <v>0</v>
      </c>
      <c r="CI213" s="502">
        <f t="shared" si="358"/>
        <v>0</v>
      </c>
      <c r="CJ213" s="502" t="s">
        <v>803</v>
      </c>
      <c r="CK213" s="504">
        <v>0</v>
      </c>
      <c r="CL213" s="504">
        <v>0</v>
      </c>
      <c r="CM213" s="502" t="s">
        <v>401</v>
      </c>
      <c r="CN213" s="360"/>
      <c r="CO213" s="346">
        <v>0.6</v>
      </c>
      <c r="CP213" s="346">
        <v>1</v>
      </c>
    </row>
    <row r="214" spans="1:94" s="344" customFormat="1" ht="16.5" hidden="1" customHeight="1" thickBot="1" x14ac:dyDescent="0.3">
      <c r="A214" s="342"/>
      <c r="V214" s="346"/>
      <c r="AA214" s="347"/>
      <c r="AB214" s="347"/>
      <c r="AD214" s="347"/>
      <c r="AE214" s="348"/>
      <c r="AH214" s="349"/>
      <c r="AI214" s="349"/>
      <c r="AK214" s="347"/>
      <c r="AR214" s="347"/>
      <c r="AV214" s="347"/>
      <c r="AX214" s="347"/>
      <c r="BB214" s="347"/>
      <c r="BC214" s="347"/>
      <c r="BE214" s="347"/>
      <c r="BH214" s="342"/>
      <c r="BI214" s="505" t="s">
        <v>385</v>
      </c>
      <c r="BJ214" s="502" t="s">
        <v>804</v>
      </c>
      <c r="BK214" s="528">
        <v>0</v>
      </c>
      <c r="BL214" s="502" t="s">
        <v>801</v>
      </c>
      <c r="BM214" s="504">
        <v>3.7299999999999998E-3</v>
      </c>
      <c r="BN214" s="504">
        <v>3.7299999999999998E-3</v>
      </c>
      <c r="BO214" s="503" t="s">
        <v>400</v>
      </c>
      <c r="BP214" s="506">
        <v>537.77970000000005</v>
      </c>
      <c r="BQ214" s="502">
        <f t="shared" si="355"/>
        <v>0.53777970000000008</v>
      </c>
      <c r="BR214" s="502" t="s">
        <v>802</v>
      </c>
      <c r="BS214" s="504">
        <v>0.1</v>
      </c>
      <c r="BT214" s="504">
        <v>1</v>
      </c>
      <c r="BU214" s="502" t="s">
        <v>401</v>
      </c>
      <c r="BV214" s="482">
        <v>71.703999999999994</v>
      </c>
      <c r="BW214" s="502">
        <f t="shared" si="356"/>
        <v>7.170399999999999E-2</v>
      </c>
      <c r="BX214" s="502" t="s">
        <v>803</v>
      </c>
      <c r="BY214" s="504">
        <v>1.4999999999999999E-2</v>
      </c>
      <c r="BZ214" s="504">
        <v>0.15</v>
      </c>
      <c r="CA214" s="502" t="s">
        <v>401</v>
      </c>
      <c r="CB214" s="502">
        <v>0</v>
      </c>
      <c r="CC214" s="502">
        <f t="shared" si="357"/>
        <v>0</v>
      </c>
      <c r="CD214" s="502" t="s">
        <v>802</v>
      </c>
      <c r="CE214" s="504">
        <v>0</v>
      </c>
      <c r="CF214" s="504">
        <v>0</v>
      </c>
      <c r="CG214" s="502" t="s">
        <v>401</v>
      </c>
      <c r="CH214" s="482">
        <v>0</v>
      </c>
      <c r="CI214" s="502">
        <f t="shared" si="358"/>
        <v>0</v>
      </c>
      <c r="CJ214" s="502" t="s">
        <v>803</v>
      </c>
      <c r="CK214" s="504">
        <v>0</v>
      </c>
      <c r="CL214" s="504">
        <v>0</v>
      </c>
      <c r="CM214" s="502" t="s">
        <v>401</v>
      </c>
      <c r="CN214" s="360"/>
      <c r="CO214" s="346">
        <v>0.6</v>
      </c>
      <c r="CP214" s="346">
        <v>1</v>
      </c>
    </row>
    <row r="215" spans="1:94" s="344" customFormat="1" ht="16.5" hidden="1" customHeight="1" thickBot="1" x14ac:dyDescent="0.3">
      <c r="A215" s="342"/>
      <c r="V215" s="346"/>
      <c r="AA215" s="347"/>
      <c r="AB215" s="347"/>
      <c r="AD215" s="347"/>
      <c r="AE215" s="348"/>
      <c r="AH215" s="349"/>
      <c r="AI215" s="349"/>
      <c r="AK215" s="347"/>
      <c r="AR215" s="347"/>
      <c r="AV215" s="347"/>
      <c r="AX215" s="347"/>
      <c r="BB215" s="347"/>
      <c r="BC215" s="347"/>
      <c r="BE215" s="347"/>
      <c r="BH215" s="342"/>
      <c r="BI215" s="587" t="s">
        <v>70</v>
      </c>
      <c r="BJ215" s="502" t="s">
        <v>804</v>
      </c>
      <c r="BK215" s="528">
        <v>0</v>
      </c>
      <c r="BL215" s="502" t="s">
        <v>801</v>
      </c>
      <c r="BM215" s="504">
        <v>4.4099999999999999E-3</v>
      </c>
      <c r="BN215" s="504">
        <v>4.4099999999999999E-3</v>
      </c>
      <c r="BO215" s="503" t="s">
        <v>400</v>
      </c>
      <c r="BP215" s="506">
        <v>509.80349999999999</v>
      </c>
      <c r="BQ215" s="502">
        <f t="shared" si="355"/>
        <v>0.50980349999999997</v>
      </c>
      <c r="BR215" s="502" t="s">
        <v>802</v>
      </c>
      <c r="BS215" s="504">
        <v>0.1</v>
      </c>
      <c r="BT215" s="504">
        <v>1</v>
      </c>
      <c r="BU215" s="502" t="s">
        <v>401</v>
      </c>
      <c r="BV215" s="482">
        <v>67.973799999999997</v>
      </c>
      <c r="BW215" s="502">
        <f t="shared" si="356"/>
        <v>6.7973800000000001E-2</v>
      </c>
      <c r="BX215" s="502" t="s">
        <v>803</v>
      </c>
      <c r="BY215" s="504">
        <v>1.4999999999999999E-2</v>
      </c>
      <c r="BZ215" s="504">
        <v>0.15</v>
      </c>
      <c r="CA215" s="502" t="s">
        <v>401</v>
      </c>
      <c r="CB215" s="502">
        <v>0</v>
      </c>
      <c r="CC215" s="502">
        <f t="shared" si="357"/>
        <v>0</v>
      </c>
      <c r="CD215" s="502" t="s">
        <v>802</v>
      </c>
      <c r="CE215" s="504">
        <v>0</v>
      </c>
      <c r="CF215" s="504">
        <v>0</v>
      </c>
      <c r="CG215" s="502" t="s">
        <v>401</v>
      </c>
      <c r="CH215" s="482">
        <v>0</v>
      </c>
      <c r="CI215" s="502">
        <f t="shared" si="358"/>
        <v>0</v>
      </c>
      <c r="CJ215" s="502" t="s">
        <v>803</v>
      </c>
      <c r="CK215" s="504">
        <v>0</v>
      </c>
      <c r="CL215" s="504">
        <v>0</v>
      </c>
      <c r="CM215" s="502" t="s">
        <v>401</v>
      </c>
      <c r="CN215" s="360"/>
      <c r="CO215" s="346">
        <v>0.6</v>
      </c>
      <c r="CP215" s="346">
        <v>1</v>
      </c>
    </row>
    <row r="216" spans="1:94" s="344" customFormat="1" ht="16.5" hidden="1" customHeight="1" thickBot="1" x14ac:dyDescent="0.3">
      <c r="A216" s="342"/>
      <c r="V216" s="346"/>
      <c r="AA216" s="347"/>
      <c r="AB216" s="347"/>
      <c r="AD216" s="347"/>
      <c r="AE216" s="348"/>
      <c r="AH216" s="349"/>
      <c r="AI216" s="349"/>
      <c r="AK216" s="347"/>
      <c r="AR216" s="347"/>
      <c r="AV216" s="347"/>
      <c r="AX216" s="347"/>
      <c r="BB216" s="347"/>
      <c r="BC216" s="347"/>
      <c r="BE216" s="347"/>
      <c r="BH216" s="342"/>
      <c r="BI216" s="587" t="s">
        <v>386</v>
      </c>
      <c r="BJ216" s="502" t="s">
        <v>804</v>
      </c>
      <c r="BK216" s="528">
        <v>0</v>
      </c>
      <c r="BL216" s="502" t="s">
        <v>801</v>
      </c>
      <c r="BM216" s="504">
        <v>3.6800000000000001E-3</v>
      </c>
      <c r="BN216" s="504">
        <v>3.6800000000000001E-3</v>
      </c>
      <c r="BO216" s="503" t="s">
        <v>400</v>
      </c>
      <c r="BP216" s="506">
        <v>509.37279999999998</v>
      </c>
      <c r="BQ216" s="502">
        <f t="shared" si="355"/>
        <v>0.50937279999999996</v>
      </c>
      <c r="BR216" s="502" t="s">
        <v>802</v>
      </c>
      <c r="BS216" s="504">
        <v>0.1</v>
      </c>
      <c r="BT216" s="504">
        <v>1</v>
      </c>
      <c r="BU216" s="502" t="s">
        <v>401</v>
      </c>
      <c r="BV216" s="482">
        <v>67.916399999999996</v>
      </c>
      <c r="BW216" s="502">
        <f t="shared" si="356"/>
        <v>6.7916400000000002E-2</v>
      </c>
      <c r="BX216" s="502" t="s">
        <v>803</v>
      </c>
      <c r="BY216" s="504">
        <v>1.4999999999999999E-2</v>
      </c>
      <c r="BZ216" s="504">
        <v>0.15</v>
      </c>
      <c r="CA216" s="502" t="s">
        <v>401</v>
      </c>
      <c r="CB216" s="502">
        <v>0</v>
      </c>
      <c r="CC216" s="502">
        <f t="shared" si="357"/>
        <v>0</v>
      </c>
      <c r="CD216" s="502" t="s">
        <v>802</v>
      </c>
      <c r="CE216" s="504">
        <v>0</v>
      </c>
      <c r="CF216" s="504">
        <v>0</v>
      </c>
      <c r="CG216" s="502" t="s">
        <v>401</v>
      </c>
      <c r="CH216" s="482">
        <v>0</v>
      </c>
      <c r="CI216" s="502">
        <f t="shared" si="358"/>
        <v>0</v>
      </c>
      <c r="CJ216" s="502" t="s">
        <v>803</v>
      </c>
      <c r="CK216" s="504">
        <v>0</v>
      </c>
      <c r="CL216" s="504">
        <v>0</v>
      </c>
      <c r="CM216" s="502" t="s">
        <v>401</v>
      </c>
      <c r="CN216" s="360"/>
      <c r="CO216" s="346">
        <v>0.6</v>
      </c>
      <c r="CP216" s="346">
        <v>1</v>
      </c>
    </row>
    <row r="217" spans="1:94" s="344" customFormat="1" ht="16.5" hidden="1" customHeight="1" thickBot="1" x14ac:dyDescent="0.3">
      <c r="A217" s="342"/>
      <c r="V217" s="346"/>
      <c r="AA217" s="347"/>
      <c r="AB217" s="347"/>
      <c r="AD217" s="347"/>
      <c r="AE217" s="348"/>
      <c r="AH217" s="349"/>
      <c r="AI217" s="349"/>
      <c r="AK217" s="347"/>
      <c r="AR217" s="347"/>
      <c r="AV217" s="347"/>
      <c r="AX217" s="347"/>
      <c r="BB217" s="347"/>
      <c r="BC217" s="347"/>
      <c r="BE217" s="347"/>
      <c r="BH217" s="342"/>
      <c r="BI217" s="587" t="s">
        <v>387</v>
      </c>
      <c r="BJ217" s="502" t="s">
        <v>804</v>
      </c>
      <c r="BK217" s="528">
        <v>0</v>
      </c>
      <c r="BL217" s="502" t="s">
        <v>801</v>
      </c>
      <c r="BM217" s="504">
        <v>3.5899999999999999E-3</v>
      </c>
      <c r="BN217" s="504">
        <v>3.5899999999999999E-3</v>
      </c>
      <c r="BO217" s="503" t="s">
        <v>400</v>
      </c>
      <c r="BP217" s="506">
        <v>554.66999999999996</v>
      </c>
      <c r="BQ217" s="502">
        <f t="shared" si="355"/>
        <v>0.55467</v>
      </c>
      <c r="BR217" s="502" t="s">
        <v>802</v>
      </c>
      <c r="BS217" s="504">
        <v>0.1</v>
      </c>
      <c r="BT217" s="504">
        <v>1</v>
      </c>
      <c r="BU217" s="502" t="s">
        <v>401</v>
      </c>
      <c r="BV217" s="482">
        <v>73.956000000000003</v>
      </c>
      <c r="BW217" s="502">
        <f t="shared" si="356"/>
        <v>7.3956000000000008E-2</v>
      </c>
      <c r="BX217" s="502" t="s">
        <v>803</v>
      </c>
      <c r="BY217" s="504">
        <v>1.4999999999999999E-2</v>
      </c>
      <c r="BZ217" s="504">
        <v>0.15</v>
      </c>
      <c r="CA217" s="502" t="s">
        <v>401</v>
      </c>
      <c r="CB217" s="502">
        <v>0</v>
      </c>
      <c r="CC217" s="502">
        <f t="shared" si="357"/>
        <v>0</v>
      </c>
      <c r="CD217" s="502" t="s">
        <v>802</v>
      </c>
      <c r="CE217" s="504">
        <v>0</v>
      </c>
      <c r="CF217" s="504">
        <v>0</v>
      </c>
      <c r="CG217" s="502" t="s">
        <v>401</v>
      </c>
      <c r="CH217" s="482">
        <v>0</v>
      </c>
      <c r="CI217" s="502">
        <f t="shared" si="358"/>
        <v>0</v>
      </c>
      <c r="CJ217" s="502" t="s">
        <v>803</v>
      </c>
      <c r="CK217" s="504">
        <v>0</v>
      </c>
      <c r="CL217" s="504">
        <v>0</v>
      </c>
      <c r="CM217" s="502" t="s">
        <v>401</v>
      </c>
      <c r="CN217" s="360"/>
      <c r="CO217" s="346">
        <v>0.6</v>
      </c>
      <c r="CP217" s="346">
        <v>1</v>
      </c>
    </row>
    <row r="218" spans="1:94" s="344" customFormat="1" ht="16.5" hidden="1" customHeight="1" thickBot="1" x14ac:dyDescent="0.3">
      <c r="A218" s="342"/>
      <c r="V218" s="346"/>
      <c r="AA218" s="347"/>
      <c r="AB218" s="347"/>
      <c r="AD218" s="347"/>
      <c r="AE218" s="348"/>
      <c r="AH218" s="349"/>
      <c r="AI218" s="349"/>
      <c r="AK218" s="347"/>
      <c r="AR218" s="347"/>
      <c r="AV218" s="347"/>
      <c r="AX218" s="347"/>
      <c r="BB218" s="347"/>
      <c r="BC218" s="347"/>
      <c r="BE218" s="347"/>
      <c r="BH218" s="342"/>
      <c r="BI218" s="587" t="s">
        <v>388</v>
      </c>
      <c r="BJ218" s="502" t="s">
        <v>804</v>
      </c>
      <c r="BK218" s="528">
        <v>0</v>
      </c>
      <c r="BL218" s="502" t="s">
        <v>801</v>
      </c>
      <c r="BM218" s="504">
        <v>3.4999999999999996E-3</v>
      </c>
      <c r="BN218" s="504">
        <v>3.4999999999999996E-3</v>
      </c>
      <c r="BO218" s="503" t="s">
        <v>400</v>
      </c>
      <c r="BP218" s="506">
        <v>569.07000000000005</v>
      </c>
      <c r="BQ218" s="502">
        <f t="shared" si="355"/>
        <v>0.56907000000000008</v>
      </c>
      <c r="BR218" s="502" t="s">
        <v>802</v>
      </c>
      <c r="BS218" s="504">
        <v>0.1</v>
      </c>
      <c r="BT218" s="504">
        <v>1</v>
      </c>
      <c r="BU218" s="502" t="s">
        <v>401</v>
      </c>
      <c r="BV218" s="482">
        <v>75.876000000000005</v>
      </c>
      <c r="BW218" s="502">
        <f t="shared" si="356"/>
        <v>7.5875999999999999E-2</v>
      </c>
      <c r="BX218" s="502" t="s">
        <v>803</v>
      </c>
      <c r="BY218" s="504">
        <v>1.4999999999999999E-2</v>
      </c>
      <c r="BZ218" s="504">
        <v>0.15</v>
      </c>
      <c r="CA218" s="502" t="s">
        <v>401</v>
      </c>
      <c r="CB218" s="502">
        <v>0</v>
      </c>
      <c r="CC218" s="502">
        <f t="shared" si="357"/>
        <v>0</v>
      </c>
      <c r="CD218" s="502" t="s">
        <v>802</v>
      </c>
      <c r="CE218" s="504">
        <v>0</v>
      </c>
      <c r="CF218" s="504">
        <v>0</v>
      </c>
      <c r="CG218" s="502" t="s">
        <v>401</v>
      </c>
      <c r="CH218" s="482">
        <v>0</v>
      </c>
      <c r="CI218" s="502">
        <f t="shared" si="358"/>
        <v>0</v>
      </c>
      <c r="CJ218" s="502" t="s">
        <v>803</v>
      </c>
      <c r="CK218" s="504">
        <v>0</v>
      </c>
      <c r="CL218" s="504">
        <v>0</v>
      </c>
      <c r="CM218" s="502" t="s">
        <v>401</v>
      </c>
      <c r="CN218" s="360"/>
      <c r="CO218" s="346">
        <v>0.6</v>
      </c>
      <c r="CP218" s="346">
        <v>1</v>
      </c>
    </row>
    <row r="219" spans="1:94" s="344" customFormat="1" ht="16.5" hidden="1" customHeight="1" thickBot="1" x14ac:dyDescent="0.3">
      <c r="A219" s="342"/>
      <c r="V219" s="346"/>
      <c r="AA219" s="347"/>
      <c r="AB219" s="347"/>
      <c r="AD219" s="347"/>
      <c r="AE219" s="348"/>
      <c r="AH219" s="349"/>
      <c r="AI219" s="349"/>
      <c r="AK219" s="347"/>
      <c r="AR219" s="347"/>
      <c r="AV219" s="347"/>
      <c r="AX219" s="347"/>
      <c r="BB219" s="347"/>
      <c r="BC219" s="347"/>
      <c r="BE219" s="347"/>
      <c r="BH219" s="342"/>
      <c r="BI219" s="587" t="s">
        <v>389</v>
      </c>
      <c r="BJ219" s="502" t="s">
        <v>804</v>
      </c>
      <c r="BK219" s="528">
        <v>0</v>
      </c>
      <c r="BL219" s="502" t="s">
        <v>801</v>
      </c>
      <c r="BM219" s="504">
        <v>3.5899999999999999E-3</v>
      </c>
      <c r="BN219" s="504">
        <v>3.5899999999999999E-3</v>
      </c>
      <c r="BO219" s="503" t="s">
        <v>400</v>
      </c>
      <c r="BP219" s="506">
        <v>560.82000000000005</v>
      </c>
      <c r="BQ219" s="502">
        <f t="shared" si="355"/>
        <v>0.5608200000000001</v>
      </c>
      <c r="BR219" s="502" t="s">
        <v>802</v>
      </c>
      <c r="BS219" s="504">
        <v>0.1</v>
      </c>
      <c r="BT219" s="504">
        <v>1</v>
      </c>
      <c r="BU219" s="502" t="s">
        <v>401</v>
      </c>
      <c r="BV219" s="482">
        <v>74.775999999999996</v>
      </c>
      <c r="BW219" s="502">
        <f t="shared" si="356"/>
        <v>7.4775999999999995E-2</v>
      </c>
      <c r="BX219" s="502" t="s">
        <v>803</v>
      </c>
      <c r="BY219" s="504">
        <v>1.4999999999999999E-2</v>
      </c>
      <c r="BZ219" s="504">
        <v>0.15</v>
      </c>
      <c r="CA219" s="502" t="s">
        <v>401</v>
      </c>
      <c r="CB219" s="502">
        <v>0</v>
      </c>
      <c r="CC219" s="502">
        <f t="shared" si="357"/>
        <v>0</v>
      </c>
      <c r="CD219" s="502" t="s">
        <v>802</v>
      </c>
      <c r="CE219" s="504">
        <v>0</v>
      </c>
      <c r="CF219" s="504">
        <v>0</v>
      </c>
      <c r="CG219" s="502" t="s">
        <v>401</v>
      </c>
      <c r="CH219" s="482">
        <v>0</v>
      </c>
      <c r="CI219" s="502">
        <f t="shared" si="358"/>
        <v>0</v>
      </c>
      <c r="CJ219" s="502" t="s">
        <v>803</v>
      </c>
      <c r="CK219" s="504">
        <v>0</v>
      </c>
      <c r="CL219" s="504">
        <v>0</v>
      </c>
      <c r="CM219" s="502" t="s">
        <v>401</v>
      </c>
      <c r="CN219" s="360"/>
      <c r="CO219" s="346">
        <v>0.6</v>
      </c>
      <c r="CP219" s="346">
        <v>1</v>
      </c>
    </row>
    <row r="220" spans="1:94" s="344" customFormat="1" ht="16.5" hidden="1" customHeight="1" thickBot="1" x14ac:dyDescent="0.3">
      <c r="A220" s="342"/>
      <c r="V220" s="346"/>
      <c r="AA220" s="347"/>
      <c r="AB220" s="347"/>
      <c r="AD220" s="347"/>
      <c r="AE220" s="348"/>
      <c r="AH220" s="349"/>
      <c r="AI220" s="349"/>
      <c r="AK220" s="347"/>
      <c r="AR220" s="347"/>
      <c r="AV220" s="347"/>
      <c r="AX220" s="347"/>
      <c r="BB220" s="347"/>
      <c r="BC220" s="347"/>
      <c r="BE220" s="347"/>
      <c r="BH220" s="342"/>
      <c r="BI220" s="587" t="s">
        <v>390</v>
      </c>
      <c r="BJ220" s="502" t="s">
        <v>804</v>
      </c>
      <c r="BK220" s="528">
        <v>0</v>
      </c>
      <c r="BL220" s="502" t="s">
        <v>801</v>
      </c>
      <c r="BM220" s="504">
        <v>3.6099999999999999E-3</v>
      </c>
      <c r="BN220" s="504">
        <v>3.6099999999999999E-3</v>
      </c>
      <c r="BO220" s="503" t="s">
        <v>400</v>
      </c>
      <c r="BP220" s="506">
        <v>557.46</v>
      </c>
      <c r="BQ220" s="502">
        <f t="shared" si="355"/>
        <v>0.55746000000000007</v>
      </c>
      <c r="BR220" s="502" t="s">
        <v>802</v>
      </c>
      <c r="BS220" s="504">
        <v>0.1</v>
      </c>
      <c r="BT220" s="504">
        <v>1</v>
      </c>
      <c r="BU220" s="502" t="s">
        <v>401</v>
      </c>
      <c r="BV220" s="482">
        <v>74.328000000000003</v>
      </c>
      <c r="BW220" s="502">
        <f t="shared" si="356"/>
        <v>7.4328000000000005E-2</v>
      </c>
      <c r="BX220" s="502" t="s">
        <v>803</v>
      </c>
      <c r="BY220" s="504">
        <v>1.4999999999999999E-2</v>
      </c>
      <c r="BZ220" s="504">
        <v>0.15</v>
      </c>
      <c r="CA220" s="502" t="s">
        <v>401</v>
      </c>
      <c r="CB220" s="502">
        <v>0</v>
      </c>
      <c r="CC220" s="502">
        <f t="shared" si="357"/>
        <v>0</v>
      </c>
      <c r="CD220" s="502" t="s">
        <v>802</v>
      </c>
      <c r="CE220" s="504">
        <v>0</v>
      </c>
      <c r="CF220" s="504">
        <v>0</v>
      </c>
      <c r="CG220" s="502" t="s">
        <v>401</v>
      </c>
      <c r="CH220" s="482">
        <v>0</v>
      </c>
      <c r="CI220" s="502">
        <f t="shared" si="358"/>
        <v>0</v>
      </c>
      <c r="CJ220" s="502" t="s">
        <v>803</v>
      </c>
      <c r="CK220" s="504">
        <v>0</v>
      </c>
      <c r="CL220" s="504">
        <v>0</v>
      </c>
      <c r="CM220" s="502" t="s">
        <v>401</v>
      </c>
      <c r="CN220" s="360"/>
      <c r="CO220" s="346">
        <v>0.6</v>
      </c>
      <c r="CP220" s="346">
        <v>1</v>
      </c>
    </row>
    <row r="221" spans="1:94" s="344" customFormat="1" ht="16.5" hidden="1" customHeight="1" thickBot="1" x14ac:dyDescent="0.3">
      <c r="A221" s="342"/>
      <c r="V221" s="346"/>
      <c r="AA221" s="347"/>
      <c r="AB221" s="347"/>
      <c r="AD221" s="347"/>
      <c r="AE221" s="348"/>
      <c r="AH221" s="349"/>
      <c r="AI221" s="349"/>
      <c r="AK221" s="347"/>
      <c r="AR221" s="347"/>
      <c r="AV221" s="347"/>
      <c r="AX221" s="347"/>
      <c r="BB221" s="347"/>
      <c r="BC221" s="347"/>
      <c r="BE221" s="347"/>
      <c r="BH221" s="342"/>
      <c r="BI221" s="505" t="s">
        <v>555</v>
      </c>
      <c r="BJ221" s="502" t="s">
        <v>804</v>
      </c>
      <c r="BK221" s="482">
        <v>2941.7959999999998</v>
      </c>
      <c r="BL221" s="502" t="s">
        <v>801</v>
      </c>
      <c r="BM221" s="504">
        <v>2.2100000000000002E-3</v>
      </c>
      <c r="BN221" s="504">
        <v>2.2100000000000002E-3</v>
      </c>
      <c r="BO221" s="503" t="s">
        <v>400</v>
      </c>
      <c r="BP221" s="506">
        <v>1137.6222</v>
      </c>
      <c r="BQ221" s="502">
        <f t="shared" si="355"/>
        <v>1.1376222</v>
      </c>
      <c r="BR221" s="502" t="s">
        <v>802</v>
      </c>
      <c r="BS221" s="504">
        <v>3.0000000000000001E-3</v>
      </c>
      <c r="BT221" s="504">
        <v>0.03</v>
      </c>
      <c r="BU221" s="502" t="s">
        <v>401</v>
      </c>
      <c r="BV221" s="482">
        <v>3.7921</v>
      </c>
      <c r="BW221" s="502">
        <f t="shared" si="356"/>
        <v>3.7921000000000001E-3</v>
      </c>
      <c r="BX221" s="502" t="s">
        <v>803</v>
      </c>
      <c r="BY221" s="504">
        <v>3.0000000000000001E-3</v>
      </c>
      <c r="BZ221" s="504">
        <v>1.4999999999999999E-2</v>
      </c>
      <c r="CA221" s="502" t="s">
        <v>401</v>
      </c>
      <c r="CB221" s="502">
        <v>0</v>
      </c>
      <c r="CC221" s="502">
        <f t="shared" si="357"/>
        <v>0</v>
      </c>
      <c r="CD221" s="502" t="s">
        <v>802</v>
      </c>
      <c r="CE221" s="504">
        <v>0</v>
      </c>
      <c r="CF221" s="504">
        <v>0</v>
      </c>
      <c r="CG221" s="502" t="s">
        <v>401</v>
      </c>
      <c r="CH221" s="482">
        <v>0</v>
      </c>
      <c r="CI221" s="502">
        <f t="shared" si="358"/>
        <v>0</v>
      </c>
      <c r="CJ221" s="502" t="s">
        <v>803</v>
      </c>
      <c r="CK221" s="504">
        <v>0</v>
      </c>
      <c r="CL221" s="504">
        <v>0</v>
      </c>
      <c r="CM221" s="502" t="s">
        <v>401</v>
      </c>
      <c r="CN221" s="360"/>
      <c r="CO221" s="346">
        <v>0.15</v>
      </c>
      <c r="CP221" s="346">
        <v>0.2</v>
      </c>
    </row>
    <row r="222" spans="1:94" s="344" customFormat="1" ht="16.5" hidden="1" customHeight="1" x14ac:dyDescent="0.25">
      <c r="A222" s="342"/>
      <c r="V222" s="346"/>
      <c r="AA222" s="347"/>
      <c r="AB222" s="347"/>
      <c r="AD222" s="347"/>
      <c r="AE222" s="348"/>
      <c r="AH222" s="349"/>
      <c r="AI222" s="349"/>
      <c r="AK222" s="347"/>
      <c r="AR222" s="347"/>
      <c r="AV222" s="347"/>
      <c r="AX222" s="347"/>
      <c r="BB222" s="347"/>
      <c r="BC222" s="347"/>
      <c r="BE222" s="347"/>
      <c r="BH222" s="342"/>
      <c r="BI222" s="345"/>
      <c r="BJ222" s="473"/>
      <c r="BK222" s="473"/>
      <c r="BL222" s="473"/>
      <c r="BM222" s="463"/>
      <c r="BN222" s="463"/>
      <c r="BO222" s="463"/>
      <c r="BP222" s="507"/>
      <c r="BQ222" s="507"/>
      <c r="BR222" s="507"/>
      <c r="BS222" s="507"/>
      <c r="BT222" s="507"/>
      <c r="BU222" s="507"/>
      <c r="BV222" s="473"/>
      <c r="BW222" s="507"/>
      <c r="BX222" s="507"/>
      <c r="BY222" s="473"/>
      <c r="BZ222" s="473"/>
      <c r="CA222" s="473"/>
      <c r="CB222" s="475"/>
      <c r="CC222" s="507"/>
      <c r="CD222" s="507"/>
      <c r="CE222" s="475"/>
      <c r="CF222" s="475"/>
      <c r="CG222" s="475"/>
      <c r="CH222" s="475"/>
      <c r="CI222" s="507"/>
      <c r="CJ222" s="507"/>
      <c r="CK222" s="475"/>
      <c r="CL222" s="475"/>
      <c r="CM222" s="475"/>
      <c r="CN222" s="360"/>
      <c r="CO222" s="346"/>
      <c r="CP222" s="346"/>
    </row>
    <row r="223" spans="1:94" s="344" customFormat="1" ht="16.5" hidden="1" customHeight="1" thickBot="1" x14ac:dyDescent="0.3">
      <c r="A223" s="342"/>
      <c r="V223" s="346"/>
      <c r="AA223" s="347"/>
      <c r="AB223" s="347"/>
      <c r="AD223" s="347"/>
      <c r="AE223" s="348"/>
      <c r="AH223" s="349"/>
      <c r="AI223" s="349"/>
      <c r="AK223" s="347"/>
      <c r="AR223" s="347"/>
      <c r="AV223" s="347"/>
      <c r="AX223" s="347"/>
      <c r="BB223" s="347"/>
      <c r="BC223" s="347"/>
      <c r="BE223" s="347"/>
      <c r="BH223" s="342"/>
      <c r="BI223" s="345"/>
      <c r="BJ223" s="473"/>
      <c r="BK223" s="473"/>
      <c r="BL223" s="473"/>
      <c r="BM223" s="463"/>
      <c r="BN223" s="463"/>
      <c r="BO223" s="463"/>
      <c r="BP223" s="507"/>
      <c r="BQ223" s="507"/>
      <c r="BR223" s="507"/>
      <c r="BS223" s="507"/>
      <c r="BT223" s="507"/>
      <c r="BU223" s="507"/>
      <c r="BV223" s="473"/>
      <c r="BW223" s="507"/>
      <c r="BX223" s="507"/>
      <c r="BY223" s="473"/>
      <c r="BZ223" s="473"/>
      <c r="CA223" s="473"/>
      <c r="CB223" s="475"/>
      <c r="CC223" s="507"/>
      <c r="CD223" s="507"/>
      <c r="CE223" s="475"/>
      <c r="CF223" s="475"/>
      <c r="CG223" s="475"/>
      <c r="CH223" s="475"/>
      <c r="CI223" s="507"/>
      <c r="CJ223" s="507"/>
      <c r="CK223" s="475"/>
      <c r="CL223" s="475"/>
      <c r="CM223" s="475"/>
      <c r="CN223" s="360"/>
      <c r="CO223" s="346"/>
      <c r="CP223" s="346"/>
    </row>
    <row r="224" spans="1:94" s="344" customFormat="1" ht="26.25" hidden="1" customHeight="1" thickBot="1" x14ac:dyDescent="0.3">
      <c r="A224" s="342"/>
      <c r="V224" s="346"/>
      <c r="AA224" s="347"/>
      <c r="AB224" s="347"/>
      <c r="AD224" s="347"/>
      <c r="AE224" s="348"/>
      <c r="AH224" s="349"/>
      <c r="AI224" s="349"/>
      <c r="AK224" s="347"/>
      <c r="AR224" s="347"/>
      <c r="AV224" s="347"/>
      <c r="AX224" s="347"/>
      <c r="BB224" s="347"/>
      <c r="BC224" s="347"/>
      <c r="BE224" s="347"/>
      <c r="BH224" s="342"/>
      <c r="BI224" s="733" t="s">
        <v>391</v>
      </c>
      <c r="BJ224" s="498"/>
      <c r="BK224" s="733" t="s">
        <v>426</v>
      </c>
      <c r="BL224" s="498"/>
      <c r="BM224" s="733" t="s">
        <v>392</v>
      </c>
      <c r="BN224" s="733" t="s">
        <v>392</v>
      </c>
      <c r="BO224" s="733" t="s">
        <v>399</v>
      </c>
      <c r="BP224" s="735" t="s">
        <v>318</v>
      </c>
      <c r="BQ224" s="736"/>
      <c r="BR224" s="736"/>
      <c r="BS224" s="736"/>
      <c r="BT224" s="736"/>
      <c r="BU224" s="736"/>
      <c r="BV224" s="736"/>
      <c r="BW224" s="736"/>
      <c r="BX224" s="736"/>
      <c r="BY224" s="736"/>
      <c r="BZ224" s="736"/>
      <c r="CA224" s="737"/>
      <c r="CB224" s="735" t="s">
        <v>319</v>
      </c>
      <c r="CC224" s="736"/>
      <c r="CD224" s="736"/>
      <c r="CE224" s="736"/>
      <c r="CF224" s="736"/>
      <c r="CG224" s="736"/>
      <c r="CH224" s="736"/>
      <c r="CI224" s="736"/>
      <c r="CJ224" s="736"/>
      <c r="CK224" s="736"/>
      <c r="CL224" s="736"/>
      <c r="CM224" s="737"/>
      <c r="CN224" s="360"/>
      <c r="CO224" s="346"/>
      <c r="CP224" s="346"/>
    </row>
    <row r="225" spans="1:94" s="344" customFormat="1" ht="58.5" hidden="1" customHeight="1" thickBot="1" x14ac:dyDescent="0.3">
      <c r="A225" s="342"/>
      <c r="V225" s="346"/>
      <c r="AA225" s="347"/>
      <c r="AB225" s="347"/>
      <c r="AD225" s="347"/>
      <c r="AE225" s="348"/>
      <c r="AH225" s="349"/>
      <c r="AI225" s="349"/>
      <c r="AK225" s="347"/>
      <c r="AR225" s="347"/>
      <c r="AV225" s="347"/>
      <c r="AX225" s="347"/>
      <c r="BB225" s="347"/>
      <c r="BC225" s="347"/>
      <c r="BE225" s="347"/>
      <c r="BH225" s="342"/>
      <c r="BI225" s="734"/>
      <c r="BJ225" s="499" t="s">
        <v>412</v>
      </c>
      <c r="BK225" s="734"/>
      <c r="BL225" s="499" t="s">
        <v>410</v>
      </c>
      <c r="BM225" s="734"/>
      <c r="BN225" s="734"/>
      <c r="BO225" s="734"/>
      <c r="BP225" s="500" t="s">
        <v>427</v>
      </c>
      <c r="BQ225" s="500" t="s">
        <v>428</v>
      </c>
      <c r="BR225" s="499" t="s">
        <v>410</v>
      </c>
      <c r="BS225" s="500" t="s">
        <v>392</v>
      </c>
      <c r="BT225" s="500" t="s">
        <v>392</v>
      </c>
      <c r="BU225" s="500" t="s">
        <v>399</v>
      </c>
      <c r="BV225" s="500" t="s">
        <v>429</v>
      </c>
      <c r="BW225" s="500" t="s">
        <v>430</v>
      </c>
      <c r="BX225" s="499" t="s">
        <v>410</v>
      </c>
      <c r="BY225" s="500" t="s">
        <v>392</v>
      </c>
      <c r="BZ225" s="500" t="s">
        <v>392</v>
      </c>
      <c r="CA225" s="500" t="s">
        <v>399</v>
      </c>
      <c r="CB225" s="500" t="s">
        <v>427</v>
      </c>
      <c r="CC225" s="500" t="s">
        <v>428</v>
      </c>
      <c r="CD225" s="499" t="s">
        <v>410</v>
      </c>
      <c r="CE225" s="500" t="s">
        <v>392</v>
      </c>
      <c r="CF225" s="500" t="s">
        <v>392</v>
      </c>
      <c r="CG225" s="500" t="s">
        <v>399</v>
      </c>
      <c r="CH225" s="500" t="s">
        <v>429</v>
      </c>
      <c r="CI225" s="500" t="s">
        <v>430</v>
      </c>
      <c r="CJ225" s="499" t="s">
        <v>410</v>
      </c>
      <c r="CK225" s="500" t="s">
        <v>392</v>
      </c>
      <c r="CL225" s="500" t="s">
        <v>392</v>
      </c>
      <c r="CM225" s="500" t="s">
        <v>399</v>
      </c>
      <c r="CN225" s="360"/>
      <c r="CO225" s="346"/>
      <c r="CP225" s="346"/>
    </row>
    <row r="226" spans="1:94" s="344" customFormat="1" ht="16.5" hidden="1" customHeight="1" thickBot="1" x14ac:dyDescent="0.3">
      <c r="A226" s="342"/>
      <c r="V226" s="346"/>
      <c r="AA226" s="347"/>
      <c r="AB226" s="347"/>
      <c r="AD226" s="417"/>
      <c r="AE226" s="348"/>
      <c r="AH226" s="349"/>
      <c r="AI226" s="349"/>
      <c r="AK226" s="417"/>
      <c r="AR226" s="417"/>
      <c r="AV226" s="347"/>
      <c r="AX226" s="417"/>
      <c r="BB226" s="347"/>
      <c r="BC226" s="347"/>
      <c r="BD226" s="363"/>
      <c r="BE226" s="417"/>
      <c r="BH226" s="342"/>
      <c r="BI226" s="584" t="s">
        <v>762</v>
      </c>
      <c r="BJ226" s="482" t="s">
        <v>411</v>
      </c>
      <c r="BK226" s="482">
        <v>10.148999999999999</v>
      </c>
      <c r="BL226" s="502" t="s">
        <v>603</v>
      </c>
      <c r="BM226" s="504">
        <v>2.0499999999999997E-3</v>
      </c>
      <c r="BN226" s="504">
        <v>2.0499999999999997E-3</v>
      </c>
      <c r="BO226" s="503" t="s">
        <v>400</v>
      </c>
      <c r="BP226" s="482">
        <v>0.01</v>
      </c>
      <c r="BQ226" s="506">
        <f>BP226/1000</f>
        <v>1.0000000000000001E-5</v>
      </c>
      <c r="BR226" s="502" t="s">
        <v>604</v>
      </c>
      <c r="BS226" s="504">
        <v>0.01</v>
      </c>
      <c r="BT226" s="504">
        <v>0.1</v>
      </c>
      <c r="BU226" s="502" t="s">
        <v>401</v>
      </c>
      <c r="BV226" s="482">
        <v>6.0000000000000001E-3</v>
      </c>
      <c r="BW226" s="506">
        <f>BV226/1000</f>
        <v>6.0000000000000002E-6</v>
      </c>
      <c r="BX226" s="502" t="s">
        <v>605</v>
      </c>
      <c r="BY226" s="504">
        <v>2E-3</v>
      </c>
      <c r="BZ226" s="504">
        <v>0.02</v>
      </c>
      <c r="CA226" s="502" t="s">
        <v>401</v>
      </c>
      <c r="CB226" s="482">
        <v>3.6999999999999998E-2</v>
      </c>
      <c r="CC226" s="506">
        <f>CB226/1000</f>
        <v>3.6999999999999998E-5</v>
      </c>
      <c r="CD226" s="502" t="s">
        <v>604</v>
      </c>
      <c r="CE226" s="504">
        <v>1.6E-2</v>
      </c>
      <c r="CF226" s="504">
        <v>9.5000000000000001E-2</v>
      </c>
      <c r="CG226" s="502" t="s">
        <v>401</v>
      </c>
      <c r="CH226" s="482">
        <v>3.6999999999999998E-2</v>
      </c>
      <c r="CI226" s="506">
        <f>CH226/1000</f>
        <v>3.6999999999999998E-5</v>
      </c>
      <c r="CJ226" s="502" t="s">
        <v>605</v>
      </c>
      <c r="CK226" s="504">
        <v>1.2999999999999999E-2</v>
      </c>
      <c r="CL226" s="504">
        <v>0.12</v>
      </c>
      <c r="CM226" s="502" t="s">
        <v>401</v>
      </c>
      <c r="CN226" s="360"/>
      <c r="CO226" s="346">
        <v>0.15</v>
      </c>
      <c r="CP226" s="346">
        <v>0.2</v>
      </c>
    </row>
    <row r="227" spans="1:94" s="344" customFormat="1" ht="16.5" hidden="1" customHeight="1" thickBot="1" x14ac:dyDescent="0.3">
      <c r="A227" s="342"/>
      <c r="V227" s="346"/>
      <c r="AA227" s="347"/>
      <c r="AB227" s="347"/>
      <c r="AD227" s="417"/>
      <c r="AE227" s="348"/>
      <c r="AH227" s="349"/>
      <c r="AI227" s="349"/>
      <c r="AK227" s="417"/>
      <c r="AR227" s="417"/>
      <c r="AV227" s="347"/>
      <c r="AX227" s="417"/>
      <c r="BB227" s="347"/>
      <c r="BC227" s="347"/>
      <c r="BD227" s="363"/>
      <c r="BE227" s="417"/>
      <c r="BH227" s="342"/>
      <c r="BI227" s="584" t="s">
        <v>549</v>
      </c>
      <c r="BJ227" s="482" t="s">
        <v>411</v>
      </c>
      <c r="BK227" s="482">
        <v>8.8085000000000004</v>
      </c>
      <c r="BL227" s="502" t="s">
        <v>603</v>
      </c>
      <c r="BM227" s="504">
        <v>2.0300000000000001E-3</v>
      </c>
      <c r="BN227" s="504">
        <v>2.0300000000000001E-3</v>
      </c>
      <c r="BO227" s="503" t="s">
        <v>400</v>
      </c>
      <c r="BP227" s="482">
        <v>2.6599999999999999E-2</v>
      </c>
      <c r="BQ227" s="506">
        <f>BP227/1000</f>
        <v>2.6599999999999999E-5</v>
      </c>
      <c r="BR227" s="502" t="s">
        <v>604</v>
      </c>
      <c r="BS227" s="504">
        <v>0.01</v>
      </c>
      <c r="BT227" s="504">
        <v>0.1</v>
      </c>
      <c r="BU227" s="502" t="s">
        <v>401</v>
      </c>
      <c r="BV227" s="482">
        <v>5.3E-3</v>
      </c>
      <c r="BW227" s="506">
        <f>BV227/1000</f>
        <v>5.3000000000000001E-6</v>
      </c>
      <c r="BX227" s="502" t="s">
        <v>605</v>
      </c>
      <c r="BY227" s="504">
        <v>2E-3</v>
      </c>
      <c r="BZ227" s="504">
        <v>0.02</v>
      </c>
      <c r="CA227" s="502" t="s">
        <v>401</v>
      </c>
      <c r="CB227" s="482">
        <v>0.29260000000000003</v>
      </c>
      <c r="CC227" s="506">
        <f>CB227/1000</f>
        <v>2.9260000000000001E-4</v>
      </c>
      <c r="CD227" s="502" t="s">
        <v>604</v>
      </c>
      <c r="CE227" s="504">
        <v>9.6000000000000002E-2</v>
      </c>
      <c r="CF227" s="504">
        <v>1.1000000000000001</v>
      </c>
      <c r="CG227" s="502" t="s">
        <v>401</v>
      </c>
      <c r="CH227" s="482">
        <v>2.8400000000000002E-2</v>
      </c>
      <c r="CI227" s="506">
        <f>CH227/1000</f>
        <v>2.8400000000000003E-5</v>
      </c>
      <c r="CJ227" s="502" t="s">
        <v>605</v>
      </c>
      <c r="CK227" s="504">
        <v>9.5999999999999992E-3</v>
      </c>
      <c r="CL227" s="504">
        <v>0.11</v>
      </c>
      <c r="CM227" s="502" t="s">
        <v>401</v>
      </c>
      <c r="CN227" s="360"/>
      <c r="CO227" s="346">
        <v>0.15</v>
      </c>
      <c r="CP227" s="346">
        <v>0.2</v>
      </c>
    </row>
    <row r="228" spans="1:94" s="344" customFormat="1" ht="16.5" hidden="1" customHeight="1" thickBot="1" x14ac:dyDescent="0.3">
      <c r="A228" s="342"/>
      <c r="V228" s="346"/>
      <c r="AA228" s="347"/>
      <c r="AB228" s="347"/>
      <c r="AD228" s="347"/>
      <c r="AE228" s="348"/>
      <c r="AH228" s="349"/>
      <c r="AI228" s="349"/>
      <c r="AK228" s="347"/>
      <c r="AR228" s="347"/>
      <c r="AV228" s="347"/>
      <c r="AX228" s="347"/>
      <c r="BB228" s="347"/>
      <c r="BC228" s="347"/>
      <c r="BE228" s="347"/>
      <c r="BH228" s="342"/>
      <c r="BI228" s="501" t="s">
        <v>393</v>
      </c>
      <c r="BJ228" s="482" t="s">
        <v>411</v>
      </c>
      <c r="BK228" s="482">
        <v>9.6232000000000006</v>
      </c>
      <c r="BL228" s="502" t="s">
        <v>603</v>
      </c>
      <c r="BM228" s="504">
        <v>2.0399999999999997E-3</v>
      </c>
      <c r="BN228" s="504">
        <v>2.0399999999999997E-3</v>
      </c>
      <c r="BO228" s="503" t="s">
        <v>400</v>
      </c>
      <c r="BP228" s="506">
        <v>2.7199999999999998E-2</v>
      </c>
      <c r="BQ228" s="506">
        <f>BP228/1000</f>
        <v>2.7199999999999997E-5</v>
      </c>
      <c r="BR228" s="502" t="s">
        <v>604</v>
      </c>
      <c r="BS228" s="504">
        <v>0.01</v>
      </c>
      <c r="BT228" s="504">
        <v>0.1</v>
      </c>
      <c r="BU228" s="502" t="s">
        <v>401</v>
      </c>
      <c r="BV228" s="482">
        <v>5.4000000000000003E-3</v>
      </c>
      <c r="BW228" s="506">
        <f>BV228/1000</f>
        <v>5.4E-6</v>
      </c>
      <c r="BX228" s="502" t="s">
        <v>605</v>
      </c>
      <c r="BY228" s="504">
        <v>2E-3</v>
      </c>
      <c r="BZ228" s="504">
        <v>0.02</v>
      </c>
      <c r="CA228" s="502" t="s">
        <v>401</v>
      </c>
      <c r="CB228" s="508">
        <v>0</v>
      </c>
      <c r="CC228" s="508">
        <f>CB228/1000</f>
        <v>0</v>
      </c>
      <c r="CD228" s="502" t="s">
        <v>604</v>
      </c>
      <c r="CE228" s="504">
        <v>0</v>
      </c>
      <c r="CF228" s="504">
        <v>0</v>
      </c>
      <c r="CG228" s="502" t="s">
        <v>401</v>
      </c>
      <c r="CH228" s="509">
        <v>0</v>
      </c>
      <c r="CI228" s="508">
        <f>CH228/1000</f>
        <v>0</v>
      </c>
      <c r="CJ228" s="502" t="s">
        <v>605</v>
      </c>
      <c r="CK228" s="504">
        <v>0</v>
      </c>
      <c r="CL228" s="504">
        <v>0</v>
      </c>
      <c r="CM228" s="502" t="s">
        <v>401</v>
      </c>
      <c r="CN228" s="360"/>
      <c r="CO228" s="346">
        <v>0.15</v>
      </c>
      <c r="CP228" s="346">
        <v>0.2</v>
      </c>
    </row>
    <row r="229" spans="1:94" s="344" customFormat="1" ht="16.5" hidden="1" customHeight="1" thickBot="1" x14ac:dyDescent="0.3">
      <c r="A229" s="342"/>
      <c r="V229" s="346"/>
      <c r="AA229" s="347"/>
      <c r="AB229" s="347"/>
      <c r="AD229" s="417"/>
      <c r="AE229" s="348"/>
      <c r="AH229" s="349"/>
      <c r="AI229" s="349"/>
      <c r="AK229" s="417"/>
      <c r="AR229" s="417"/>
      <c r="AV229" s="347"/>
      <c r="AX229" s="417"/>
      <c r="BB229" s="347"/>
      <c r="BC229" s="347"/>
      <c r="BD229" s="363"/>
      <c r="BE229" s="417"/>
      <c r="BH229" s="342"/>
      <c r="BI229" s="505" t="s">
        <v>263</v>
      </c>
      <c r="BJ229" s="482" t="s">
        <v>411</v>
      </c>
      <c r="BK229" s="482">
        <v>11.624599999999999</v>
      </c>
      <c r="BL229" s="502" t="s">
        <v>603</v>
      </c>
      <c r="BM229" s="504">
        <v>2.0699999999999998E-3</v>
      </c>
      <c r="BN229" s="504">
        <v>2.0699999999999998E-3</v>
      </c>
      <c r="BO229" s="503" t="s">
        <v>400</v>
      </c>
      <c r="BP229" s="482">
        <v>3.0200000000000001E-2</v>
      </c>
      <c r="BQ229" s="506">
        <f t="shared" ref="BQ229:BQ238" si="359">BP229/1000</f>
        <v>3.0200000000000002E-5</v>
      </c>
      <c r="BR229" s="502" t="s">
        <v>604</v>
      </c>
      <c r="BS229" s="504">
        <v>0.01</v>
      </c>
      <c r="BT229" s="504">
        <v>0.1</v>
      </c>
      <c r="BU229" s="502" t="s">
        <v>401</v>
      </c>
      <c r="BV229" s="482">
        <v>6.0000000000000001E-3</v>
      </c>
      <c r="BW229" s="506">
        <f t="shared" ref="BW229:BW238" si="360">BV229/1000</f>
        <v>6.0000000000000002E-6</v>
      </c>
      <c r="BX229" s="502" t="s">
        <v>605</v>
      </c>
      <c r="BY229" s="504">
        <v>2E-3</v>
      </c>
      <c r="BZ229" s="504">
        <v>0.02</v>
      </c>
      <c r="CA229" s="502" t="s">
        <v>401</v>
      </c>
      <c r="CB229" s="509">
        <v>0</v>
      </c>
      <c r="CC229" s="508">
        <f t="shared" ref="CC229:CC238" si="361">CB229/1000</f>
        <v>0</v>
      </c>
      <c r="CD229" s="502" t="s">
        <v>604</v>
      </c>
      <c r="CE229" s="504">
        <v>0</v>
      </c>
      <c r="CF229" s="504">
        <v>0</v>
      </c>
      <c r="CG229" s="502" t="s">
        <v>401</v>
      </c>
      <c r="CH229" s="509">
        <v>0</v>
      </c>
      <c r="CI229" s="508">
        <f t="shared" ref="CI229:CI238" si="362">CH229/1000</f>
        <v>0</v>
      </c>
      <c r="CJ229" s="502" t="s">
        <v>605</v>
      </c>
      <c r="CK229" s="504">
        <v>0</v>
      </c>
      <c r="CL229" s="504">
        <v>0</v>
      </c>
      <c r="CM229" s="502" t="s">
        <v>401</v>
      </c>
      <c r="CN229" s="360"/>
      <c r="CO229" s="346">
        <v>0.15</v>
      </c>
      <c r="CP229" s="346">
        <v>0.2</v>
      </c>
    </row>
    <row r="230" spans="1:94" s="344" customFormat="1" ht="16.5" hidden="1" customHeight="1" thickBot="1" x14ac:dyDescent="0.3">
      <c r="A230" s="342"/>
      <c r="V230" s="346"/>
      <c r="AA230" s="347"/>
      <c r="AB230" s="347"/>
      <c r="AD230" s="417"/>
      <c r="AE230" s="348"/>
      <c r="AH230" s="349"/>
      <c r="AI230" s="349"/>
      <c r="AK230" s="417"/>
      <c r="AR230" s="417"/>
      <c r="AV230" s="347"/>
      <c r="AX230" s="417"/>
      <c r="BB230" s="347"/>
      <c r="BC230" s="347"/>
      <c r="BD230" s="363"/>
      <c r="BE230" s="417"/>
      <c r="BH230" s="342"/>
      <c r="BI230" s="505" t="s">
        <v>67</v>
      </c>
      <c r="BJ230" s="482" t="s">
        <v>411</v>
      </c>
      <c r="BK230" s="482">
        <v>11.2818</v>
      </c>
      <c r="BL230" s="502" t="s">
        <v>603</v>
      </c>
      <c r="BM230" s="504">
        <v>2.0599999999999998E-3</v>
      </c>
      <c r="BN230" s="504">
        <v>2.0599999999999998E-3</v>
      </c>
      <c r="BO230" s="503" t="s">
        <v>400</v>
      </c>
      <c r="BP230" s="482">
        <v>3.0300000000000001E-2</v>
      </c>
      <c r="BQ230" s="506">
        <f t="shared" si="359"/>
        <v>3.0300000000000001E-5</v>
      </c>
      <c r="BR230" s="502" t="s">
        <v>604</v>
      </c>
      <c r="BS230" s="504">
        <v>0.01</v>
      </c>
      <c r="BT230" s="504">
        <v>0.1</v>
      </c>
      <c r="BU230" s="502" t="s">
        <v>401</v>
      </c>
      <c r="BV230" s="482">
        <v>6.1000000000000004E-3</v>
      </c>
      <c r="BW230" s="506">
        <f t="shared" si="360"/>
        <v>6.1E-6</v>
      </c>
      <c r="BX230" s="502" t="s">
        <v>605</v>
      </c>
      <c r="BY230" s="504">
        <v>2E-3</v>
      </c>
      <c r="BZ230" s="504">
        <v>0.02</v>
      </c>
      <c r="CA230" s="502" t="s">
        <v>401</v>
      </c>
      <c r="CB230" s="509">
        <v>0</v>
      </c>
      <c r="CC230" s="508">
        <f t="shared" si="361"/>
        <v>0</v>
      </c>
      <c r="CD230" s="502" t="s">
        <v>604</v>
      </c>
      <c r="CE230" s="504">
        <v>0</v>
      </c>
      <c r="CF230" s="504">
        <v>0</v>
      </c>
      <c r="CG230" s="502" t="s">
        <v>401</v>
      </c>
      <c r="CH230" s="509">
        <v>0</v>
      </c>
      <c r="CI230" s="508">
        <f t="shared" si="362"/>
        <v>0</v>
      </c>
      <c r="CJ230" s="502" t="s">
        <v>605</v>
      </c>
      <c r="CK230" s="504">
        <v>0</v>
      </c>
      <c r="CL230" s="504">
        <v>0</v>
      </c>
      <c r="CM230" s="502" t="s">
        <v>401</v>
      </c>
      <c r="CN230" s="360"/>
      <c r="CO230" s="346">
        <v>0.15</v>
      </c>
      <c r="CP230" s="346">
        <v>0.2</v>
      </c>
    </row>
    <row r="231" spans="1:94" s="344" customFormat="1" ht="16.5" hidden="1" customHeight="1" thickBot="1" x14ac:dyDescent="0.3">
      <c r="A231" s="342"/>
      <c r="V231" s="346"/>
      <c r="AA231" s="347"/>
      <c r="AB231" s="347"/>
      <c r="AD231" s="417"/>
      <c r="AE231" s="348"/>
      <c r="AH231" s="349"/>
      <c r="AI231" s="349"/>
      <c r="AK231" s="417"/>
      <c r="AR231" s="417"/>
      <c r="AV231" s="347"/>
      <c r="AX231" s="417"/>
      <c r="BB231" s="347"/>
      <c r="BC231" s="347"/>
      <c r="BD231" s="363"/>
      <c r="BE231" s="417"/>
      <c r="BH231" s="342"/>
      <c r="BI231" s="505" t="s">
        <v>394</v>
      </c>
      <c r="BJ231" s="482" t="s">
        <v>411</v>
      </c>
      <c r="BK231" s="482">
        <v>6.3869999999999996</v>
      </c>
      <c r="BL231" s="502" t="s">
        <v>603</v>
      </c>
      <c r="BM231" s="504">
        <v>2.5600000000000002E-3</v>
      </c>
      <c r="BN231" s="504">
        <v>2.5600000000000002E-3</v>
      </c>
      <c r="BO231" s="503" t="s">
        <v>400</v>
      </c>
      <c r="BP231" s="482">
        <v>2.3699999999999999E-2</v>
      </c>
      <c r="BQ231" s="506">
        <f t="shared" si="359"/>
        <v>2.37E-5</v>
      </c>
      <c r="BR231" s="502" t="s">
        <v>604</v>
      </c>
      <c r="BS231" s="504">
        <v>0.01</v>
      </c>
      <c r="BT231" s="504">
        <v>0.1</v>
      </c>
      <c r="BU231" s="502" t="s">
        <v>401</v>
      </c>
      <c r="BV231" s="482">
        <v>4.7000000000000002E-3</v>
      </c>
      <c r="BW231" s="506">
        <f t="shared" si="360"/>
        <v>4.6999999999999999E-6</v>
      </c>
      <c r="BX231" s="502" t="s">
        <v>605</v>
      </c>
      <c r="BY231" s="504">
        <v>2E-3</v>
      </c>
      <c r="BZ231" s="504">
        <v>0.02</v>
      </c>
      <c r="CA231" s="502" t="s">
        <v>401</v>
      </c>
      <c r="CB231" s="509">
        <v>0</v>
      </c>
      <c r="CC231" s="508">
        <f t="shared" si="361"/>
        <v>0</v>
      </c>
      <c r="CD231" s="502" t="s">
        <v>604</v>
      </c>
      <c r="CE231" s="504">
        <v>0</v>
      </c>
      <c r="CF231" s="504">
        <v>0</v>
      </c>
      <c r="CG231" s="502" t="s">
        <v>401</v>
      </c>
      <c r="CH231" s="509">
        <v>0</v>
      </c>
      <c r="CI231" s="508">
        <f t="shared" si="362"/>
        <v>0</v>
      </c>
      <c r="CJ231" s="502" t="s">
        <v>605</v>
      </c>
      <c r="CK231" s="504">
        <v>0</v>
      </c>
      <c r="CL231" s="504">
        <v>0</v>
      </c>
      <c r="CM231" s="502" t="s">
        <v>401</v>
      </c>
      <c r="CN231" s="360"/>
      <c r="CO231" s="346">
        <v>0.15</v>
      </c>
      <c r="CP231" s="346">
        <v>0.2</v>
      </c>
    </row>
    <row r="232" spans="1:94" s="344" customFormat="1" ht="16.5" hidden="1" customHeight="1" thickBot="1" x14ac:dyDescent="0.3">
      <c r="A232" s="342"/>
      <c r="V232" s="346"/>
      <c r="AA232" s="347"/>
      <c r="AB232" s="347"/>
      <c r="AD232" s="417"/>
      <c r="AE232" s="348"/>
      <c r="AH232" s="349"/>
      <c r="AI232" s="349"/>
      <c r="AK232" s="417"/>
      <c r="AR232" s="417"/>
      <c r="AV232" s="347"/>
      <c r="AX232" s="417"/>
      <c r="BB232" s="347"/>
      <c r="BC232" s="347"/>
      <c r="BD232" s="363"/>
      <c r="BE232" s="417"/>
      <c r="BH232" s="342"/>
      <c r="BI232" s="505" t="s">
        <v>395</v>
      </c>
      <c r="BJ232" s="482" t="s">
        <v>411</v>
      </c>
      <c r="BK232" s="482">
        <v>9.8404000000000007</v>
      </c>
      <c r="BL232" s="502" t="s">
        <v>603</v>
      </c>
      <c r="BM232" s="504">
        <v>2.1299999999999999E-3</v>
      </c>
      <c r="BN232" s="504">
        <v>2.1299999999999999E-3</v>
      </c>
      <c r="BO232" s="503" t="s">
        <v>400</v>
      </c>
      <c r="BP232" s="482">
        <v>2.3300000000000001E-2</v>
      </c>
      <c r="BQ232" s="506">
        <f t="shared" si="359"/>
        <v>2.3300000000000001E-5</v>
      </c>
      <c r="BR232" s="502" t="s">
        <v>604</v>
      </c>
      <c r="BS232" s="504">
        <v>0.01</v>
      </c>
      <c r="BT232" s="504">
        <v>0.1</v>
      </c>
      <c r="BU232" s="502" t="s">
        <v>401</v>
      </c>
      <c r="BV232" s="482">
        <v>4.7000000000000002E-3</v>
      </c>
      <c r="BW232" s="506">
        <f t="shared" si="360"/>
        <v>4.6999999999999999E-6</v>
      </c>
      <c r="BX232" s="502" t="s">
        <v>605</v>
      </c>
      <c r="BY232" s="504">
        <v>2E-3</v>
      </c>
      <c r="BZ232" s="504">
        <v>0.02</v>
      </c>
      <c r="CA232" s="502" t="s">
        <v>401</v>
      </c>
      <c r="CB232" s="509">
        <v>0</v>
      </c>
      <c r="CC232" s="508">
        <f t="shared" si="361"/>
        <v>0</v>
      </c>
      <c r="CD232" s="502" t="s">
        <v>604</v>
      </c>
      <c r="CE232" s="504">
        <v>0</v>
      </c>
      <c r="CF232" s="504">
        <v>0</v>
      </c>
      <c r="CG232" s="502" t="s">
        <v>401</v>
      </c>
      <c r="CH232" s="509">
        <v>0</v>
      </c>
      <c r="CI232" s="508">
        <f t="shared" si="362"/>
        <v>0</v>
      </c>
      <c r="CJ232" s="502" t="s">
        <v>605</v>
      </c>
      <c r="CK232" s="504">
        <v>0</v>
      </c>
      <c r="CL232" s="504">
        <v>0</v>
      </c>
      <c r="CM232" s="502" t="s">
        <v>401</v>
      </c>
      <c r="CN232" s="360"/>
      <c r="CO232" s="346">
        <v>0.15</v>
      </c>
      <c r="CP232" s="346">
        <v>0.2</v>
      </c>
    </row>
    <row r="233" spans="1:94" s="344" customFormat="1" ht="16.5" hidden="1" customHeight="1" thickBot="1" x14ac:dyDescent="0.3">
      <c r="A233" s="342"/>
      <c r="V233" s="346"/>
      <c r="AA233" s="347"/>
      <c r="AB233" s="347"/>
      <c r="AD233" s="417"/>
      <c r="AE233" s="348"/>
      <c r="AH233" s="349"/>
      <c r="AI233" s="349"/>
      <c r="AK233" s="417"/>
      <c r="AR233" s="417"/>
      <c r="AV233" s="347"/>
      <c r="AX233" s="417"/>
      <c r="BB233" s="347"/>
      <c r="BC233" s="347"/>
      <c r="BD233" s="363"/>
      <c r="BE233" s="417"/>
      <c r="BH233" s="342"/>
      <c r="BI233" s="584" t="s">
        <v>396</v>
      </c>
      <c r="BJ233" s="482" t="s">
        <v>411</v>
      </c>
      <c r="BK233" s="528">
        <v>0</v>
      </c>
      <c r="BL233" s="502" t="s">
        <v>603</v>
      </c>
      <c r="BM233" s="504">
        <v>2.98E-3</v>
      </c>
      <c r="BN233" s="504">
        <v>2.98E-3</v>
      </c>
      <c r="BO233" s="503" t="s">
        <v>400</v>
      </c>
      <c r="BP233" s="482">
        <v>2.63E-2</v>
      </c>
      <c r="BQ233" s="506">
        <f t="shared" si="359"/>
        <v>2.6299999999999999E-5</v>
      </c>
      <c r="BR233" s="502" t="s">
        <v>604</v>
      </c>
      <c r="BS233" s="504">
        <v>0.01</v>
      </c>
      <c r="BT233" s="504">
        <v>0.1</v>
      </c>
      <c r="BU233" s="502" t="s">
        <v>401</v>
      </c>
      <c r="BV233" s="482">
        <v>5.3E-3</v>
      </c>
      <c r="BW233" s="506">
        <f t="shared" si="360"/>
        <v>5.3000000000000001E-6</v>
      </c>
      <c r="BX233" s="502" t="s">
        <v>605</v>
      </c>
      <c r="BY233" s="504">
        <v>2E-3</v>
      </c>
      <c r="BZ233" s="504">
        <v>0.02</v>
      </c>
      <c r="CA233" s="502" t="s">
        <v>401</v>
      </c>
      <c r="CB233" s="482">
        <v>3.4200000000000001E-2</v>
      </c>
      <c r="CC233" s="506">
        <f t="shared" si="361"/>
        <v>3.4200000000000005E-5</v>
      </c>
      <c r="CD233" s="502" t="s">
        <v>604</v>
      </c>
      <c r="CE233" s="504">
        <v>1.6E-2</v>
      </c>
      <c r="CF233" s="504">
        <v>9.5000000000000001E-2</v>
      </c>
      <c r="CG233" s="502" t="s">
        <v>401</v>
      </c>
      <c r="CH233" s="482">
        <v>3.4200000000000001E-2</v>
      </c>
      <c r="CI233" s="506">
        <f t="shared" si="362"/>
        <v>3.4200000000000005E-5</v>
      </c>
      <c r="CJ233" s="502" t="s">
        <v>605</v>
      </c>
      <c r="CK233" s="504">
        <v>1.2999999999999999E-2</v>
      </c>
      <c r="CL233" s="504">
        <v>0.12</v>
      </c>
      <c r="CM233" s="502" t="s">
        <v>401</v>
      </c>
      <c r="CN233" s="360"/>
      <c r="CO233" s="346">
        <v>0.6</v>
      </c>
      <c r="CP233" s="346">
        <v>1</v>
      </c>
    </row>
    <row r="234" spans="1:94" s="344" customFormat="1" ht="16.5" hidden="1" customHeight="1" thickBot="1" x14ac:dyDescent="0.3">
      <c r="A234" s="342"/>
      <c r="V234" s="346"/>
      <c r="AA234" s="347"/>
      <c r="AB234" s="347"/>
      <c r="AD234" s="417"/>
      <c r="AE234" s="348"/>
      <c r="AH234" s="349"/>
      <c r="AI234" s="349"/>
      <c r="AK234" s="417"/>
      <c r="AR234" s="417"/>
      <c r="AV234" s="347"/>
      <c r="AX234" s="417"/>
      <c r="BB234" s="347"/>
      <c r="BC234" s="347"/>
      <c r="BD234" s="363"/>
      <c r="BE234" s="417"/>
      <c r="BH234" s="342"/>
      <c r="BI234" s="584" t="s">
        <v>550</v>
      </c>
      <c r="BJ234" s="482" t="s">
        <v>411</v>
      </c>
      <c r="BK234" s="528">
        <v>0</v>
      </c>
      <c r="BL234" s="502" t="s">
        <v>603</v>
      </c>
      <c r="BM234" s="504">
        <v>3.4799999999999996E-3</v>
      </c>
      <c r="BN234" s="504">
        <v>3.4799999999999996E-3</v>
      </c>
      <c r="BO234" s="503" t="s">
        <v>400</v>
      </c>
      <c r="BP234" s="482">
        <v>1.46E-2</v>
      </c>
      <c r="BQ234" s="506">
        <f t="shared" si="359"/>
        <v>1.4600000000000001E-5</v>
      </c>
      <c r="BR234" s="502" t="s">
        <v>604</v>
      </c>
      <c r="BS234" s="504">
        <v>0.01</v>
      </c>
      <c r="BT234" s="504">
        <v>0.1</v>
      </c>
      <c r="BU234" s="502" t="s">
        <v>401</v>
      </c>
      <c r="BV234" s="482">
        <v>2.8999999999999998E-3</v>
      </c>
      <c r="BW234" s="506">
        <f t="shared" si="360"/>
        <v>2.8999999999999998E-6</v>
      </c>
      <c r="BX234" s="502" t="s">
        <v>605</v>
      </c>
      <c r="BY234" s="504">
        <v>2E-3</v>
      </c>
      <c r="BZ234" s="504">
        <v>0.02</v>
      </c>
      <c r="CA234" s="502" t="s">
        <v>401</v>
      </c>
      <c r="CB234" s="482">
        <v>8.77E-2</v>
      </c>
      <c r="CC234" s="506">
        <f t="shared" si="361"/>
        <v>8.7700000000000004E-5</v>
      </c>
      <c r="CD234" s="502" t="s">
        <v>604</v>
      </c>
      <c r="CE234" s="504">
        <v>0.13</v>
      </c>
      <c r="CF234" s="504">
        <v>0.84</v>
      </c>
      <c r="CG234" s="502" t="s">
        <v>401</v>
      </c>
      <c r="CH234" s="482">
        <v>0.19989999999999999</v>
      </c>
      <c r="CI234" s="506">
        <f t="shared" si="362"/>
        <v>1.9990000000000001E-4</v>
      </c>
      <c r="CJ234" s="502" t="s">
        <v>605</v>
      </c>
      <c r="CK234" s="504">
        <v>0.13</v>
      </c>
      <c r="CL234" s="504">
        <v>1.23</v>
      </c>
      <c r="CM234" s="502" t="s">
        <v>401</v>
      </c>
      <c r="CN234" s="360"/>
      <c r="CO234" s="346">
        <v>0.6</v>
      </c>
      <c r="CP234" s="346">
        <v>1</v>
      </c>
    </row>
    <row r="235" spans="1:94" s="344" customFormat="1" ht="16.5" hidden="1" customHeight="1" thickBot="1" x14ac:dyDescent="0.3">
      <c r="A235" s="342"/>
      <c r="V235" s="346"/>
      <c r="AA235" s="347"/>
      <c r="AB235" s="347"/>
      <c r="AD235" s="417"/>
      <c r="AE235" s="348"/>
      <c r="AH235" s="349"/>
      <c r="AI235" s="349"/>
      <c r="AK235" s="417"/>
      <c r="AR235" s="417"/>
      <c r="AV235" s="347"/>
      <c r="AX235" s="417"/>
      <c r="BB235" s="347"/>
      <c r="BC235" s="347"/>
      <c r="BD235" s="363"/>
      <c r="BE235" s="417"/>
      <c r="BH235" s="342"/>
      <c r="BI235" s="505" t="s">
        <v>397</v>
      </c>
      <c r="BJ235" s="482" t="s">
        <v>411</v>
      </c>
      <c r="BK235" s="482">
        <v>10.178100000000001</v>
      </c>
      <c r="BL235" s="502" t="s">
        <v>603</v>
      </c>
      <c r="BM235" s="504">
        <v>2.0599999999999998E-3</v>
      </c>
      <c r="BN235" s="504">
        <v>2.0599999999999998E-3</v>
      </c>
      <c r="BO235" s="503" t="s">
        <v>400</v>
      </c>
      <c r="BP235" s="482">
        <v>2.7199999999999998E-2</v>
      </c>
      <c r="BQ235" s="506">
        <f t="shared" si="359"/>
        <v>2.7199999999999997E-5</v>
      </c>
      <c r="BR235" s="502" t="s">
        <v>604</v>
      </c>
      <c r="BS235" s="504">
        <v>0.01</v>
      </c>
      <c r="BT235" s="504">
        <v>0.1</v>
      </c>
      <c r="BU235" s="502" t="s">
        <v>401</v>
      </c>
      <c r="BV235" s="482">
        <v>5.4000000000000003E-3</v>
      </c>
      <c r="BW235" s="506">
        <f t="shared" si="360"/>
        <v>5.4E-6</v>
      </c>
      <c r="BX235" s="502" t="s">
        <v>605</v>
      </c>
      <c r="BY235" s="504">
        <v>2E-3</v>
      </c>
      <c r="BZ235" s="504">
        <v>0.02</v>
      </c>
      <c r="CA235" s="502" t="s">
        <v>401</v>
      </c>
      <c r="CB235" s="482">
        <v>0</v>
      </c>
      <c r="CC235" s="506">
        <f t="shared" si="361"/>
        <v>0</v>
      </c>
      <c r="CD235" s="502" t="s">
        <v>604</v>
      </c>
      <c r="CE235" s="504">
        <v>0</v>
      </c>
      <c r="CF235" s="504">
        <v>0</v>
      </c>
      <c r="CG235" s="502" t="s">
        <v>401</v>
      </c>
      <c r="CH235" s="482">
        <v>0</v>
      </c>
      <c r="CI235" s="506">
        <f t="shared" si="362"/>
        <v>0</v>
      </c>
      <c r="CJ235" s="502" t="s">
        <v>605</v>
      </c>
      <c r="CK235" s="504">
        <v>0</v>
      </c>
      <c r="CL235" s="504">
        <v>0</v>
      </c>
      <c r="CM235" s="502" t="s">
        <v>401</v>
      </c>
      <c r="CN235" s="360"/>
      <c r="CO235" s="346">
        <v>0.15</v>
      </c>
      <c r="CP235" s="346">
        <v>0.2</v>
      </c>
    </row>
    <row r="236" spans="1:94" s="344" customFormat="1" ht="16.5" hidden="1" customHeight="1" thickBot="1" x14ac:dyDescent="0.3">
      <c r="A236" s="342"/>
      <c r="V236" s="346"/>
      <c r="AA236" s="347"/>
      <c r="AB236" s="347"/>
      <c r="AD236" s="417"/>
      <c r="AE236" s="348"/>
      <c r="AH236" s="349"/>
      <c r="AI236" s="349"/>
      <c r="AK236" s="417"/>
      <c r="AR236" s="417"/>
      <c r="AV236" s="347"/>
      <c r="AX236" s="417"/>
      <c r="BB236" s="347"/>
      <c r="BC236" s="347"/>
      <c r="BD236" s="363"/>
      <c r="BE236" s="417"/>
      <c r="BH236" s="342"/>
      <c r="BI236" s="505" t="s">
        <v>432</v>
      </c>
      <c r="BJ236" s="482" t="s">
        <v>411</v>
      </c>
      <c r="BK236" s="482">
        <v>8.8632000000000009</v>
      </c>
      <c r="BL236" s="502" t="s">
        <v>603</v>
      </c>
      <c r="BM236" s="504">
        <v>2.32E-3</v>
      </c>
      <c r="BN236" s="504">
        <v>2.32E-3</v>
      </c>
      <c r="BO236" s="503" t="s">
        <v>400</v>
      </c>
      <c r="BP236" s="482">
        <v>9.4999999999999998E-3</v>
      </c>
      <c r="BQ236" s="506">
        <f t="shared" si="359"/>
        <v>9.5000000000000005E-6</v>
      </c>
      <c r="BR236" s="502" t="s">
        <v>604</v>
      </c>
      <c r="BS236" s="504">
        <v>0.01</v>
      </c>
      <c r="BT236" s="504">
        <v>0.1</v>
      </c>
      <c r="BU236" s="502" t="s">
        <v>401</v>
      </c>
      <c r="BV236" s="482">
        <v>5.7000000000000002E-3</v>
      </c>
      <c r="BW236" s="506">
        <f t="shared" si="360"/>
        <v>5.7000000000000005E-6</v>
      </c>
      <c r="BX236" s="502" t="s">
        <v>605</v>
      </c>
      <c r="BY236" s="504">
        <v>2E-3</v>
      </c>
      <c r="BZ236" s="504">
        <v>0.02</v>
      </c>
      <c r="CA236" s="502" t="s">
        <v>401</v>
      </c>
      <c r="CB236" s="482">
        <v>3.6999999999999998E-2</v>
      </c>
      <c r="CC236" s="506">
        <f t="shared" si="361"/>
        <v>3.6999999999999998E-5</v>
      </c>
      <c r="CD236" s="502" t="s">
        <v>604</v>
      </c>
      <c r="CE236" s="504">
        <v>1.6E-2</v>
      </c>
      <c r="CF236" s="504">
        <v>9.5000000000000001E-2</v>
      </c>
      <c r="CG236" s="502" t="s">
        <v>401</v>
      </c>
      <c r="CH236" s="482">
        <v>3.6999999999999998E-2</v>
      </c>
      <c r="CI236" s="506">
        <f t="shared" si="362"/>
        <v>3.6999999999999998E-5</v>
      </c>
      <c r="CJ236" s="502" t="s">
        <v>605</v>
      </c>
      <c r="CK236" s="504">
        <v>1.2999999999999999E-2</v>
      </c>
      <c r="CL236" s="504">
        <v>0.12</v>
      </c>
      <c r="CM236" s="502" t="s">
        <v>401</v>
      </c>
      <c r="CN236" s="360"/>
      <c r="CO236" s="346">
        <v>0.15</v>
      </c>
      <c r="CP236" s="346">
        <v>0.2</v>
      </c>
    </row>
    <row r="237" spans="1:94" s="344" customFormat="1" ht="16.5" hidden="1" customHeight="1" thickBot="1" x14ac:dyDescent="0.3">
      <c r="A237" s="342"/>
      <c r="V237" s="346"/>
      <c r="AA237" s="347"/>
      <c r="AB237" s="347"/>
      <c r="AD237" s="417"/>
      <c r="AE237" s="348"/>
      <c r="AH237" s="349"/>
      <c r="AI237" s="349"/>
      <c r="AK237" s="417"/>
      <c r="AR237" s="417"/>
      <c r="AV237" s="347"/>
      <c r="AX237" s="417"/>
      <c r="BB237" s="347"/>
      <c r="BC237" s="347"/>
      <c r="BD237" s="363"/>
      <c r="BE237" s="417"/>
      <c r="BH237" s="342"/>
      <c r="BI237" s="505" t="s">
        <v>431</v>
      </c>
      <c r="BJ237" s="482" t="s">
        <v>411</v>
      </c>
      <c r="BK237" s="482">
        <v>10.2765</v>
      </c>
      <c r="BL237" s="502" t="s">
        <v>603</v>
      </c>
      <c r="BM237" s="504">
        <v>2.0499999999999997E-3</v>
      </c>
      <c r="BN237" s="504">
        <v>2.0499999999999997E-3</v>
      </c>
      <c r="BO237" s="503" t="s">
        <v>400</v>
      </c>
      <c r="BP237" s="482">
        <v>9.5999999999999992E-3</v>
      </c>
      <c r="BQ237" s="506">
        <f>BP237/1000</f>
        <v>9.5999999999999996E-6</v>
      </c>
      <c r="BR237" s="502" t="s">
        <v>604</v>
      </c>
      <c r="BS237" s="504">
        <v>0.01</v>
      </c>
      <c r="BT237" s="504">
        <v>0.1</v>
      </c>
      <c r="BU237" s="502" t="s">
        <v>401</v>
      </c>
      <c r="BV237" s="482">
        <v>5.7999999999999996E-3</v>
      </c>
      <c r="BW237" s="506">
        <f>BV237/1000</f>
        <v>5.7999999999999995E-6</v>
      </c>
      <c r="BX237" s="502" t="s">
        <v>605</v>
      </c>
      <c r="BY237" s="504">
        <v>2E-3</v>
      </c>
      <c r="BZ237" s="504">
        <v>0.02</v>
      </c>
      <c r="CA237" s="502" t="s">
        <v>401</v>
      </c>
      <c r="CB237" s="482">
        <v>3.7400000000000003E-2</v>
      </c>
      <c r="CC237" s="506">
        <f>CB237/1000</f>
        <v>3.7400000000000001E-5</v>
      </c>
      <c r="CD237" s="502" t="s">
        <v>604</v>
      </c>
      <c r="CE237" s="504">
        <v>1.6E-2</v>
      </c>
      <c r="CF237" s="504">
        <v>9.5000000000000001E-2</v>
      </c>
      <c r="CG237" s="502" t="s">
        <v>401</v>
      </c>
      <c r="CH237" s="482">
        <v>3.7400000000000003E-2</v>
      </c>
      <c r="CI237" s="506">
        <f>CH237/1000</f>
        <v>3.7400000000000001E-5</v>
      </c>
      <c r="CJ237" s="502" t="s">
        <v>605</v>
      </c>
      <c r="CK237" s="504">
        <v>1.2999999999999999E-2</v>
      </c>
      <c r="CL237" s="504">
        <v>0.12</v>
      </c>
      <c r="CM237" s="502" t="s">
        <v>401</v>
      </c>
      <c r="CN237" s="360"/>
      <c r="CO237" s="346">
        <v>0.15</v>
      </c>
      <c r="CP237" s="346">
        <v>0.2</v>
      </c>
    </row>
    <row r="238" spans="1:94" s="344" customFormat="1" ht="16.5" hidden="1" customHeight="1" thickBot="1" x14ac:dyDescent="0.3">
      <c r="A238" s="342"/>
      <c r="V238" s="346"/>
      <c r="AA238" s="347"/>
      <c r="AB238" s="347"/>
      <c r="AD238" s="417"/>
      <c r="AE238" s="348"/>
      <c r="AH238" s="349"/>
      <c r="AI238" s="349"/>
      <c r="AK238" s="417"/>
      <c r="AR238" s="417"/>
      <c r="AV238" s="347"/>
      <c r="AX238" s="417"/>
      <c r="BB238" s="347"/>
      <c r="BC238" s="347"/>
      <c r="BD238" s="363"/>
      <c r="BE238" s="417"/>
      <c r="BH238" s="342"/>
      <c r="BI238" s="505" t="s">
        <v>398</v>
      </c>
      <c r="BJ238" s="482" t="s">
        <v>411</v>
      </c>
      <c r="BK238" s="482">
        <v>7.6181000000000001</v>
      </c>
      <c r="BL238" s="502" t="s">
        <v>603</v>
      </c>
      <c r="BM238" s="504">
        <v>2.3400000000000001E-3</v>
      </c>
      <c r="BN238" s="504">
        <v>2.3400000000000001E-3</v>
      </c>
      <c r="BO238" s="503" t="s">
        <v>400</v>
      </c>
      <c r="BP238" s="482">
        <v>2.3900000000000001E-2</v>
      </c>
      <c r="BQ238" s="506">
        <f t="shared" si="359"/>
        <v>2.3900000000000002E-5</v>
      </c>
      <c r="BR238" s="502" t="s">
        <v>604</v>
      </c>
      <c r="BS238" s="504">
        <v>0.01</v>
      </c>
      <c r="BT238" s="504">
        <v>0.1</v>
      </c>
      <c r="BU238" s="502" t="s">
        <v>401</v>
      </c>
      <c r="BV238" s="482">
        <v>4.7999999999999996E-3</v>
      </c>
      <c r="BW238" s="506">
        <f t="shared" si="360"/>
        <v>4.7999999999999998E-6</v>
      </c>
      <c r="BX238" s="502" t="s">
        <v>605</v>
      </c>
      <c r="BY238" s="504">
        <v>2E-3</v>
      </c>
      <c r="BZ238" s="504">
        <v>0.02</v>
      </c>
      <c r="CA238" s="502" t="s">
        <v>401</v>
      </c>
      <c r="CB238" s="482">
        <v>0.26269999999999999</v>
      </c>
      <c r="CC238" s="506">
        <f t="shared" si="361"/>
        <v>2.6269999999999999E-4</v>
      </c>
      <c r="CD238" s="502" t="s">
        <v>604</v>
      </c>
      <c r="CE238" s="504">
        <v>9.6000000000000002E-2</v>
      </c>
      <c r="CF238" s="504">
        <v>1.1000000000000001</v>
      </c>
      <c r="CG238" s="502" t="s">
        <v>401</v>
      </c>
      <c r="CH238" s="482">
        <v>2.5499999999999998E-2</v>
      </c>
      <c r="CI238" s="506">
        <f t="shared" si="362"/>
        <v>2.55E-5</v>
      </c>
      <c r="CJ238" s="502" t="s">
        <v>605</v>
      </c>
      <c r="CK238" s="504">
        <v>9.5999999999999992E-3</v>
      </c>
      <c r="CL238" s="504">
        <v>0.11</v>
      </c>
      <c r="CM238" s="502" t="s">
        <v>401</v>
      </c>
      <c r="CN238" s="360"/>
      <c r="CO238" s="346">
        <v>0.15</v>
      </c>
      <c r="CP238" s="346">
        <v>0.2</v>
      </c>
    </row>
    <row r="239" spans="1:94" s="344" customFormat="1" hidden="1" x14ac:dyDescent="0.25">
      <c r="A239" s="342"/>
      <c r="V239" s="346"/>
      <c r="AA239" s="347"/>
      <c r="AB239" s="347"/>
      <c r="AD239" s="347"/>
      <c r="AE239" s="348"/>
      <c r="AH239" s="349"/>
      <c r="AI239" s="349"/>
      <c r="AK239" s="347"/>
      <c r="AR239" s="347"/>
      <c r="AV239" s="347"/>
      <c r="AX239" s="347"/>
      <c r="BB239" s="347"/>
      <c r="BC239" s="347"/>
      <c r="BE239" s="347"/>
      <c r="BH239" s="342"/>
      <c r="BI239" s="345"/>
      <c r="BJ239" s="473"/>
      <c r="BK239" s="473"/>
      <c r="BL239" s="473"/>
      <c r="BM239" s="463"/>
      <c r="BN239" s="463"/>
      <c r="BO239" s="463"/>
      <c r="BP239" s="507"/>
      <c r="BQ239" s="507"/>
      <c r="BR239" s="507"/>
      <c r="BS239" s="507"/>
      <c r="BT239" s="507"/>
      <c r="BU239" s="507"/>
      <c r="BV239" s="473"/>
      <c r="BW239" s="507"/>
      <c r="BX239" s="507"/>
      <c r="BY239" s="473"/>
      <c r="BZ239" s="473"/>
      <c r="CA239" s="473"/>
      <c r="CB239" s="475"/>
      <c r="CC239" s="507"/>
      <c r="CD239" s="507"/>
      <c r="CE239" s="475"/>
      <c r="CF239" s="475"/>
      <c r="CG239" s="475"/>
      <c r="CH239" s="475"/>
      <c r="CI239" s="507"/>
      <c r="CJ239" s="507"/>
      <c r="CK239" s="475"/>
      <c r="CL239" s="475"/>
      <c r="CM239" s="475"/>
      <c r="CN239" s="360"/>
      <c r="CO239" s="346"/>
      <c r="CP239" s="346"/>
    </row>
    <row r="240" spans="1:94" s="344" customFormat="1" ht="15.75" hidden="1" thickBot="1" x14ac:dyDescent="0.3">
      <c r="A240" s="342"/>
      <c r="V240" s="346"/>
      <c r="AA240" s="347"/>
      <c r="AB240" s="347"/>
      <c r="AD240" s="347"/>
      <c r="AE240" s="348"/>
      <c r="AH240" s="349"/>
      <c r="AI240" s="349"/>
      <c r="AK240" s="347"/>
      <c r="AR240" s="347"/>
      <c r="AV240" s="347"/>
      <c r="AX240" s="347"/>
      <c r="BB240" s="347"/>
      <c r="BC240" s="347"/>
      <c r="BE240" s="347"/>
      <c r="BH240" s="342"/>
      <c r="BI240" s="345"/>
      <c r="BJ240" s="473"/>
      <c r="BK240" s="473"/>
      <c r="BL240" s="473"/>
      <c r="BM240" s="463"/>
      <c r="BN240" s="463"/>
      <c r="BO240" s="463"/>
      <c r="BP240" s="507"/>
      <c r="BQ240" s="507"/>
      <c r="BR240" s="507"/>
      <c r="BS240" s="507"/>
      <c r="BT240" s="507"/>
      <c r="BU240" s="507"/>
      <c r="BV240" s="473"/>
      <c r="BW240" s="507"/>
      <c r="BX240" s="507"/>
      <c r="BY240" s="473"/>
      <c r="BZ240" s="473"/>
      <c r="CA240" s="473"/>
      <c r="CB240" s="475"/>
      <c r="CC240" s="507"/>
      <c r="CD240" s="507"/>
      <c r="CE240" s="475"/>
      <c r="CF240" s="475"/>
      <c r="CG240" s="475"/>
      <c r="CH240" s="475"/>
      <c r="CI240" s="507"/>
      <c r="CJ240" s="507"/>
      <c r="CK240" s="475"/>
      <c r="CL240" s="475"/>
      <c r="CM240" s="475"/>
      <c r="CN240" s="360"/>
      <c r="CO240" s="346"/>
      <c r="CP240" s="346"/>
    </row>
    <row r="241" spans="1:94" s="344" customFormat="1" ht="26.25" hidden="1" customHeight="1" thickBot="1" x14ac:dyDescent="0.3">
      <c r="A241" s="342"/>
      <c r="V241" s="346"/>
      <c r="AA241" s="347"/>
      <c r="AB241" s="347"/>
      <c r="AD241" s="347"/>
      <c r="AE241" s="348"/>
      <c r="AH241" s="349"/>
      <c r="AI241" s="349"/>
      <c r="AK241" s="347"/>
      <c r="AR241" s="347"/>
      <c r="AV241" s="347"/>
      <c r="AX241" s="347"/>
      <c r="BB241" s="347"/>
      <c r="BC241" s="347"/>
      <c r="BE241" s="347"/>
      <c r="BH241" s="342"/>
      <c r="BI241" s="733" t="s">
        <v>391</v>
      </c>
      <c r="BJ241" s="498"/>
      <c r="BK241" s="733" t="s">
        <v>426</v>
      </c>
      <c r="BL241" s="498"/>
      <c r="BM241" s="733" t="s">
        <v>392</v>
      </c>
      <c r="BN241" s="733" t="s">
        <v>392</v>
      </c>
      <c r="BO241" s="733" t="s">
        <v>399</v>
      </c>
      <c r="BP241" s="735" t="s">
        <v>318</v>
      </c>
      <c r="BQ241" s="736"/>
      <c r="BR241" s="736"/>
      <c r="BS241" s="736"/>
      <c r="BT241" s="736"/>
      <c r="BU241" s="736"/>
      <c r="BV241" s="736"/>
      <c r="BW241" s="736"/>
      <c r="BX241" s="736"/>
      <c r="BY241" s="736"/>
      <c r="BZ241" s="736"/>
      <c r="CA241" s="737"/>
      <c r="CB241" s="735" t="s">
        <v>319</v>
      </c>
      <c r="CC241" s="736"/>
      <c r="CD241" s="736"/>
      <c r="CE241" s="736"/>
      <c r="CF241" s="736"/>
      <c r="CG241" s="736"/>
      <c r="CH241" s="736"/>
      <c r="CI241" s="736"/>
      <c r="CJ241" s="736"/>
      <c r="CK241" s="736"/>
      <c r="CL241" s="736"/>
      <c r="CM241" s="737"/>
      <c r="CN241" s="360"/>
      <c r="CO241" s="346"/>
      <c r="CP241" s="346"/>
    </row>
    <row r="242" spans="1:94" s="344" customFormat="1" ht="59.25" hidden="1" customHeight="1" thickBot="1" x14ac:dyDescent="0.3">
      <c r="A242" s="342"/>
      <c r="V242" s="346"/>
      <c r="AA242" s="347"/>
      <c r="AB242" s="347"/>
      <c r="AD242" s="347"/>
      <c r="AE242" s="348"/>
      <c r="AH242" s="349"/>
      <c r="AI242" s="349"/>
      <c r="AK242" s="347"/>
      <c r="AR242" s="347"/>
      <c r="AV242" s="347"/>
      <c r="AX242" s="347"/>
      <c r="BB242" s="347"/>
      <c r="BC242" s="347"/>
      <c r="BE242" s="347"/>
      <c r="BH242" s="342"/>
      <c r="BI242" s="734"/>
      <c r="BJ242" s="499" t="s">
        <v>412</v>
      </c>
      <c r="BK242" s="734"/>
      <c r="BL242" s="499" t="s">
        <v>410</v>
      </c>
      <c r="BM242" s="734"/>
      <c r="BN242" s="734"/>
      <c r="BO242" s="734"/>
      <c r="BP242" s="500" t="s">
        <v>427</v>
      </c>
      <c r="BQ242" s="500" t="s">
        <v>428</v>
      </c>
      <c r="BR242" s="499" t="s">
        <v>410</v>
      </c>
      <c r="BS242" s="500" t="s">
        <v>392</v>
      </c>
      <c r="BT242" s="500" t="s">
        <v>392</v>
      </c>
      <c r="BU242" s="500" t="s">
        <v>399</v>
      </c>
      <c r="BV242" s="500" t="s">
        <v>429</v>
      </c>
      <c r="BW242" s="500" t="s">
        <v>430</v>
      </c>
      <c r="BX242" s="499" t="s">
        <v>410</v>
      </c>
      <c r="BY242" s="500" t="s">
        <v>392</v>
      </c>
      <c r="BZ242" s="500" t="s">
        <v>392</v>
      </c>
      <c r="CA242" s="500" t="s">
        <v>399</v>
      </c>
      <c r="CB242" s="500" t="s">
        <v>427</v>
      </c>
      <c r="CC242" s="500" t="s">
        <v>428</v>
      </c>
      <c r="CD242" s="499" t="s">
        <v>410</v>
      </c>
      <c r="CE242" s="500" t="s">
        <v>392</v>
      </c>
      <c r="CF242" s="500" t="s">
        <v>392</v>
      </c>
      <c r="CG242" s="500" t="s">
        <v>399</v>
      </c>
      <c r="CH242" s="500" t="s">
        <v>429</v>
      </c>
      <c r="CI242" s="500" t="s">
        <v>430</v>
      </c>
      <c r="CJ242" s="499" t="s">
        <v>410</v>
      </c>
      <c r="CK242" s="500" t="s">
        <v>392</v>
      </c>
      <c r="CL242" s="500" t="s">
        <v>392</v>
      </c>
      <c r="CM242" s="500" t="s">
        <v>399</v>
      </c>
      <c r="CN242" s="360"/>
      <c r="CO242" s="346"/>
      <c r="CP242" s="346"/>
    </row>
    <row r="243" spans="1:94" s="344" customFormat="1" ht="17.25" hidden="1" thickBot="1" x14ac:dyDescent="0.3">
      <c r="A243" s="342"/>
      <c r="V243" s="346"/>
      <c r="AA243" s="347"/>
      <c r="AB243" s="347"/>
      <c r="AD243" s="347"/>
      <c r="AE243" s="348"/>
      <c r="AH243" s="349"/>
      <c r="AI243" s="349"/>
      <c r="AK243" s="347"/>
      <c r="AR243" s="347"/>
      <c r="AV243" s="347"/>
      <c r="AX243" s="347"/>
      <c r="BB243" s="347"/>
      <c r="BC243" s="347"/>
      <c r="BE243" s="347"/>
      <c r="BF243" s="363"/>
      <c r="BH243" s="342"/>
      <c r="BI243" s="585" t="s">
        <v>433</v>
      </c>
      <c r="BJ243" s="502" t="s">
        <v>606</v>
      </c>
      <c r="BK243" s="529">
        <v>0</v>
      </c>
      <c r="BL243" s="502" t="s">
        <v>607</v>
      </c>
      <c r="BM243" s="504">
        <v>8.8870000000000005E-2</v>
      </c>
      <c r="BN243" s="504">
        <v>8.8870000000000005E-2</v>
      </c>
      <c r="BO243" s="503" t="s">
        <v>400</v>
      </c>
      <c r="BP243" s="510">
        <v>2.1999999999999999E-2</v>
      </c>
      <c r="BQ243" s="510">
        <f>BP243/1000</f>
        <v>2.1999999999999999E-5</v>
      </c>
      <c r="BR243" s="502" t="s">
        <v>608</v>
      </c>
      <c r="BS243" s="504">
        <v>3.0000000000000001E-3</v>
      </c>
      <c r="BT243" s="504">
        <v>0.03</v>
      </c>
      <c r="BU243" s="502" t="s">
        <v>401</v>
      </c>
      <c r="BV243" s="510">
        <v>2.2000000000000001E-3</v>
      </c>
      <c r="BW243" s="510">
        <f>BV243/1000</f>
        <v>2.2000000000000001E-6</v>
      </c>
      <c r="BX243" s="502" t="s">
        <v>714</v>
      </c>
      <c r="BY243" s="504">
        <v>2.9999999999999997E-4</v>
      </c>
      <c r="BZ243" s="504">
        <v>0.03</v>
      </c>
      <c r="CA243" s="502" t="s">
        <v>401</v>
      </c>
      <c r="CB243" s="482">
        <v>0</v>
      </c>
      <c r="CC243" s="510">
        <f>CB243/1000</f>
        <v>0</v>
      </c>
      <c r="CD243" s="502" t="s">
        <v>608</v>
      </c>
      <c r="CE243" s="504">
        <v>0</v>
      </c>
      <c r="CF243" s="504">
        <v>0</v>
      </c>
      <c r="CG243" s="502" t="s">
        <v>401</v>
      </c>
      <c r="CH243" s="482">
        <v>0</v>
      </c>
      <c r="CI243" s="510">
        <f>CH243/1000</f>
        <v>0</v>
      </c>
      <c r="CJ243" s="502" t="s">
        <v>714</v>
      </c>
      <c r="CK243" s="504">
        <v>0</v>
      </c>
      <c r="CL243" s="504">
        <v>0</v>
      </c>
      <c r="CM243" s="502" t="s">
        <v>401</v>
      </c>
      <c r="CN243" s="360"/>
      <c r="CO243" s="346">
        <v>0.6</v>
      </c>
      <c r="CP243" s="346">
        <v>1</v>
      </c>
    </row>
    <row r="244" spans="1:94" s="344" customFormat="1" ht="17.25" hidden="1" thickBot="1" x14ac:dyDescent="0.3">
      <c r="A244" s="342"/>
      <c r="V244" s="346"/>
      <c r="AA244" s="347"/>
      <c r="AB244" s="347"/>
      <c r="AD244" s="347"/>
      <c r="AE244" s="348"/>
      <c r="AH244" s="349"/>
      <c r="AI244" s="349"/>
      <c r="AK244" s="347"/>
      <c r="AR244" s="347"/>
      <c r="AV244" s="347"/>
      <c r="AX244" s="347"/>
      <c r="BB244" s="347"/>
      <c r="BC244" s="347"/>
      <c r="BE244" s="347"/>
      <c r="BF244" s="363"/>
      <c r="BH244" s="342"/>
      <c r="BI244" s="505" t="s">
        <v>402</v>
      </c>
      <c r="BJ244" s="502" t="s">
        <v>606</v>
      </c>
      <c r="BK244" s="511">
        <v>0.6129</v>
      </c>
      <c r="BL244" s="502" t="s">
        <v>607</v>
      </c>
      <c r="BM244" s="504">
        <v>0.18914999999999998</v>
      </c>
      <c r="BN244" s="504">
        <v>0.18914999999999998</v>
      </c>
      <c r="BO244" s="503" t="s">
        <v>400</v>
      </c>
      <c r="BP244" s="510">
        <v>1.4999999999999999E-2</v>
      </c>
      <c r="BQ244" s="510">
        <f t="shared" ref="BQ244:BQ260" si="363">BP244/1000</f>
        <v>1.4999999999999999E-5</v>
      </c>
      <c r="BR244" s="502" t="s">
        <v>608</v>
      </c>
      <c r="BS244" s="504">
        <v>3.0000000000000001E-3</v>
      </c>
      <c r="BT244" s="504">
        <v>0.03</v>
      </c>
      <c r="BU244" s="502" t="s">
        <v>401</v>
      </c>
      <c r="BV244" s="510">
        <v>1.5E-3</v>
      </c>
      <c r="BW244" s="510">
        <f t="shared" ref="BW244:BW260" si="364">BV244/1000</f>
        <v>1.5E-6</v>
      </c>
      <c r="BX244" s="502" t="s">
        <v>714</v>
      </c>
      <c r="BY244" s="504">
        <v>2.9999999999999997E-4</v>
      </c>
      <c r="BZ244" s="504">
        <v>0.03</v>
      </c>
      <c r="CA244" s="502" t="s">
        <v>401</v>
      </c>
      <c r="CB244" s="482">
        <v>0</v>
      </c>
      <c r="CC244" s="510">
        <f t="shared" ref="CC244:CC260" si="365">CB244/1000</f>
        <v>0</v>
      </c>
      <c r="CD244" s="502" t="s">
        <v>608</v>
      </c>
      <c r="CE244" s="504">
        <v>0</v>
      </c>
      <c r="CF244" s="504">
        <v>0</v>
      </c>
      <c r="CG244" s="502" t="s">
        <v>401</v>
      </c>
      <c r="CH244" s="482">
        <v>0</v>
      </c>
      <c r="CI244" s="510">
        <f t="shared" ref="CI244:CI260" si="366">CH244/1000</f>
        <v>0</v>
      </c>
      <c r="CJ244" s="502" t="s">
        <v>714</v>
      </c>
      <c r="CK244" s="504">
        <v>0</v>
      </c>
      <c r="CL244" s="504">
        <v>0</v>
      </c>
      <c r="CM244" s="502" t="s">
        <v>401</v>
      </c>
      <c r="CN244" s="360"/>
      <c r="CO244" s="346">
        <v>0.15</v>
      </c>
      <c r="CP244" s="346">
        <v>0.2</v>
      </c>
    </row>
    <row r="245" spans="1:94" s="344" customFormat="1" ht="17.25" hidden="1" thickBot="1" x14ac:dyDescent="0.3">
      <c r="A245" s="342"/>
      <c r="V245" s="346"/>
      <c r="AA245" s="347"/>
      <c r="AB245" s="347"/>
      <c r="AD245" s="347"/>
      <c r="AE245" s="348"/>
      <c r="AH245" s="349"/>
      <c r="AI245" s="349"/>
      <c r="AK245" s="347"/>
      <c r="AR245" s="347"/>
      <c r="AV245" s="347"/>
      <c r="AX245" s="347"/>
      <c r="BB245" s="347"/>
      <c r="BC245" s="347"/>
      <c r="BE245" s="347"/>
      <c r="BF245" s="363"/>
      <c r="BH245" s="342"/>
      <c r="BI245" s="584" t="s">
        <v>625</v>
      </c>
      <c r="BJ245" s="502" t="s">
        <v>606</v>
      </c>
      <c r="BK245" s="511">
        <v>1.9805999999999999</v>
      </c>
      <c r="BL245" s="502" t="s">
        <v>607</v>
      </c>
      <c r="BM245" s="504">
        <v>6.5890000000000004E-2</v>
      </c>
      <c r="BN245" s="504">
        <v>6.5890000000000004E-2</v>
      </c>
      <c r="BO245" s="503" t="s">
        <v>400</v>
      </c>
      <c r="BP245" s="510">
        <v>3.5700000000000003E-2</v>
      </c>
      <c r="BQ245" s="510">
        <f>BP245/1000</f>
        <v>3.57E-5</v>
      </c>
      <c r="BR245" s="502" t="s">
        <v>608</v>
      </c>
      <c r="BS245" s="504">
        <v>3.0000000000000001E-3</v>
      </c>
      <c r="BT245" s="504">
        <v>0.03</v>
      </c>
      <c r="BU245" s="502" t="s">
        <v>401</v>
      </c>
      <c r="BV245" s="510">
        <v>3.5999999999999999E-3</v>
      </c>
      <c r="BW245" s="510">
        <f>BV245/1000</f>
        <v>3.5999999999999998E-6</v>
      </c>
      <c r="BX245" s="502" t="s">
        <v>714</v>
      </c>
      <c r="BY245" s="504">
        <v>2.9999999999999997E-4</v>
      </c>
      <c r="BZ245" s="504">
        <v>0.03</v>
      </c>
      <c r="CA245" s="502" t="s">
        <v>401</v>
      </c>
      <c r="CB245" s="482">
        <v>3.28</v>
      </c>
      <c r="CC245" s="510">
        <f>CB245/1000</f>
        <v>3.2799999999999999E-3</v>
      </c>
      <c r="CD245" s="502" t="s">
        <v>608</v>
      </c>
      <c r="CE245" s="504">
        <v>0.5</v>
      </c>
      <c r="CF245" s="504">
        <v>15.4</v>
      </c>
      <c r="CG245" s="502" t="s">
        <v>401</v>
      </c>
      <c r="CH245" s="482">
        <v>0.107</v>
      </c>
      <c r="CI245" s="510">
        <f>CH245/1000</f>
        <v>1.07E-4</v>
      </c>
      <c r="CJ245" s="502" t="s">
        <v>714</v>
      </c>
      <c r="CK245" s="504">
        <v>0.01</v>
      </c>
      <c r="CL245" s="504">
        <v>0.77</v>
      </c>
      <c r="CM245" s="502" t="s">
        <v>401</v>
      </c>
      <c r="CN245" s="360"/>
      <c r="CO245" s="346">
        <v>0.15</v>
      </c>
      <c r="CP245" s="346">
        <v>0.2</v>
      </c>
    </row>
    <row r="246" spans="1:94" s="344" customFormat="1" ht="17.25" hidden="1" thickBot="1" x14ac:dyDescent="0.3">
      <c r="A246" s="342"/>
      <c r="V246" s="346"/>
      <c r="AA246" s="347"/>
      <c r="AB246" s="347"/>
      <c r="AD246" s="347"/>
      <c r="AE246" s="348"/>
      <c r="AH246" s="349"/>
      <c r="AI246" s="349"/>
      <c r="AK246" s="347"/>
      <c r="AR246" s="347"/>
      <c r="AV246" s="347"/>
      <c r="AX246" s="347"/>
      <c r="BB246" s="347"/>
      <c r="BC246" s="347"/>
      <c r="BE246" s="347"/>
      <c r="BF246" s="363"/>
      <c r="BH246" s="342"/>
      <c r="BI246" s="505" t="s">
        <v>71</v>
      </c>
      <c r="BJ246" s="502" t="s">
        <v>606</v>
      </c>
      <c r="BK246" s="511">
        <v>2.1913</v>
      </c>
      <c r="BL246" s="502" t="s">
        <v>607</v>
      </c>
      <c r="BM246" s="504">
        <v>1.15E-3</v>
      </c>
      <c r="BN246" s="504">
        <v>1.15E-3</v>
      </c>
      <c r="BO246" s="503" t="s">
        <v>400</v>
      </c>
      <c r="BP246" s="510">
        <v>3.8699999999999998E-2</v>
      </c>
      <c r="BQ246" s="510">
        <f t="shared" si="363"/>
        <v>3.8699999999999999E-5</v>
      </c>
      <c r="BR246" s="502" t="s">
        <v>608</v>
      </c>
      <c r="BS246" s="504">
        <v>3.0000000000000001E-3</v>
      </c>
      <c r="BT246" s="504">
        <v>0.03</v>
      </c>
      <c r="BU246" s="502" t="s">
        <v>401</v>
      </c>
      <c r="BV246" s="510">
        <v>3.8999999999999998E-3</v>
      </c>
      <c r="BW246" s="510">
        <f t="shared" si="364"/>
        <v>3.8999999999999999E-6</v>
      </c>
      <c r="BX246" s="502" t="s">
        <v>714</v>
      </c>
      <c r="BY246" s="504">
        <v>2.9999999999999997E-4</v>
      </c>
      <c r="BZ246" s="504">
        <v>0.03</v>
      </c>
      <c r="CA246" s="502" t="s">
        <v>401</v>
      </c>
      <c r="CB246" s="482">
        <v>3.5579999999999998</v>
      </c>
      <c r="CC246" s="510">
        <f t="shared" si="365"/>
        <v>3.558E-3</v>
      </c>
      <c r="CD246" s="502" t="s">
        <v>608</v>
      </c>
      <c r="CE246" s="504">
        <v>0.5</v>
      </c>
      <c r="CF246" s="504">
        <v>15.4</v>
      </c>
      <c r="CG246" s="502" t="s">
        <v>401</v>
      </c>
      <c r="CH246" s="482">
        <v>0.11600000000000001</v>
      </c>
      <c r="CI246" s="510">
        <f t="shared" si="366"/>
        <v>1.16E-4</v>
      </c>
      <c r="CJ246" s="502" t="s">
        <v>714</v>
      </c>
      <c r="CK246" s="504">
        <v>0.01</v>
      </c>
      <c r="CL246" s="504">
        <v>0.77</v>
      </c>
      <c r="CM246" s="502" t="s">
        <v>401</v>
      </c>
      <c r="CN246" s="360"/>
      <c r="CO246" s="346">
        <v>0.15</v>
      </c>
      <c r="CP246" s="346">
        <v>0.2</v>
      </c>
    </row>
    <row r="247" spans="1:94" s="344" customFormat="1" ht="17.25" hidden="1" thickBot="1" x14ac:dyDescent="0.3">
      <c r="A247" s="342"/>
      <c r="V247" s="346"/>
      <c r="AA247" s="347"/>
      <c r="AB247" s="347"/>
      <c r="AD247" s="347"/>
      <c r="AE247" s="348"/>
      <c r="AH247" s="349"/>
      <c r="AI247" s="349"/>
      <c r="AK247" s="347"/>
      <c r="AR247" s="347"/>
      <c r="AV247" s="347"/>
      <c r="AX247" s="347"/>
      <c r="BB247" s="347"/>
      <c r="BC247" s="347"/>
      <c r="BE247" s="347"/>
      <c r="BF247" s="363"/>
      <c r="BH247" s="342"/>
      <c r="BI247" s="505" t="s">
        <v>72</v>
      </c>
      <c r="BJ247" s="502" t="s">
        <v>606</v>
      </c>
      <c r="BK247" s="511">
        <v>1.8396999999999999</v>
      </c>
      <c r="BL247" s="502" t="s">
        <v>607</v>
      </c>
      <c r="BM247" s="504">
        <v>1.16E-3</v>
      </c>
      <c r="BN247" s="504">
        <v>1.16E-3</v>
      </c>
      <c r="BO247" s="503" t="s">
        <v>400</v>
      </c>
      <c r="BP247" s="510">
        <v>3.3500000000000002E-2</v>
      </c>
      <c r="BQ247" s="510">
        <f t="shared" si="363"/>
        <v>3.3500000000000001E-5</v>
      </c>
      <c r="BR247" s="502" t="s">
        <v>608</v>
      </c>
      <c r="BS247" s="504">
        <v>3.0000000000000001E-3</v>
      </c>
      <c r="BT247" s="504">
        <v>0.03</v>
      </c>
      <c r="BU247" s="502" t="s">
        <v>401</v>
      </c>
      <c r="BV247" s="510">
        <v>3.3E-3</v>
      </c>
      <c r="BW247" s="510">
        <f t="shared" si="364"/>
        <v>3.3000000000000002E-6</v>
      </c>
      <c r="BX247" s="502" t="s">
        <v>714</v>
      </c>
      <c r="BY247" s="504">
        <v>2.9999999999999997E-4</v>
      </c>
      <c r="BZ247" s="504">
        <v>0.03</v>
      </c>
      <c r="CA247" s="502" t="s">
        <v>401</v>
      </c>
      <c r="CB247" s="482">
        <v>3.0815000000000001</v>
      </c>
      <c r="CC247" s="510">
        <f t="shared" si="365"/>
        <v>3.0815E-3</v>
      </c>
      <c r="CD247" s="502" t="s">
        <v>608</v>
      </c>
      <c r="CE247" s="504">
        <v>0.5</v>
      </c>
      <c r="CF247" s="504">
        <v>15.4</v>
      </c>
      <c r="CG247" s="502" t="s">
        <v>401</v>
      </c>
      <c r="CH247" s="482">
        <v>0.10050000000000001</v>
      </c>
      <c r="CI247" s="510">
        <f t="shared" si="366"/>
        <v>1.005E-4</v>
      </c>
      <c r="CJ247" s="502" t="s">
        <v>714</v>
      </c>
      <c r="CK247" s="504">
        <v>0.01</v>
      </c>
      <c r="CL247" s="504">
        <v>0.77</v>
      </c>
      <c r="CM247" s="502" t="s">
        <v>401</v>
      </c>
      <c r="CN247" s="360"/>
      <c r="CO247" s="346">
        <v>0.15</v>
      </c>
      <c r="CP247" s="346">
        <v>0.2</v>
      </c>
    </row>
    <row r="248" spans="1:94" s="344" customFormat="1" ht="17.25" hidden="1" thickBot="1" x14ac:dyDescent="0.3">
      <c r="A248" s="342"/>
      <c r="V248" s="346"/>
      <c r="AA248" s="347"/>
      <c r="AB248" s="347"/>
      <c r="AD248" s="347"/>
      <c r="AE248" s="348"/>
      <c r="AH248" s="349"/>
      <c r="AI248" s="349"/>
      <c r="AK248" s="347"/>
      <c r="AR248" s="347"/>
      <c r="AV248" s="347"/>
      <c r="AX248" s="347"/>
      <c r="BB248" s="347"/>
      <c r="BC248" s="347"/>
      <c r="BE248" s="347"/>
      <c r="BF248" s="363"/>
      <c r="BH248" s="342"/>
      <c r="BI248" s="505" t="s">
        <v>73</v>
      </c>
      <c r="BJ248" s="502" t="s">
        <v>606</v>
      </c>
      <c r="BK248" s="511">
        <v>1.8259000000000001</v>
      </c>
      <c r="BL248" s="502" t="s">
        <v>607</v>
      </c>
      <c r="BM248" s="504">
        <v>7.107999999999999E-2</v>
      </c>
      <c r="BN248" s="504">
        <v>7.107999999999999E-2</v>
      </c>
      <c r="BO248" s="503" t="s">
        <v>400</v>
      </c>
      <c r="BP248" s="510">
        <v>3.3300000000000003E-2</v>
      </c>
      <c r="BQ248" s="510">
        <f t="shared" si="363"/>
        <v>3.3300000000000003E-5</v>
      </c>
      <c r="BR248" s="502" t="s">
        <v>608</v>
      </c>
      <c r="BS248" s="504">
        <v>3.0000000000000001E-3</v>
      </c>
      <c r="BT248" s="504">
        <v>0.03</v>
      </c>
      <c r="BU248" s="502" t="s">
        <v>401</v>
      </c>
      <c r="BV248" s="510">
        <v>3.3E-3</v>
      </c>
      <c r="BW248" s="510">
        <f t="shared" si="364"/>
        <v>3.3000000000000002E-6</v>
      </c>
      <c r="BX248" s="502" t="s">
        <v>714</v>
      </c>
      <c r="BY248" s="504">
        <v>2.9999999999999997E-4</v>
      </c>
      <c r="BZ248" s="504">
        <v>0.03</v>
      </c>
      <c r="CA248" s="502" t="s">
        <v>401</v>
      </c>
      <c r="CB248" s="482">
        <v>3.0607000000000002</v>
      </c>
      <c r="CC248" s="510">
        <f t="shared" si="365"/>
        <v>3.0607000000000004E-3</v>
      </c>
      <c r="CD248" s="502" t="s">
        <v>608</v>
      </c>
      <c r="CE248" s="504">
        <v>0.5</v>
      </c>
      <c r="CF248" s="504">
        <v>15.4</v>
      </c>
      <c r="CG248" s="502" t="s">
        <v>401</v>
      </c>
      <c r="CH248" s="482">
        <v>9.98E-2</v>
      </c>
      <c r="CI248" s="510">
        <f t="shared" si="366"/>
        <v>9.98E-5</v>
      </c>
      <c r="CJ248" s="502" t="s">
        <v>714</v>
      </c>
      <c r="CK248" s="504">
        <v>0.01</v>
      </c>
      <c r="CL248" s="504">
        <v>0.77</v>
      </c>
      <c r="CM248" s="502" t="s">
        <v>401</v>
      </c>
      <c r="CN248" s="360"/>
      <c r="CO248" s="346">
        <v>0.15</v>
      </c>
      <c r="CP248" s="346">
        <v>0.2</v>
      </c>
    </row>
    <row r="249" spans="1:94" s="344" customFormat="1" ht="17.25" hidden="1" thickBot="1" x14ac:dyDescent="0.3">
      <c r="A249" s="342"/>
      <c r="V249" s="346"/>
      <c r="AA249" s="347"/>
      <c r="AB249" s="347"/>
      <c r="AD249" s="347"/>
      <c r="AE249" s="348"/>
      <c r="AH249" s="349"/>
      <c r="AI249" s="349"/>
      <c r="AK249" s="347"/>
      <c r="AR249" s="347"/>
      <c r="AV249" s="347"/>
      <c r="AX249" s="347"/>
      <c r="BB249" s="347"/>
      <c r="BC249" s="347"/>
      <c r="BE249" s="347"/>
      <c r="BF249" s="363"/>
      <c r="BH249" s="342"/>
      <c r="BI249" s="505" t="s">
        <v>403</v>
      </c>
      <c r="BJ249" s="502" t="s">
        <v>606</v>
      </c>
      <c r="BK249" s="511">
        <v>2.0354999999999999</v>
      </c>
      <c r="BL249" s="502" t="s">
        <v>607</v>
      </c>
      <c r="BM249" s="504">
        <v>6.3630000000000006E-2</v>
      </c>
      <c r="BN249" s="504">
        <v>6.3630000000000006E-2</v>
      </c>
      <c r="BO249" s="503" t="s">
        <v>400</v>
      </c>
      <c r="BP249" s="510">
        <v>3.73E-2</v>
      </c>
      <c r="BQ249" s="510">
        <f t="shared" si="363"/>
        <v>3.7299999999999999E-5</v>
      </c>
      <c r="BR249" s="502" t="s">
        <v>608</v>
      </c>
      <c r="BS249" s="504">
        <v>3.0000000000000001E-3</v>
      </c>
      <c r="BT249" s="504">
        <v>0.03</v>
      </c>
      <c r="BU249" s="502" t="s">
        <v>401</v>
      </c>
      <c r="BV249" s="510">
        <v>3.7000000000000002E-3</v>
      </c>
      <c r="BW249" s="510">
        <f t="shared" si="364"/>
        <v>3.7000000000000002E-6</v>
      </c>
      <c r="BX249" s="502" t="s">
        <v>714</v>
      </c>
      <c r="BY249" s="504">
        <v>2.9999999999999997E-4</v>
      </c>
      <c r="BZ249" s="504">
        <v>0.03</v>
      </c>
      <c r="CA249" s="502" t="s">
        <v>401</v>
      </c>
      <c r="CB249" s="482">
        <v>3.4278</v>
      </c>
      <c r="CC249" s="510">
        <f t="shared" si="365"/>
        <v>3.4277999999999999E-3</v>
      </c>
      <c r="CD249" s="502" t="s">
        <v>608</v>
      </c>
      <c r="CE249" s="504">
        <v>0.5</v>
      </c>
      <c r="CF249" s="504">
        <v>15.4</v>
      </c>
      <c r="CG249" s="502" t="s">
        <v>401</v>
      </c>
      <c r="CH249" s="482">
        <v>0.1118</v>
      </c>
      <c r="CI249" s="510">
        <f t="shared" si="366"/>
        <v>1.1179999999999999E-4</v>
      </c>
      <c r="CJ249" s="502" t="s">
        <v>714</v>
      </c>
      <c r="CK249" s="504">
        <v>0.01</v>
      </c>
      <c r="CL249" s="504">
        <v>0.77</v>
      </c>
      <c r="CM249" s="502" t="s">
        <v>401</v>
      </c>
      <c r="CN249" s="360"/>
      <c r="CO249" s="346">
        <v>0.15</v>
      </c>
      <c r="CP249" s="346">
        <v>0.2</v>
      </c>
    </row>
    <row r="250" spans="1:94" s="344" customFormat="1" ht="17.25" hidden="1" thickBot="1" x14ac:dyDescent="0.3">
      <c r="A250" s="342"/>
      <c r="V250" s="346"/>
      <c r="AA250" s="347"/>
      <c r="AB250" s="347"/>
      <c r="AD250" s="347"/>
      <c r="AE250" s="348"/>
      <c r="AH250" s="349"/>
      <c r="AI250" s="349"/>
      <c r="AK250" s="347"/>
      <c r="AR250" s="347"/>
      <c r="AV250" s="347"/>
      <c r="AX250" s="347"/>
      <c r="BB250" s="347"/>
      <c r="BC250" s="347"/>
      <c r="BE250" s="347"/>
      <c r="BF250" s="363"/>
      <c r="BH250" s="342"/>
      <c r="BI250" s="505" t="s">
        <v>404</v>
      </c>
      <c r="BJ250" s="502" t="s">
        <v>606</v>
      </c>
      <c r="BK250" s="511">
        <v>1.9775</v>
      </c>
      <c r="BL250" s="502" t="s">
        <v>607</v>
      </c>
      <c r="BM250" s="504">
        <v>3.7130000000000003E-2</v>
      </c>
      <c r="BN250" s="504">
        <v>3.7130000000000003E-2</v>
      </c>
      <c r="BO250" s="503" t="s">
        <v>400</v>
      </c>
      <c r="BP250" s="510">
        <v>3.5400000000000001E-2</v>
      </c>
      <c r="BQ250" s="510">
        <f t="shared" si="363"/>
        <v>3.54E-5</v>
      </c>
      <c r="BR250" s="502" t="s">
        <v>608</v>
      </c>
      <c r="BS250" s="504">
        <v>3.0000000000000001E-3</v>
      </c>
      <c r="BT250" s="504">
        <v>0.03</v>
      </c>
      <c r="BU250" s="502" t="s">
        <v>401</v>
      </c>
      <c r="BV250" s="510">
        <v>3.5000000000000001E-3</v>
      </c>
      <c r="BW250" s="510">
        <f t="shared" si="364"/>
        <v>3.4999999999999999E-6</v>
      </c>
      <c r="BX250" s="502" t="s">
        <v>714</v>
      </c>
      <c r="BY250" s="504">
        <v>2.9999999999999997E-4</v>
      </c>
      <c r="BZ250" s="504">
        <v>0.03</v>
      </c>
      <c r="CA250" s="502" t="s">
        <v>401</v>
      </c>
      <c r="CB250" s="482">
        <v>3.2595000000000001</v>
      </c>
      <c r="CC250" s="510">
        <f t="shared" si="365"/>
        <v>3.2595000000000002E-3</v>
      </c>
      <c r="CD250" s="502" t="s">
        <v>608</v>
      </c>
      <c r="CE250" s="504">
        <v>0.5</v>
      </c>
      <c r="CF250" s="504">
        <v>15.4</v>
      </c>
      <c r="CG250" s="502" t="s">
        <v>401</v>
      </c>
      <c r="CH250" s="482">
        <v>0.10630000000000001</v>
      </c>
      <c r="CI250" s="510">
        <f t="shared" si="366"/>
        <v>1.0630000000000001E-4</v>
      </c>
      <c r="CJ250" s="502" t="s">
        <v>714</v>
      </c>
      <c r="CK250" s="504">
        <v>0.01</v>
      </c>
      <c r="CL250" s="504">
        <v>0.77</v>
      </c>
      <c r="CM250" s="502" t="s">
        <v>401</v>
      </c>
      <c r="CN250" s="360"/>
      <c r="CO250" s="346">
        <v>0.15</v>
      </c>
      <c r="CP250" s="346">
        <v>0.2</v>
      </c>
    </row>
    <row r="251" spans="1:94" s="344" customFormat="1" ht="17.25" hidden="1" thickBot="1" x14ac:dyDescent="0.3">
      <c r="A251" s="342"/>
      <c r="V251" s="346"/>
      <c r="AA251" s="347"/>
      <c r="AB251" s="347"/>
      <c r="AD251" s="347"/>
      <c r="AE251" s="348"/>
      <c r="AH251" s="349"/>
      <c r="AI251" s="349"/>
      <c r="AK251" s="347"/>
      <c r="AR251" s="347"/>
      <c r="AV251" s="347"/>
      <c r="AX251" s="347"/>
      <c r="BB251" s="347"/>
      <c r="BC251" s="347"/>
      <c r="BE251" s="347"/>
      <c r="BF251" s="363"/>
      <c r="BH251" s="342"/>
      <c r="BI251" s="505" t="s">
        <v>405</v>
      </c>
      <c r="BJ251" s="502" t="s">
        <v>606</v>
      </c>
      <c r="BK251" s="511">
        <v>2.1621000000000001</v>
      </c>
      <c r="BL251" s="502" t="s">
        <v>607</v>
      </c>
      <c r="BM251" s="504">
        <v>3.0299999999999997E-3</v>
      </c>
      <c r="BN251" s="504">
        <v>3.0299999999999997E-3</v>
      </c>
      <c r="BO251" s="503" t="s">
        <v>400</v>
      </c>
      <c r="BP251" s="510">
        <v>3.7900000000000003E-2</v>
      </c>
      <c r="BQ251" s="510">
        <f t="shared" si="363"/>
        <v>3.7900000000000006E-5</v>
      </c>
      <c r="BR251" s="502" t="s">
        <v>608</v>
      </c>
      <c r="BS251" s="504">
        <v>3.0000000000000001E-3</v>
      </c>
      <c r="BT251" s="504">
        <v>0.03</v>
      </c>
      <c r="BU251" s="502" t="s">
        <v>401</v>
      </c>
      <c r="BV251" s="510">
        <v>3.8E-3</v>
      </c>
      <c r="BW251" s="510">
        <f t="shared" si="364"/>
        <v>3.8E-6</v>
      </c>
      <c r="BX251" s="502" t="s">
        <v>714</v>
      </c>
      <c r="BY251" s="504">
        <v>2.9999999999999997E-4</v>
      </c>
      <c r="BZ251" s="504">
        <v>0.03</v>
      </c>
      <c r="CA251" s="502" t="s">
        <v>401</v>
      </c>
      <c r="CB251" s="482">
        <v>3.49</v>
      </c>
      <c r="CC251" s="510">
        <f t="shared" si="365"/>
        <v>3.49E-3</v>
      </c>
      <c r="CD251" s="502" t="s">
        <v>608</v>
      </c>
      <c r="CE251" s="504">
        <v>0.5</v>
      </c>
      <c r="CF251" s="504">
        <v>15.4</v>
      </c>
      <c r="CG251" s="502" t="s">
        <v>401</v>
      </c>
      <c r="CH251" s="482">
        <v>0.1138</v>
      </c>
      <c r="CI251" s="510">
        <f t="shared" si="366"/>
        <v>1.138E-4</v>
      </c>
      <c r="CJ251" s="502" t="s">
        <v>714</v>
      </c>
      <c r="CK251" s="504">
        <v>0.01</v>
      </c>
      <c r="CL251" s="504">
        <v>0.77</v>
      </c>
      <c r="CM251" s="502" t="s">
        <v>401</v>
      </c>
      <c r="CN251" s="360"/>
      <c r="CO251" s="346">
        <v>0.15</v>
      </c>
      <c r="CP251" s="346">
        <v>0.2</v>
      </c>
    </row>
    <row r="252" spans="1:94" s="344" customFormat="1" ht="17.25" hidden="1" thickBot="1" x14ac:dyDescent="0.3">
      <c r="A252" s="342"/>
      <c r="V252" s="346"/>
      <c r="AA252" s="347"/>
      <c r="AB252" s="347"/>
      <c r="AD252" s="347"/>
      <c r="AE252" s="348"/>
      <c r="AH252" s="349"/>
      <c r="AI252" s="349"/>
      <c r="AK252" s="347"/>
      <c r="AR252" s="347"/>
      <c r="AV252" s="347"/>
      <c r="AX252" s="347"/>
      <c r="BB252" s="347"/>
      <c r="BC252" s="347"/>
      <c r="BE252" s="347"/>
      <c r="BF252" s="363"/>
      <c r="BH252" s="342"/>
      <c r="BI252" s="505" t="s">
        <v>406</v>
      </c>
      <c r="BJ252" s="502" t="s">
        <v>606</v>
      </c>
      <c r="BK252" s="511">
        <v>1.8321000000000001</v>
      </c>
      <c r="BL252" s="502" t="s">
        <v>607</v>
      </c>
      <c r="BM252" s="504">
        <v>7.0720000000000005E-2</v>
      </c>
      <c r="BN252" s="504">
        <v>7.0720000000000005E-2</v>
      </c>
      <c r="BO252" s="503" t="s">
        <v>400</v>
      </c>
      <c r="BP252" s="510">
        <v>3.3500000000000002E-2</v>
      </c>
      <c r="BQ252" s="510">
        <f t="shared" si="363"/>
        <v>3.3500000000000001E-5</v>
      </c>
      <c r="BR252" s="502" t="s">
        <v>608</v>
      </c>
      <c r="BS252" s="504">
        <v>3.0000000000000001E-3</v>
      </c>
      <c r="BT252" s="504">
        <v>0.03</v>
      </c>
      <c r="BU252" s="502" t="s">
        <v>401</v>
      </c>
      <c r="BV252" s="510">
        <v>3.3999999999999998E-3</v>
      </c>
      <c r="BW252" s="510">
        <f t="shared" si="364"/>
        <v>3.3999999999999996E-6</v>
      </c>
      <c r="BX252" s="502" t="s">
        <v>714</v>
      </c>
      <c r="BY252" s="504">
        <v>2.9999999999999997E-4</v>
      </c>
      <c r="BZ252" s="504">
        <v>0.03</v>
      </c>
      <c r="CA252" s="502" t="s">
        <v>401</v>
      </c>
      <c r="CB252" s="482">
        <v>3.0825</v>
      </c>
      <c r="CC252" s="510">
        <f t="shared" si="365"/>
        <v>3.0825000000000002E-3</v>
      </c>
      <c r="CD252" s="502" t="s">
        <v>608</v>
      </c>
      <c r="CE252" s="504">
        <v>0.5</v>
      </c>
      <c r="CF252" s="504">
        <v>15.4</v>
      </c>
      <c r="CG252" s="502" t="s">
        <v>401</v>
      </c>
      <c r="CH252" s="482">
        <v>0.10050000000000001</v>
      </c>
      <c r="CI252" s="510">
        <f t="shared" si="366"/>
        <v>1.005E-4</v>
      </c>
      <c r="CJ252" s="502" t="s">
        <v>714</v>
      </c>
      <c r="CK252" s="504">
        <v>0.01</v>
      </c>
      <c r="CL252" s="504">
        <v>0.77</v>
      </c>
      <c r="CM252" s="502" t="s">
        <v>401</v>
      </c>
      <c r="CN252" s="360"/>
      <c r="CO252" s="346">
        <v>0.15</v>
      </c>
      <c r="CP252" s="346">
        <v>0.2</v>
      </c>
    </row>
    <row r="253" spans="1:94" s="344" customFormat="1" ht="17.25" hidden="1" thickBot="1" x14ac:dyDescent="0.3">
      <c r="A253" s="342"/>
      <c r="V253" s="346"/>
      <c r="AA253" s="347"/>
      <c r="AB253" s="347"/>
      <c r="AD253" s="347"/>
      <c r="AE253" s="348"/>
      <c r="AH253" s="349"/>
      <c r="AI253" s="349"/>
      <c r="AK253" s="347"/>
      <c r="AR253" s="347"/>
      <c r="AV253" s="347"/>
      <c r="AX253" s="347"/>
      <c r="BB253" s="347"/>
      <c r="BC253" s="347"/>
      <c r="BE253" s="347"/>
      <c r="BF253" s="363"/>
      <c r="BH253" s="342"/>
      <c r="BI253" s="505" t="s">
        <v>434</v>
      </c>
      <c r="BJ253" s="502" t="s">
        <v>606</v>
      </c>
      <c r="BK253" s="511">
        <v>4.6929999999999996</v>
      </c>
      <c r="BL253" s="502" t="s">
        <v>607</v>
      </c>
      <c r="BM253" s="504">
        <v>2.6000000000000002E-2</v>
      </c>
      <c r="BN253" s="504">
        <v>2.6000000000000002E-2</v>
      </c>
      <c r="BO253" s="503" t="s">
        <v>400</v>
      </c>
      <c r="BP253" s="510">
        <v>9.9199999999999997E-2</v>
      </c>
      <c r="BQ253" s="510">
        <f t="shared" si="363"/>
        <v>9.9199999999999999E-5</v>
      </c>
      <c r="BR253" s="502" t="s">
        <v>608</v>
      </c>
      <c r="BS253" s="504">
        <v>3.0000000000000001E-3</v>
      </c>
      <c r="BT253" s="504">
        <v>0.03</v>
      </c>
      <c r="BU253" s="502" t="s">
        <v>401</v>
      </c>
      <c r="BV253" s="510">
        <v>9.9000000000000008E-3</v>
      </c>
      <c r="BW253" s="510">
        <f t="shared" si="364"/>
        <v>9.9000000000000001E-6</v>
      </c>
      <c r="BX253" s="502" t="s">
        <v>714</v>
      </c>
      <c r="BY253" s="504">
        <v>2.9999999999999997E-4</v>
      </c>
      <c r="BZ253" s="504">
        <v>0.03</v>
      </c>
      <c r="CA253" s="502" t="s">
        <v>401</v>
      </c>
      <c r="CB253" s="482">
        <v>6.1513</v>
      </c>
      <c r="CC253" s="510">
        <f t="shared" si="365"/>
        <v>6.1513000000000002E-3</v>
      </c>
      <c r="CD253" s="502" t="s">
        <v>608</v>
      </c>
      <c r="CE253" s="504">
        <v>0</v>
      </c>
      <c r="CF253" s="504">
        <v>0</v>
      </c>
      <c r="CG253" s="502" t="s">
        <v>401</v>
      </c>
      <c r="CH253" s="482">
        <v>1.9800000000000002E-2</v>
      </c>
      <c r="CI253" s="510">
        <f t="shared" si="366"/>
        <v>1.98E-5</v>
      </c>
      <c r="CJ253" s="502" t="s">
        <v>714</v>
      </c>
      <c r="CK253" s="504">
        <v>0</v>
      </c>
      <c r="CL253" s="504">
        <v>0</v>
      </c>
      <c r="CM253" s="502" t="s">
        <v>401</v>
      </c>
      <c r="CN253" s="360"/>
      <c r="CO253" s="346">
        <v>0.15</v>
      </c>
      <c r="CP253" s="346">
        <v>0.2</v>
      </c>
    </row>
    <row r="254" spans="1:94" s="344" customFormat="1" ht="17.25" hidden="1" thickBot="1" x14ac:dyDescent="0.3">
      <c r="A254" s="342"/>
      <c r="V254" s="346"/>
      <c r="AA254" s="347"/>
      <c r="AB254" s="347"/>
      <c r="AD254" s="347"/>
      <c r="AE254" s="348"/>
      <c r="AH254" s="349"/>
      <c r="AI254" s="349"/>
      <c r="AK254" s="347"/>
      <c r="AR254" s="347"/>
      <c r="AV254" s="347"/>
      <c r="AX254" s="347"/>
      <c r="BB254" s="347"/>
      <c r="BC254" s="347"/>
      <c r="BE254" s="347"/>
      <c r="BF254" s="363"/>
      <c r="BH254" s="342"/>
      <c r="BI254" s="505" t="s">
        <v>74</v>
      </c>
      <c r="BJ254" s="502" t="s">
        <v>606</v>
      </c>
      <c r="BK254" s="511">
        <v>5.5792000000000002</v>
      </c>
      <c r="BL254" s="502" t="s">
        <v>607</v>
      </c>
      <c r="BM254" s="504">
        <v>2.5219999999999999E-2</v>
      </c>
      <c r="BN254" s="504">
        <v>2.5219999999999999E-2</v>
      </c>
      <c r="BO254" s="503" t="s">
        <v>400</v>
      </c>
      <c r="BP254" s="510">
        <v>8.6300000000000002E-2</v>
      </c>
      <c r="BQ254" s="510">
        <f t="shared" si="363"/>
        <v>8.6299999999999997E-5</v>
      </c>
      <c r="BR254" s="502" t="s">
        <v>608</v>
      </c>
      <c r="BS254" s="504">
        <v>3.0000000000000001E-3</v>
      </c>
      <c r="BT254" s="504">
        <v>0.03</v>
      </c>
      <c r="BU254" s="502" t="s">
        <v>401</v>
      </c>
      <c r="BV254" s="510">
        <v>8.6E-3</v>
      </c>
      <c r="BW254" s="510">
        <f t="shared" si="364"/>
        <v>8.6000000000000007E-6</v>
      </c>
      <c r="BX254" s="502" t="s">
        <v>714</v>
      </c>
      <c r="BY254" s="504">
        <v>2.9999999999999997E-4</v>
      </c>
      <c r="BZ254" s="504">
        <v>0.03</v>
      </c>
      <c r="CA254" s="502" t="s">
        <v>401</v>
      </c>
      <c r="CB254" s="482">
        <v>5.3475999999999999</v>
      </c>
      <c r="CC254" s="510">
        <f t="shared" si="365"/>
        <v>5.3476000000000001E-3</v>
      </c>
      <c r="CD254" s="502" t="s">
        <v>608</v>
      </c>
      <c r="CE254" s="504">
        <v>0</v>
      </c>
      <c r="CF254" s="504">
        <v>0</v>
      </c>
      <c r="CG254" s="502" t="s">
        <v>401</v>
      </c>
      <c r="CH254" s="482">
        <v>1.7299999999999999E-2</v>
      </c>
      <c r="CI254" s="510">
        <f t="shared" si="366"/>
        <v>1.73E-5</v>
      </c>
      <c r="CJ254" s="502" t="s">
        <v>714</v>
      </c>
      <c r="CK254" s="504">
        <v>0</v>
      </c>
      <c r="CL254" s="504">
        <v>0</v>
      </c>
      <c r="CM254" s="502" t="s">
        <v>401</v>
      </c>
      <c r="CN254" s="360"/>
      <c r="CO254" s="346">
        <v>0.15</v>
      </c>
      <c r="CP254" s="346">
        <v>0.2</v>
      </c>
    </row>
    <row r="255" spans="1:94" s="344" customFormat="1" ht="17.25" hidden="1" thickBot="1" x14ac:dyDescent="0.3">
      <c r="A255" s="342"/>
      <c r="V255" s="346"/>
      <c r="AA255" s="347"/>
      <c r="AB255" s="347"/>
      <c r="AD255" s="347"/>
      <c r="AE255" s="348"/>
      <c r="AH255" s="349"/>
      <c r="AI255" s="349"/>
      <c r="AK255" s="347"/>
      <c r="AR255" s="347"/>
      <c r="AV255" s="347"/>
      <c r="AX255" s="347"/>
      <c r="BB255" s="347"/>
      <c r="BC255" s="347"/>
      <c r="BE255" s="347"/>
      <c r="BF255" s="363"/>
      <c r="BH255" s="342"/>
      <c r="BI255" s="505" t="s">
        <v>407</v>
      </c>
      <c r="BJ255" s="502" t="s">
        <v>606</v>
      </c>
      <c r="BK255" s="511">
        <v>2.2818000000000001</v>
      </c>
      <c r="BL255" s="502" t="s">
        <v>607</v>
      </c>
      <c r="BM255" s="504">
        <v>2.8499999999999997E-3</v>
      </c>
      <c r="BN255" s="504">
        <v>2.8499999999999997E-3</v>
      </c>
      <c r="BO255" s="503" t="s">
        <v>400</v>
      </c>
      <c r="BP255" s="510">
        <v>4.0599999999999997E-2</v>
      </c>
      <c r="BQ255" s="510">
        <f t="shared" si="363"/>
        <v>4.0599999999999998E-5</v>
      </c>
      <c r="BR255" s="502" t="s">
        <v>608</v>
      </c>
      <c r="BS255" s="504">
        <v>3.0000000000000001E-3</v>
      </c>
      <c r="BT255" s="504">
        <v>0.03</v>
      </c>
      <c r="BU255" s="502" t="s">
        <v>401</v>
      </c>
      <c r="BV255" s="510">
        <v>4.1000000000000003E-3</v>
      </c>
      <c r="BW255" s="510">
        <f t="shared" si="364"/>
        <v>4.1000000000000006E-6</v>
      </c>
      <c r="BX255" s="502" t="s">
        <v>714</v>
      </c>
      <c r="BY255" s="504">
        <v>2.9999999999999997E-4</v>
      </c>
      <c r="BZ255" s="504">
        <v>0.03</v>
      </c>
      <c r="CA255" s="502" t="s">
        <v>401</v>
      </c>
      <c r="CB255" s="482">
        <v>0</v>
      </c>
      <c r="CC255" s="510">
        <f t="shared" si="365"/>
        <v>0</v>
      </c>
      <c r="CD255" s="502" t="s">
        <v>608</v>
      </c>
      <c r="CE255" s="504">
        <v>0</v>
      </c>
      <c r="CF255" s="504">
        <v>0</v>
      </c>
      <c r="CG255" s="502" t="s">
        <v>401</v>
      </c>
      <c r="CH255" s="482">
        <v>0</v>
      </c>
      <c r="CI255" s="510">
        <f t="shared" si="366"/>
        <v>0</v>
      </c>
      <c r="CJ255" s="502" t="s">
        <v>714</v>
      </c>
      <c r="CK255" s="504">
        <v>0</v>
      </c>
      <c r="CL255" s="504">
        <v>0</v>
      </c>
      <c r="CM255" s="502" t="s">
        <v>401</v>
      </c>
      <c r="CN255" s="360"/>
      <c r="CO255" s="346">
        <v>0.15</v>
      </c>
      <c r="CP255" s="346">
        <v>0.2</v>
      </c>
    </row>
    <row r="256" spans="1:94" s="344" customFormat="1" ht="17.25" hidden="1" thickBot="1" x14ac:dyDescent="0.3">
      <c r="A256" s="342"/>
      <c r="V256" s="346"/>
      <c r="AA256" s="347"/>
      <c r="AB256" s="347"/>
      <c r="AD256" s="347"/>
      <c r="AE256" s="348"/>
      <c r="AH256" s="349"/>
      <c r="AI256" s="349"/>
      <c r="AK256" s="347"/>
      <c r="AR256" s="347"/>
      <c r="AV256" s="347"/>
      <c r="AX256" s="347"/>
      <c r="BB256" s="347"/>
      <c r="BC256" s="347"/>
      <c r="BE256" s="347"/>
      <c r="BF256" s="363"/>
      <c r="BH256" s="342"/>
      <c r="BI256" s="505" t="s">
        <v>551</v>
      </c>
      <c r="BJ256" s="502" t="s">
        <v>606</v>
      </c>
      <c r="BK256" s="511">
        <v>1.9420999999999999</v>
      </c>
      <c r="BL256" s="502" t="s">
        <v>607</v>
      </c>
      <c r="BM256" s="504">
        <v>0.10070999999999999</v>
      </c>
      <c r="BN256" s="504">
        <v>0.10070999999999999</v>
      </c>
      <c r="BO256" s="503" t="s">
        <v>400</v>
      </c>
      <c r="BP256" s="510">
        <v>3.5499999999999997E-2</v>
      </c>
      <c r="BQ256" s="510">
        <f t="shared" si="363"/>
        <v>3.5499999999999996E-5</v>
      </c>
      <c r="BR256" s="502" t="s">
        <v>608</v>
      </c>
      <c r="BS256" s="504">
        <v>3.0000000000000001E-3</v>
      </c>
      <c r="BT256" s="504">
        <v>0.03</v>
      </c>
      <c r="BU256" s="502" t="s">
        <v>401</v>
      </c>
      <c r="BV256" s="510">
        <v>3.5999999999999999E-3</v>
      </c>
      <c r="BW256" s="510">
        <f t="shared" si="364"/>
        <v>3.5999999999999998E-6</v>
      </c>
      <c r="BX256" s="502" t="s">
        <v>714</v>
      </c>
      <c r="BY256" s="504">
        <v>2.9999999999999997E-4</v>
      </c>
      <c r="BZ256" s="504">
        <v>0.03</v>
      </c>
      <c r="CA256" s="502" t="s">
        <v>401</v>
      </c>
      <c r="CB256" s="482">
        <v>3.2690000000000001</v>
      </c>
      <c r="CC256" s="510">
        <f t="shared" si="365"/>
        <v>3.2690000000000002E-3</v>
      </c>
      <c r="CD256" s="502" t="s">
        <v>608</v>
      </c>
      <c r="CE256" s="504">
        <v>0.5</v>
      </c>
      <c r="CF256" s="504">
        <v>15.4</v>
      </c>
      <c r="CG256" s="502" t="s">
        <v>401</v>
      </c>
      <c r="CH256" s="482">
        <v>0.1066</v>
      </c>
      <c r="CI256" s="510">
        <f t="shared" si="366"/>
        <v>1.066E-4</v>
      </c>
      <c r="CJ256" s="502" t="s">
        <v>714</v>
      </c>
      <c r="CK256" s="504">
        <v>0.01</v>
      </c>
      <c r="CL256" s="504">
        <v>0.77</v>
      </c>
      <c r="CM256" s="502" t="s">
        <v>401</v>
      </c>
      <c r="CN256" s="360"/>
      <c r="CO256" s="346">
        <v>0.15</v>
      </c>
      <c r="CP256" s="346">
        <v>0.2</v>
      </c>
    </row>
    <row r="257" spans="1:94" s="344" customFormat="1" ht="17.25" hidden="1" thickBot="1" x14ac:dyDescent="0.3">
      <c r="A257" s="342"/>
      <c r="V257" s="346"/>
      <c r="AA257" s="347"/>
      <c r="AB257" s="347"/>
      <c r="AD257" s="347"/>
      <c r="AE257" s="348"/>
      <c r="AH257" s="349"/>
      <c r="AI257" s="349"/>
      <c r="AK257" s="347"/>
      <c r="AR257" s="347"/>
      <c r="AV257" s="347"/>
      <c r="AX257" s="347"/>
      <c r="BB257" s="347"/>
      <c r="BC257" s="347"/>
      <c r="BE257" s="347"/>
      <c r="BF257" s="363"/>
      <c r="BH257" s="342"/>
      <c r="BI257" s="505" t="s">
        <v>552</v>
      </c>
      <c r="BJ257" s="502" t="s">
        <v>606</v>
      </c>
      <c r="BK257" s="511">
        <v>2.101</v>
      </c>
      <c r="BL257" s="502" t="s">
        <v>607</v>
      </c>
      <c r="BM257" s="504">
        <v>6.6460000000000005E-2</v>
      </c>
      <c r="BN257" s="504">
        <v>6.6460000000000005E-2</v>
      </c>
      <c r="BO257" s="503" t="s">
        <v>400</v>
      </c>
      <c r="BP257" s="510">
        <v>3.73E-2</v>
      </c>
      <c r="BQ257" s="510">
        <f t="shared" si="363"/>
        <v>3.7299999999999999E-5</v>
      </c>
      <c r="BR257" s="502" t="s">
        <v>608</v>
      </c>
      <c r="BS257" s="504">
        <v>3.0000000000000001E-3</v>
      </c>
      <c r="BT257" s="504">
        <v>0.03</v>
      </c>
      <c r="BU257" s="502" t="s">
        <v>401</v>
      </c>
      <c r="BV257" s="510">
        <v>3.7000000000000002E-3</v>
      </c>
      <c r="BW257" s="510">
        <f t="shared" si="364"/>
        <v>3.7000000000000002E-6</v>
      </c>
      <c r="BX257" s="502" t="s">
        <v>714</v>
      </c>
      <c r="BY257" s="504">
        <v>2.9999999999999997E-4</v>
      </c>
      <c r="BZ257" s="504">
        <v>0.03</v>
      </c>
      <c r="CA257" s="502" t="s">
        <v>401</v>
      </c>
      <c r="CB257" s="482">
        <v>3.4272999999999998</v>
      </c>
      <c r="CC257" s="510">
        <f t="shared" si="365"/>
        <v>3.4272999999999999E-3</v>
      </c>
      <c r="CD257" s="502" t="s">
        <v>608</v>
      </c>
      <c r="CE257" s="504">
        <v>0.5</v>
      </c>
      <c r="CF257" s="504">
        <v>15.4</v>
      </c>
      <c r="CG257" s="502" t="s">
        <v>401</v>
      </c>
      <c r="CH257" s="482">
        <v>0.1118</v>
      </c>
      <c r="CI257" s="510">
        <f t="shared" si="366"/>
        <v>1.1179999999999999E-4</v>
      </c>
      <c r="CJ257" s="502" t="s">
        <v>714</v>
      </c>
      <c r="CK257" s="504">
        <v>0.01</v>
      </c>
      <c r="CL257" s="504">
        <v>0.77</v>
      </c>
      <c r="CM257" s="502" t="s">
        <v>401</v>
      </c>
      <c r="CN257" s="360"/>
      <c r="CO257" s="346">
        <v>0.15</v>
      </c>
      <c r="CP257" s="346">
        <v>0.2</v>
      </c>
    </row>
    <row r="258" spans="1:94" s="344" customFormat="1" ht="17.25" hidden="1" thickBot="1" x14ac:dyDescent="0.3">
      <c r="A258" s="342"/>
      <c r="V258" s="346"/>
      <c r="AA258" s="347"/>
      <c r="AB258" s="347"/>
      <c r="AD258" s="347"/>
      <c r="AE258" s="348"/>
      <c r="AH258" s="349"/>
      <c r="AI258" s="349"/>
      <c r="AK258" s="347"/>
      <c r="AR258" s="347"/>
      <c r="AV258" s="347"/>
      <c r="AX258" s="347"/>
      <c r="BB258" s="347"/>
      <c r="BC258" s="347"/>
      <c r="BE258" s="347"/>
      <c r="BF258" s="363"/>
      <c r="BH258" s="342"/>
      <c r="BI258" s="505" t="s">
        <v>553</v>
      </c>
      <c r="BJ258" s="502" t="s">
        <v>606</v>
      </c>
      <c r="BK258" s="511">
        <v>2.1795</v>
      </c>
      <c r="BL258" s="502" t="s">
        <v>607</v>
      </c>
      <c r="BM258" s="504">
        <v>4.79E-3</v>
      </c>
      <c r="BN258" s="504">
        <v>4.79E-3</v>
      </c>
      <c r="BO258" s="503" t="s">
        <v>400</v>
      </c>
      <c r="BP258" s="510">
        <v>3.85E-2</v>
      </c>
      <c r="BQ258" s="510">
        <f>BP258/1000</f>
        <v>3.8500000000000001E-5</v>
      </c>
      <c r="BR258" s="502" t="s">
        <v>608</v>
      </c>
      <c r="BS258" s="504">
        <v>3.0000000000000001E-3</v>
      </c>
      <c r="BT258" s="504">
        <v>0.03</v>
      </c>
      <c r="BU258" s="502" t="s">
        <v>401</v>
      </c>
      <c r="BV258" s="510">
        <v>3.8E-3</v>
      </c>
      <c r="BW258" s="510">
        <f>BV258/1000</f>
        <v>3.8E-6</v>
      </c>
      <c r="BX258" s="502" t="s">
        <v>714</v>
      </c>
      <c r="BY258" s="504">
        <v>2.9999999999999997E-4</v>
      </c>
      <c r="BZ258" s="504">
        <v>0.03</v>
      </c>
      <c r="CA258" s="502" t="s">
        <v>401</v>
      </c>
      <c r="CB258" s="482">
        <v>3.5390999999999999</v>
      </c>
      <c r="CC258" s="510">
        <f>CB258/1000</f>
        <v>3.5390999999999999E-3</v>
      </c>
      <c r="CD258" s="502" t="s">
        <v>608</v>
      </c>
      <c r="CE258" s="504">
        <v>0.5</v>
      </c>
      <c r="CF258" s="504">
        <v>15.4</v>
      </c>
      <c r="CG258" s="502" t="s">
        <v>401</v>
      </c>
      <c r="CH258" s="482">
        <v>0.1154</v>
      </c>
      <c r="CI258" s="510">
        <f>CH258/1000</f>
        <v>1.154E-4</v>
      </c>
      <c r="CJ258" s="502" t="s">
        <v>714</v>
      </c>
      <c r="CK258" s="504">
        <v>0.01</v>
      </c>
      <c r="CL258" s="504">
        <v>0.77</v>
      </c>
      <c r="CM258" s="502" t="s">
        <v>401</v>
      </c>
      <c r="CN258" s="360"/>
      <c r="CO258" s="346">
        <v>0.15</v>
      </c>
      <c r="CP258" s="346">
        <v>0.2</v>
      </c>
    </row>
    <row r="259" spans="1:94" s="344" customFormat="1" ht="16.5" hidden="1" customHeight="1" thickBot="1" x14ac:dyDescent="0.3">
      <c r="A259" s="342"/>
      <c r="V259" s="346"/>
      <c r="AA259" s="347"/>
      <c r="AB259" s="347"/>
      <c r="AD259" s="347"/>
      <c r="AE259" s="348"/>
      <c r="AH259" s="349"/>
      <c r="AI259" s="349"/>
      <c r="AK259" s="347"/>
      <c r="AR259" s="347"/>
      <c r="AV259" s="347"/>
      <c r="AX259" s="347"/>
      <c r="BB259" s="347"/>
      <c r="BC259" s="347"/>
      <c r="BE259" s="347"/>
      <c r="BF259" s="363"/>
      <c r="BH259" s="342"/>
      <c r="BI259" s="505" t="s">
        <v>535</v>
      </c>
      <c r="BJ259" s="482" t="s">
        <v>132</v>
      </c>
      <c r="BK259" s="511">
        <f>(3.13757879682717*99.5%)</f>
        <v>3.1218909028430342</v>
      </c>
      <c r="BL259" s="511" t="s">
        <v>621</v>
      </c>
      <c r="BM259" s="504">
        <v>0.02</v>
      </c>
      <c r="BN259" s="504">
        <v>0.5</v>
      </c>
      <c r="BO259" s="503" t="s">
        <v>567</v>
      </c>
      <c r="BP259" s="510">
        <v>0</v>
      </c>
      <c r="BQ259" s="510">
        <f>BP259/1000</f>
        <v>0</v>
      </c>
      <c r="BR259" s="502" t="s">
        <v>608</v>
      </c>
      <c r="BS259" s="504">
        <v>0</v>
      </c>
      <c r="BT259" s="504">
        <v>0</v>
      </c>
      <c r="BU259" s="502"/>
      <c r="BV259" s="510">
        <v>0</v>
      </c>
      <c r="BW259" s="510">
        <f>BV259/1000</f>
        <v>0</v>
      </c>
      <c r="BX259" s="502" t="s">
        <v>714</v>
      </c>
      <c r="BY259" s="504">
        <v>0</v>
      </c>
      <c r="BZ259" s="504">
        <v>0</v>
      </c>
      <c r="CA259" s="502"/>
      <c r="CB259" s="482">
        <v>0</v>
      </c>
      <c r="CC259" s="510">
        <f>CB259/1000</f>
        <v>0</v>
      </c>
      <c r="CD259" s="502" t="s">
        <v>608</v>
      </c>
      <c r="CE259" s="504">
        <v>0</v>
      </c>
      <c r="CF259" s="504">
        <v>0</v>
      </c>
      <c r="CG259" s="502"/>
      <c r="CH259" s="482">
        <v>0</v>
      </c>
      <c r="CI259" s="510">
        <f>CH259/1000</f>
        <v>0</v>
      </c>
      <c r="CJ259" s="502" t="s">
        <v>714</v>
      </c>
      <c r="CK259" s="504">
        <v>0</v>
      </c>
      <c r="CL259" s="504">
        <v>0</v>
      </c>
      <c r="CM259" s="502"/>
      <c r="CN259" s="360"/>
      <c r="CO259" s="346">
        <v>0.15</v>
      </c>
      <c r="CP259" s="346">
        <v>0.2</v>
      </c>
    </row>
    <row r="260" spans="1:94" s="344" customFormat="1" ht="17.25" hidden="1" thickBot="1" x14ac:dyDescent="0.3">
      <c r="A260" s="342"/>
      <c r="V260" s="346"/>
      <c r="AA260" s="347"/>
      <c r="AB260" s="347"/>
      <c r="AD260" s="347"/>
      <c r="AE260" s="348"/>
      <c r="AH260" s="349"/>
      <c r="AI260" s="349"/>
      <c r="AK260" s="347"/>
      <c r="AR260" s="347"/>
      <c r="AV260" s="347"/>
      <c r="AX260" s="347"/>
      <c r="BB260" s="347"/>
      <c r="BC260" s="347"/>
      <c r="BE260" s="347"/>
      <c r="BF260" s="363"/>
      <c r="BH260" s="342"/>
      <c r="BI260" s="584" t="s">
        <v>528</v>
      </c>
      <c r="BJ260" s="502" t="s">
        <v>132</v>
      </c>
      <c r="BK260" s="511">
        <v>3.38</v>
      </c>
      <c r="BL260" s="502" t="s">
        <v>602</v>
      </c>
      <c r="BM260" s="504">
        <v>0.1</v>
      </c>
      <c r="BN260" s="504">
        <v>0.2</v>
      </c>
      <c r="BO260" s="503" t="s">
        <v>693</v>
      </c>
      <c r="BP260" s="510">
        <v>0</v>
      </c>
      <c r="BQ260" s="510">
        <f t="shared" si="363"/>
        <v>0</v>
      </c>
      <c r="BR260" s="502" t="s">
        <v>608</v>
      </c>
      <c r="BS260" s="504">
        <v>0</v>
      </c>
      <c r="BT260" s="504">
        <v>0</v>
      </c>
      <c r="BU260" s="502"/>
      <c r="BV260" s="510">
        <v>0</v>
      </c>
      <c r="BW260" s="510">
        <f t="shared" si="364"/>
        <v>0</v>
      </c>
      <c r="BX260" s="502" t="s">
        <v>714</v>
      </c>
      <c r="BY260" s="504">
        <v>0</v>
      </c>
      <c r="BZ260" s="504">
        <v>0</v>
      </c>
      <c r="CA260" s="502"/>
      <c r="CB260" s="482">
        <v>0</v>
      </c>
      <c r="CC260" s="510">
        <f t="shared" si="365"/>
        <v>0</v>
      </c>
      <c r="CD260" s="502" t="s">
        <v>608</v>
      </c>
      <c r="CE260" s="504">
        <v>0</v>
      </c>
      <c r="CF260" s="504">
        <v>0</v>
      </c>
      <c r="CG260" s="502"/>
      <c r="CH260" s="482">
        <v>0</v>
      </c>
      <c r="CI260" s="510">
        <f t="shared" si="366"/>
        <v>0</v>
      </c>
      <c r="CJ260" s="502" t="s">
        <v>714</v>
      </c>
      <c r="CK260" s="504">
        <v>0</v>
      </c>
      <c r="CL260" s="504">
        <v>0</v>
      </c>
      <c r="CM260" s="502"/>
      <c r="CN260" s="360"/>
      <c r="CO260" s="346">
        <v>0.15</v>
      </c>
      <c r="CP260" s="346">
        <v>0.2</v>
      </c>
    </row>
    <row r="261" spans="1:94" s="344" customFormat="1" ht="15.75" hidden="1" thickBot="1" x14ac:dyDescent="0.3">
      <c r="A261" s="342"/>
      <c r="V261" s="346"/>
      <c r="AA261" s="347"/>
      <c r="AB261" s="347"/>
      <c r="AD261" s="347"/>
      <c r="AE261" s="348"/>
      <c r="AH261" s="349"/>
      <c r="AI261" s="349"/>
      <c r="AK261" s="347"/>
      <c r="AR261" s="347"/>
      <c r="AV261" s="347"/>
      <c r="AX261" s="347"/>
      <c r="BB261" s="347"/>
      <c r="BC261" s="347"/>
      <c r="BE261" s="347"/>
      <c r="BH261" s="342"/>
      <c r="BI261" s="345"/>
      <c r="BJ261" s="473"/>
      <c r="BK261" s="473"/>
      <c r="BL261" s="473"/>
      <c r="BM261" s="463"/>
      <c r="BN261" s="463"/>
      <c r="BO261" s="463"/>
      <c r="BP261" s="507"/>
      <c r="BQ261" s="507"/>
      <c r="BR261" s="507"/>
      <c r="BS261" s="507"/>
      <c r="BT261" s="507"/>
      <c r="BU261" s="507"/>
      <c r="BV261" s="473"/>
      <c r="BW261" s="507"/>
      <c r="BX261" s="507"/>
      <c r="BY261" s="473"/>
      <c r="BZ261" s="473"/>
      <c r="CA261" s="473"/>
      <c r="CB261" s="475"/>
      <c r="CC261" s="507"/>
      <c r="CD261" s="507"/>
      <c r="CE261" s="475"/>
      <c r="CF261" s="475"/>
      <c r="CG261" s="475"/>
      <c r="CH261" s="475"/>
      <c r="CI261" s="507"/>
      <c r="CJ261" s="507"/>
      <c r="CK261" s="475"/>
      <c r="CL261" s="475"/>
      <c r="CM261" s="475"/>
      <c r="CN261" s="360"/>
      <c r="CO261" s="346"/>
      <c r="CP261" s="346"/>
    </row>
    <row r="262" spans="1:94" s="344" customFormat="1" ht="27" hidden="1" customHeight="1" x14ac:dyDescent="0.25">
      <c r="A262" s="342"/>
      <c r="V262" s="346"/>
      <c r="AA262" s="347"/>
      <c r="AB262" s="347"/>
      <c r="AD262" s="347"/>
      <c r="AE262" s="348"/>
      <c r="AH262" s="349"/>
      <c r="AI262" s="349"/>
      <c r="AK262" s="347"/>
      <c r="AR262" s="347"/>
      <c r="AV262" s="347"/>
      <c r="AX262" s="347"/>
      <c r="BB262" s="347"/>
      <c r="BC262" s="347"/>
      <c r="BE262" s="347"/>
      <c r="BH262" s="342"/>
      <c r="BI262" s="733" t="s">
        <v>414</v>
      </c>
      <c r="BJ262" s="498"/>
      <c r="BK262" s="733" t="s">
        <v>435</v>
      </c>
      <c r="BL262" s="498"/>
      <c r="BM262" s="733" t="s">
        <v>392</v>
      </c>
      <c r="BN262" s="733" t="s">
        <v>392</v>
      </c>
      <c r="BO262" s="733" t="s">
        <v>399</v>
      </c>
      <c r="BP262" s="498"/>
      <c r="BQ262" s="733" t="s">
        <v>435</v>
      </c>
      <c r="BR262" s="498"/>
      <c r="BS262" s="733" t="s">
        <v>392</v>
      </c>
      <c r="BT262" s="733" t="s">
        <v>392</v>
      </c>
      <c r="BU262" s="733" t="s">
        <v>399</v>
      </c>
      <c r="BV262" s="473"/>
      <c r="BW262" s="507"/>
      <c r="BX262" s="507"/>
      <c r="BY262" s="473"/>
      <c r="BZ262" s="473"/>
      <c r="CA262" s="473"/>
      <c r="CB262" s="475"/>
      <c r="CC262" s="507"/>
      <c r="CD262" s="507"/>
      <c r="CE262" s="475"/>
      <c r="CF262" s="475"/>
      <c r="CG262" s="475"/>
      <c r="CH262" s="475"/>
      <c r="CI262" s="507"/>
      <c r="CJ262" s="507"/>
      <c r="CK262" s="475"/>
      <c r="CL262" s="475"/>
      <c r="CM262" s="475"/>
      <c r="CN262" s="360"/>
      <c r="CO262" s="346"/>
      <c r="CP262" s="346"/>
    </row>
    <row r="263" spans="1:94" s="344" customFormat="1" ht="53.25" hidden="1" customHeight="1" thickBot="1" x14ac:dyDescent="0.3">
      <c r="A263" s="342"/>
      <c r="V263" s="346"/>
      <c r="AA263" s="347"/>
      <c r="AB263" s="347"/>
      <c r="AD263" s="347"/>
      <c r="AE263" s="348"/>
      <c r="AH263" s="349"/>
      <c r="AI263" s="349"/>
      <c r="AK263" s="347"/>
      <c r="AR263" s="347"/>
      <c r="AV263" s="347"/>
      <c r="AX263" s="347"/>
      <c r="BB263" s="347"/>
      <c r="BC263" s="347"/>
      <c r="BE263" s="347"/>
      <c r="BH263" s="342"/>
      <c r="BI263" s="734"/>
      <c r="BJ263" s="499" t="s">
        <v>412</v>
      </c>
      <c r="BK263" s="734"/>
      <c r="BL263" s="499" t="s">
        <v>410</v>
      </c>
      <c r="BM263" s="734"/>
      <c r="BN263" s="734"/>
      <c r="BO263" s="734"/>
      <c r="BP263" s="499" t="s">
        <v>412</v>
      </c>
      <c r="BQ263" s="734"/>
      <c r="BR263" s="499" t="s">
        <v>410</v>
      </c>
      <c r="BS263" s="734"/>
      <c r="BT263" s="734"/>
      <c r="BU263" s="734"/>
      <c r="BV263" s="473"/>
      <c r="BW263" s="507"/>
      <c r="BX263" s="507"/>
      <c r="BY263" s="473"/>
      <c r="BZ263" s="473"/>
      <c r="CA263" s="473"/>
      <c r="CB263" s="475"/>
      <c r="CC263" s="507"/>
      <c r="CD263" s="507"/>
      <c r="CE263" s="475"/>
      <c r="CF263" s="475"/>
      <c r="CG263" s="475"/>
      <c r="CH263" s="475"/>
      <c r="CI263" s="507"/>
      <c r="CJ263" s="507"/>
      <c r="CK263" s="475"/>
      <c r="CL263" s="475"/>
      <c r="CM263" s="475"/>
      <c r="CN263" s="360"/>
      <c r="CO263" s="346"/>
      <c r="CP263" s="346"/>
    </row>
    <row r="264" spans="1:94" s="344" customFormat="1" ht="18.75" hidden="1" thickBot="1" x14ac:dyDescent="0.3">
      <c r="A264" s="342"/>
      <c r="V264" s="346"/>
      <c r="AA264" s="347"/>
      <c r="AB264" s="347"/>
      <c r="AD264" s="347"/>
      <c r="AE264" s="348"/>
      <c r="AH264" s="349"/>
      <c r="AI264" s="349"/>
      <c r="AK264" s="347"/>
      <c r="AR264" s="347"/>
      <c r="AV264" s="347"/>
      <c r="AX264" s="347"/>
      <c r="BB264" s="347"/>
      <c r="BC264" s="347"/>
      <c r="BE264" s="347"/>
      <c r="BH264" s="342"/>
      <c r="BI264" s="505" t="s">
        <v>330</v>
      </c>
      <c r="BJ264" s="502" t="s">
        <v>132</v>
      </c>
      <c r="BK264" s="511">
        <v>4660</v>
      </c>
      <c r="BL264" s="502" t="s">
        <v>609</v>
      </c>
      <c r="BM264" s="504">
        <v>0.01</v>
      </c>
      <c r="BN264" s="504">
        <v>0.5</v>
      </c>
      <c r="BO264" s="503" t="s">
        <v>482</v>
      </c>
      <c r="BP264" s="502" t="s">
        <v>132</v>
      </c>
      <c r="BQ264" s="511">
        <v>4750</v>
      </c>
      <c r="BR264" s="502" t="s">
        <v>609</v>
      </c>
      <c r="BS264" s="504">
        <v>0.01</v>
      </c>
      <c r="BT264" s="504">
        <v>0.5</v>
      </c>
      <c r="BU264" s="503" t="s">
        <v>413</v>
      </c>
      <c r="BV264" s="345"/>
      <c r="BW264" s="345"/>
      <c r="BX264" s="345"/>
      <c r="BY264" s="345"/>
      <c r="BZ264" s="345"/>
      <c r="CA264" s="345"/>
      <c r="CB264" s="345"/>
      <c r="CC264" s="345"/>
      <c r="CD264" s="345"/>
      <c r="CE264" s="475"/>
      <c r="CF264" s="475"/>
      <c r="CG264" s="475"/>
      <c r="CH264" s="475"/>
      <c r="CI264" s="473"/>
      <c r="CJ264" s="473"/>
      <c r="CK264" s="475"/>
      <c r="CL264" s="475"/>
      <c r="CM264" s="475"/>
      <c r="CN264" s="360"/>
      <c r="CO264" s="346">
        <v>0.01</v>
      </c>
      <c r="CP264" s="346">
        <f>BN264</f>
        <v>0.5</v>
      </c>
    </row>
    <row r="265" spans="1:94" s="344" customFormat="1" ht="18.75" hidden="1" thickBot="1" x14ac:dyDescent="0.3">
      <c r="A265" s="342"/>
      <c r="V265" s="346"/>
      <c r="AA265" s="347"/>
      <c r="AB265" s="347"/>
      <c r="AD265" s="347"/>
      <c r="AE265" s="348"/>
      <c r="AH265" s="349"/>
      <c r="AI265" s="349"/>
      <c r="AK265" s="347"/>
      <c r="AR265" s="347"/>
      <c r="AV265" s="347"/>
      <c r="AX265" s="347"/>
      <c r="BB265" s="347"/>
      <c r="BC265" s="347"/>
      <c r="BE265" s="347"/>
      <c r="BH265" s="342"/>
      <c r="BI265" s="584" t="s">
        <v>331</v>
      </c>
      <c r="BJ265" s="502" t="s">
        <v>132</v>
      </c>
      <c r="BK265" s="511">
        <v>10200</v>
      </c>
      <c r="BL265" s="502" t="s">
        <v>609</v>
      </c>
      <c r="BM265" s="504">
        <v>0.01</v>
      </c>
      <c r="BN265" s="504">
        <v>0.5</v>
      </c>
      <c r="BO265" s="503" t="s">
        <v>482</v>
      </c>
      <c r="BP265" s="502" t="s">
        <v>132</v>
      </c>
      <c r="BQ265" s="511">
        <v>10900</v>
      </c>
      <c r="BR265" s="502" t="s">
        <v>609</v>
      </c>
      <c r="BS265" s="504">
        <v>0.01</v>
      </c>
      <c r="BT265" s="504">
        <v>0.5</v>
      </c>
      <c r="BU265" s="503" t="s">
        <v>413</v>
      </c>
      <c r="BV265" s="345"/>
      <c r="BW265" s="345"/>
      <c r="BX265" s="345"/>
      <c r="BY265" s="345"/>
      <c r="BZ265" s="345"/>
      <c r="CA265" s="345"/>
      <c r="CB265" s="345"/>
      <c r="CC265" s="345"/>
      <c r="CD265" s="345"/>
      <c r="CE265" s="507"/>
      <c r="CF265" s="507"/>
      <c r="CG265" s="507"/>
      <c r="CH265" s="512"/>
      <c r="CI265" s="507"/>
      <c r="CJ265" s="507"/>
      <c r="CK265" s="512"/>
      <c r="CL265" s="512"/>
      <c r="CM265" s="507"/>
      <c r="CN265" s="360"/>
      <c r="CO265" s="346">
        <v>0.01</v>
      </c>
      <c r="CP265" s="346">
        <f t="shared" ref="CP265:CP328" si="367">BN265</f>
        <v>0.5</v>
      </c>
    </row>
    <row r="266" spans="1:94" s="344" customFormat="1" ht="18.75" hidden="1" thickBot="1" x14ac:dyDescent="0.3">
      <c r="A266" s="342"/>
      <c r="V266" s="346"/>
      <c r="AA266" s="347"/>
      <c r="AB266" s="347"/>
      <c r="AD266" s="347"/>
      <c r="AE266" s="348"/>
      <c r="AH266" s="349"/>
      <c r="AI266" s="349"/>
      <c r="AK266" s="347"/>
      <c r="AR266" s="347"/>
      <c r="AV266" s="347"/>
      <c r="AX266" s="347"/>
      <c r="BB266" s="347"/>
      <c r="BC266" s="347"/>
      <c r="BE266" s="347"/>
      <c r="BH266" s="342"/>
      <c r="BI266" s="584" t="s">
        <v>332</v>
      </c>
      <c r="BJ266" s="502" t="s">
        <v>132</v>
      </c>
      <c r="BK266" s="511">
        <v>1760</v>
      </c>
      <c r="BL266" s="502" t="s">
        <v>609</v>
      </c>
      <c r="BM266" s="504">
        <v>0.01</v>
      </c>
      <c r="BN266" s="504">
        <v>0.5</v>
      </c>
      <c r="BO266" s="503" t="s">
        <v>482</v>
      </c>
      <c r="BP266" s="502" t="s">
        <v>132</v>
      </c>
      <c r="BQ266" s="511">
        <v>1810</v>
      </c>
      <c r="BR266" s="502" t="s">
        <v>609</v>
      </c>
      <c r="BS266" s="504">
        <v>0.01</v>
      </c>
      <c r="BT266" s="504">
        <v>0.5</v>
      </c>
      <c r="BU266" s="503" t="s">
        <v>413</v>
      </c>
      <c r="BV266" s="345"/>
      <c r="BW266" s="345"/>
      <c r="BX266" s="345"/>
      <c r="BY266" s="345"/>
      <c r="BZ266" s="345"/>
      <c r="CA266" s="345"/>
      <c r="CB266" s="345"/>
      <c r="CC266" s="345"/>
      <c r="CD266" s="345"/>
      <c r="CE266" s="507"/>
      <c r="CF266" s="507"/>
      <c r="CG266" s="507"/>
      <c r="CH266" s="512"/>
      <c r="CI266" s="507"/>
      <c r="CJ266" s="507"/>
      <c r="CK266" s="512"/>
      <c r="CL266" s="512"/>
      <c r="CM266" s="507"/>
      <c r="CN266" s="360"/>
      <c r="CO266" s="346">
        <v>0.01</v>
      </c>
      <c r="CP266" s="346">
        <f t="shared" si="367"/>
        <v>0.5</v>
      </c>
    </row>
    <row r="267" spans="1:94" s="344" customFormat="1" ht="18.75" hidden="1" thickBot="1" x14ac:dyDescent="0.3">
      <c r="A267" s="342"/>
      <c r="V267" s="346"/>
      <c r="AA267" s="347"/>
      <c r="AB267" s="347"/>
      <c r="AD267" s="347"/>
      <c r="AE267" s="348"/>
      <c r="AH267" s="349"/>
      <c r="AI267" s="349"/>
      <c r="AK267" s="347"/>
      <c r="AR267" s="347"/>
      <c r="AV267" s="347"/>
      <c r="AX267" s="347"/>
      <c r="BB267" s="347"/>
      <c r="BC267" s="347"/>
      <c r="BE267" s="347"/>
      <c r="BH267" s="342"/>
      <c r="BI267" s="505" t="s">
        <v>536</v>
      </c>
      <c r="BJ267" s="502" t="s">
        <v>132</v>
      </c>
      <c r="BK267" s="511">
        <v>782</v>
      </c>
      <c r="BL267" s="502" t="s">
        <v>609</v>
      </c>
      <c r="BM267" s="504">
        <v>0.01</v>
      </c>
      <c r="BN267" s="504">
        <v>0.5</v>
      </c>
      <c r="BO267" s="503" t="s">
        <v>482</v>
      </c>
      <c r="BP267" s="502"/>
      <c r="BQ267" s="511"/>
      <c r="BR267" s="502"/>
      <c r="BS267" s="504"/>
      <c r="BT267" s="504"/>
      <c r="BU267" s="503"/>
      <c r="BV267" s="345"/>
      <c r="BW267" s="345"/>
      <c r="BX267" s="345"/>
      <c r="BY267" s="345"/>
      <c r="BZ267" s="345"/>
      <c r="CA267" s="345"/>
      <c r="CB267" s="345"/>
      <c r="CC267" s="345"/>
      <c r="CD267" s="345"/>
      <c r="CE267" s="507"/>
      <c r="CF267" s="507"/>
      <c r="CG267" s="507"/>
      <c r="CH267" s="512"/>
      <c r="CI267" s="507"/>
      <c r="CJ267" s="507"/>
      <c r="CK267" s="512"/>
      <c r="CL267" s="512"/>
      <c r="CM267" s="507"/>
      <c r="CN267" s="360"/>
      <c r="CO267" s="346"/>
      <c r="CP267" s="346">
        <f t="shared" si="367"/>
        <v>0.5</v>
      </c>
    </row>
    <row r="268" spans="1:94" s="344" customFormat="1" ht="18.75" hidden="1" thickBot="1" x14ac:dyDescent="0.3">
      <c r="A268" s="342"/>
      <c r="V268" s="346"/>
      <c r="AA268" s="347"/>
      <c r="AB268" s="347"/>
      <c r="AD268" s="347"/>
      <c r="AE268" s="348"/>
      <c r="AH268" s="349"/>
      <c r="AI268" s="349"/>
      <c r="AK268" s="347"/>
      <c r="AR268" s="347"/>
      <c r="AV268" s="347"/>
      <c r="AX268" s="347"/>
      <c r="BB268" s="347"/>
      <c r="BC268" s="347"/>
      <c r="BE268" s="347"/>
      <c r="BH268" s="342"/>
      <c r="BI268" s="505" t="s">
        <v>334</v>
      </c>
      <c r="BJ268" s="502" t="s">
        <v>132</v>
      </c>
      <c r="BK268" s="511">
        <v>12400</v>
      </c>
      <c r="BL268" s="502" t="s">
        <v>609</v>
      </c>
      <c r="BM268" s="504">
        <v>0.01</v>
      </c>
      <c r="BN268" s="504">
        <v>0.5</v>
      </c>
      <c r="BO268" s="503" t="s">
        <v>482</v>
      </c>
      <c r="BP268" s="502" t="s">
        <v>132</v>
      </c>
      <c r="BQ268" s="511">
        <v>14800</v>
      </c>
      <c r="BR268" s="502" t="s">
        <v>609</v>
      </c>
      <c r="BS268" s="504">
        <v>0.01</v>
      </c>
      <c r="BT268" s="504">
        <v>0.5</v>
      </c>
      <c r="BU268" s="503" t="s">
        <v>413</v>
      </c>
      <c r="BV268" s="345"/>
      <c r="BW268" s="345"/>
      <c r="BX268" s="345"/>
      <c r="BY268" s="345"/>
      <c r="BZ268" s="345"/>
      <c r="CA268" s="345"/>
      <c r="CB268" s="345"/>
      <c r="CC268" s="345"/>
      <c r="CD268" s="345"/>
      <c r="CE268" s="507"/>
      <c r="CF268" s="507"/>
      <c r="CG268" s="507"/>
      <c r="CH268" s="512"/>
      <c r="CI268" s="507"/>
      <c r="CJ268" s="507"/>
      <c r="CK268" s="512"/>
      <c r="CL268" s="512"/>
      <c r="CM268" s="507"/>
      <c r="CN268" s="360"/>
      <c r="CO268" s="346">
        <v>0.01</v>
      </c>
      <c r="CP268" s="346">
        <f t="shared" si="367"/>
        <v>0.5</v>
      </c>
    </row>
    <row r="269" spans="1:94" s="344" customFormat="1" ht="18.75" hidden="1" thickBot="1" x14ac:dyDescent="0.3">
      <c r="A269" s="342"/>
      <c r="V269" s="346"/>
      <c r="AA269" s="347"/>
      <c r="AB269" s="347"/>
      <c r="AD269" s="347"/>
      <c r="AE269" s="348"/>
      <c r="AH269" s="349"/>
      <c r="AI269" s="349"/>
      <c r="AK269" s="347"/>
      <c r="AR269" s="347"/>
      <c r="AV269" s="347"/>
      <c r="AX269" s="347"/>
      <c r="BB269" s="347"/>
      <c r="BC269" s="347"/>
      <c r="BE269" s="347"/>
      <c r="BH269" s="342"/>
      <c r="BI269" s="505" t="s">
        <v>335</v>
      </c>
      <c r="BJ269" s="502" t="s">
        <v>132</v>
      </c>
      <c r="BK269" s="511">
        <v>677</v>
      </c>
      <c r="BL269" s="502" t="s">
        <v>609</v>
      </c>
      <c r="BM269" s="504">
        <v>0.01</v>
      </c>
      <c r="BN269" s="504">
        <v>0.5</v>
      </c>
      <c r="BO269" s="503" t="s">
        <v>482</v>
      </c>
      <c r="BP269" s="502" t="s">
        <v>132</v>
      </c>
      <c r="BQ269" s="511">
        <v>675</v>
      </c>
      <c r="BR269" s="502" t="s">
        <v>609</v>
      </c>
      <c r="BS269" s="504">
        <v>0.01</v>
      </c>
      <c r="BT269" s="504">
        <v>0.5</v>
      </c>
      <c r="BU269" s="503" t="s">
        <v>413</v>
      </c>
      <c r="BV269" s="345"/>
      <c r="BW269" s="345"/>
      <c r="BX269" s="345"/>
      <c r="BY269" s="345"/>
      <c r="BZ269" s="345"/>
      <c r="CA269" s="345"/>
      <c r="CB269" s="345"/>
      <c r="CC269" s="345"/>
      <c r="CD269" s="345"/>
      <c r="CE269" s="507"/>
      <c r="CF269" s="507"/>
      <c r="CG269" s="507"/>
      <c r="CH269" s="512"/>
      <c r="CI269" s="507"/>
      <c r="CJ269" s="507"/>
      <c r="CK269" s="512"/>
      <c r="CL269" s="512"/>
      <c r="CM269" s="507"/>
      <c r="CN269" s="360"/>
      <c r="CO269" s="346">
        <v>0.01</v>
      </c>
      <c r="CP269" s="346">
        <f t="shared" si="367"/>
        <v>0.5</v>
      </c>
    </row>
    <row r="270" spans="1:94" s="344" customFormat="1" ht="18.75" hidden="1" thickBot="1" x14ac:dyDescent="0.3">
      <c r="A270" s="342"/>
      <c r="V270" s="346"/>
      <c r="AA270" s="347"/>
      <c r="AB270" s="347"/>
      <c r="AD270" s="347"/>
      <c r="AE270" s="348"/>
      <c r="AH270" s="349"/>
      <c r="AI270" s="349"/>
      <c r="AK270" s="347"/>
      <c r="AR270" s="347"/>
      <c r="AV270" s="347"/>
      <c r="AX270" s="347"/>
      <c r="BB270" s="347"/>
      <c r="BC270" s="347"/>
      <c r="BE270" s="347"/>
      <c r="BH270" s="342"/>
      <c r="BI270" s="505" t="s">
        <v>539</v>
      </c>
      <c r="BJ270" s="502" t="s">
        <v>132</v>
      </c>
      <c r="BK270" s="511">
        <v>3170</v>
      </c>
      <c r="BL270" s="502" t="s">
        <v>609</v>
      </c>
      <c r="BM270" s="504">
        <v>0.01</v>
      </c>
      <c r="BN270" s="504">
        <v>0.5</v>
      </c>
      <c r="BO270" s="503" t="s">
        <v>482</v>
      </c>
      <c r="BP270" s="502"/>
      <c r="BQ270" s="511"/>
      <c r="BR270" s="502"/>
      <c r="BS270" s="504"/>
      <c r="BT270" s="504"/>
      <c r="BU270" s="503"/>
      <c r="BV270" s="345"/>
      <c r="BW270" s="345"/>
      <c r="BX270" s="345"/>
      <c r="BY270" s="345"/>
      <c r="BZ270" s="345"/>
      <c r="CA270" s="345"/>
      <c r="CB270" s="345"/>
      <c r="CC270" s="345"/>
      <c r="CD270" s="345"/>
      <c r="CE270" s="507"/>
      <c r="CF270" s="507"/>
      <c r="CG270" s="507"/>
      <c r="CH270" s="512"/>
      <c r="CI270" s="507"/>
      <c r="CJ270" s="507"/>
      <c r="CK270" s="512"/>
      <c r="CL270" s="512"/>
      <c r="CM270" s="507"/>
      <c r="CN270" s="360"/>
      <c r="CO270" s="346">
        <v>0.01</v>
      </c>
      <c r="CP270" s="346">
        <f t="shared" si="367"/>
        <v>0.5</v>
      </c>
    </row>
    <row r="271" spans="1:94" s="344" customFormat="1" ht="18.75" hidden="1" thickBot="1" x14ac:dyDescent="0.3">
      <c r="A271" s="342"/>
      <c r="V271" s="346"/>
      <c r="AA271" s="347"/>
      <c r="AB271" s="347"/>
      <c r="AD271" s="347"/>
      <c r="AE271" s="348"/>
      <c r="AH271" s="349"/>
      <c r="AI271" s="349"/>
      <c r="AK271" s="347"/>
      <c r="AR271" s="347"/>
      <c r="AV271" s="347"/>
      <c r="AX271" s="347"/>
      <c r="BB271" s="347"/>
      <c r="BC271" s="347"/>
      <c r="BE271" s="347"/>
      <c r="BH271" s="342"/>
      <c r="BI271" s="505" t="s">
        <v>336</v>
      </c>
      <c r="BJ271" s="502" t="s">
        <v>132</v>
      </c>
      <c r="BK271" s="511">
        <v>1120</v>
      </c>
      <c r="BL271" s="502" t="s">
        <v>609</v>
      </c>
      <c r="BM271" s="504">
        <v>0.01</v>
      </c>
      <c r="BN271" s="504">
        <v>0.5</v>
      </c>
      <c r="BO271" s="503" t="s">
        <v>482</v>
      </c>
      <c r="BP271" s="502" t="s">
        <v>132</v>
      </c>
      <c r="BQ271" s="511">
        <v>1100</v>
      </c>
      <c r="BR271" s="502" t="s">
        <v>609</v>
      </c>
      <c r="BS271" s="504">
        <v>0.01</v>
      </c>
      <c r="BT271" s="504">
        <v>0.5</v>
      </c>
      <c r="BU271" s="503" t="s">
        <v>413</v>
      </c>
      <c r="BV271" s="345"/>
      <c r="BW271" s="345"/>
      <c r="BX271" s="345"/>
      <c r="BY271" s="345"/>
      <c r="BZ271" s="345"/>
      <c r="CA271" s="345"/>
      <c r="CB271" s="345"/>
      <c r="CC271" s="345"/>
      <c r="CD271" s="345"/>
      <c r="CE271" s="507"/>
      <c r="CF271" s="507"/>
      <c r="CG271" s="507"/>
      <c r="CH271" s="512"/>
      <c r="CI271" s="507"/>
      <c r="CJ271" s="507"/>
      <c r="CK271" s="512"/>
      <c r="CL271" s="512"/>
      <c r="CM271" s="507"/>
      <c r="CN271" s="360"/>
      <c r="CO271" s="346">
        <v>0.01</v>
      </c>
      <c r="CP271" s="346">
        <f t="shared" si="367"/>
        <v>0.5</v>
      </c>
    </row>
    <row r="272" spans="1:94" s="344" customFormat="1" ht="18.75" hidden="1" thickBot="1" x14ac:dyDescent="0.3">
      <c r="A272" s="342"/>
      <c r="V272" s="346"/>
      <c r="AA272" s="347"/>
      <c r="AB272" s="347"/>
      <c r="AD272" s="347"/>
      <c r="AE272" s="348"/>
      <c r="AH272" s="349"/>
      <c r="AI272" s="349"/>
      <c r="AK272" s="347"/>
      <c r="AR272" s="347"/>
      <c r="AV272" s="347"/>
      <c r="AX272" s="347"/>
      <c r="BB272" s="347"/>
      <c r="BC272" s="347"/>
      <c r="BE272" s="347"/>
      <c r="BH272" s="342"/>
      <c r="BI272" s="584" t="s">
        <v>337</v>
      </c>
      <c r="BJ272" s="502" t="s">
        <v>132</v>
      </c>
      <c r="BK272" s="511">
        <v>1300</v>
      </c>
      <c r="BL272" s="502" t="s">
        <v>609</v>
      </c>
      <c r="BM272" s="504">
        <v>0.01</v>
      </c>
      <c r="BN272" s="504">
        <v>0.5</v>
      </c>
      <c r="BO272" s="503" t="s">
        <v>482</v>
      </c>
      <c r="BP272" s="502" t="s">
        <v>132</v>
      </c>
      <c r="BQ272" s="511">
        <v>1430</v>
      </c>
      <c r="BR272" s="502" t="s">
        <v>609</v>
      </c>
      <c r="BS272" s="504">
        <v>0.01</v>
      </c>
      <c r="BT272" s="504">
        <v>0.5</v>
      </c>
      <c r="BU272" s="503" t="s">
        <v>413</v>
      </c>
      <c r="BV272" s="345"/>
      <c r="BW272" s="345"/>
      <c r="BX272" s="345"/>
      <c r="BY272" s="345"/>
      <c r="BZ272" s="345"/>
      <c r="CA272" s="345"/>
      <c r="CB272" s="345"/>
      <c r="CC272" s="345"/>
      <c r="CD272" s="345"/>
      <c r="CE272" s="507"/>
      <c r="CF272" s="507"/>
      <c r="CG272" s="507"/>
      <c r="CH272" s="512"/>
      <c r="CI272" s="507"/>
      <c r="CJ272" s="507"/>
      <c r="CK272" s="512"/>
      <c r="CL272" s="512"/>
      <c r="CM272" s="507"/>
      <c r="CN272" s="360"/>
      <c r="CO272" s="346">
        <v>0.01</v>
      </c>
      <c r="CP272" s="346">
        <f t="shared" si="367"/>
        <v>0.5</v>
      </c>
    </row>
    <row r="273" spans="1:94" s="344" customFormat="1" ht="18.75" hidden="1" thickBot="1" x14ac:dyDescent="0.3">
      <c r="A273" s="342"/>
      <c r="V273" s="346"/>
      <c r="AA273" s="347"/>
      <c r="AB273" s="347"/>
      <c r="AD273" s="347"/>
      <c r="AE273" s="348"/>
      <c r="AH273" s="349"/>
      <c r="AI273" s="349"/>
      <c r="AK273" s="347"/>
      <c r="AR273" s="347"/>
      <c r="AV273" s="347"/>
      <c r="AX273" s="347"/>
      <c r="BB273" s="347"/>
      <c r="BC273" s="347"/>
      <c r="BE273" s="347"/>
      <c r="BH273" s="342"/>
      <c r="BI273" s="505" t="s">
        <v>341</v>
      </c>
      <c r="BJ273" s="502" t="s">
        <v>132</v>
      </c>
      <c r="BK273" s="511">
        <v>328</v>
      </c>
      <c r="BL273" s="502" t="s">
        <v>609</v>
      </c>
      <c r="BM273" s="504">
        <v>0.01</v>
      </c>
      <c r="BN273" s="504">
        <v>0.5</v>
      </c>
      <c r="BO273" s="503" t="s">
        <v>482</v>
      </c>
      <c r="BP273" s="502" t="s">
        <v>132</v>
      </c>
      <c r="BQ273" s="511">
        <v>353</v>
      </c>
      <c r="BR273" s="502" t="s">
        <v>609</v>
      </c>
      <c r="BS273" s="504">
        <v>0.01</v>
      </c>
      <c r="BT273" s="504">
        <v>0.5</v>
      </c>
      <c r="BU273" s="503" t="s">
        <v>413</v>
      </c>
      <c r="BV273" s="345"/>
      <c r="BW273" s="345"/>
      <c r="BX273" s="345"/>
      <c r="BY273" s="345"/>
      <c r="BZ273" s="345"/>
      <c r="CA273" s="345"/>
      <c r="CB273" s="345"/>
      <c r="CC273" s="345"/>
      <c r="CD273" s="345"/>
      <c r="CE273" s="507"/>
      <c r="CF273" s="507"/>
      <c r="CG273" s="507"/>
      <c r="CH273" s="512"/>
      <c r="CI273" s="507"/>
      <c r="CJ273" s="507"/>
      <c r="CK273" s="512"/>
      <c r="CL273" s="512"/>
      <c r="CM273" s="507"/>
      <c r="CN273" s="360"/>
      <c r="CO273" s="346">
        <v>0.01</v>
      </c>
      <c r="CP273" s="346">
        <f t="shared" si="367"/>
        <v>0.5</v>
      </c>
    </row>
    <row r="274" spans="1:94" s="344" customFormat="1" ht="18.75" hidden="1" thickBot="1" x14ac:dyDescent="0.3">
      <c r="A274" s="342"/>
      <c r="V274" s="346"/>
      <c r="AA274" s="347"/>
      <c r="AB274" s="347"/>
      <c r="AD274" s="347"/>
      <c r="AE274" s="348"/>
      <c r="AH274" s="349"/>
      <c r="AI274" s="349"/>
      <c r="AK274" s="347"/>
      <c r="AR274" s="347"/>
      <c r="AV274" s="347"/>
      <c r="AX274" s="347"/>
      <c r="BB274" s="347"/>
      <c r="BC274" s="347"/>
      <c r="BE274" s="347"/>
      <c r="BH274" s="342"/>
      <c r="BI274" s="505" t="s">
        <v>342</v>
      </c>
      <c r="BJ274" s="502" t="s">
        <v>132</v>
      </c>
      <c r="BK274" s="511">
        <v>4800</v>
      </c>
      <c r="BL274" s="502" t="s">
        <v>609</v>
      </c>
      <c r="BM274" s="504">
        <v>0.01</v>
      </c>
      <c r="BN274" s="504">
        <v>0.5</v>
      </c>
      <c r="BO274" s="503" t="s">
        <v>482</v>
      </c>
      <c r="BP274" s="502" t="s">
        <v>132</v>
      </c>
      <c r="BQ274" s="511">
        <v>4470</v>
      </c>
      <c r="BR274" s="502" t="s">
        <v>609</v>
      </c>
      <c r="BS274" s="504">
        <v>0.01</v>
      </c>
      <c r="BT274" s="504">
        <v>0.5</v>
      </c>
      <c r="BU274" s="503" t="s">
        <v>413</v>
      </c>
      <c r="BV274" s="345"/>
      <c r="BW274" s="345"/>
      <c r="BX274" s="345"/>
      <c r="BY274" s="345"/>
      <c r="BZ274" s="345"/>
      <c r="CA274" s="345"/>
      <c r="CB274" s="345"/>
      <c r="CC274" s="345"/>
      <c r="CD274" s="345"/>
      <c r="CE274" s="507"/>
      <c r="CF274" s="507"/>
      <c r="CG274" s="507"/>
      <c r="CH274" s="512"/>
      <c r="CI274" s="507"/>
      <c r="CJ274" s="507"/>
      <c r="CK274" s="512"/>
      <c r="CL274" s="512"/>
      <c r="CM274" s="507"/>
      <c r="CN274" s="360"/>
      <c r="CO274" s="346">
        <v>0.01</v>
      </c>
      <c r="CP274" s="346">
        <f t="shared" si="367"/>
        <v>0.5</v>
      </c>
    </row>
    <row r="275" spans="1:94" s="344" customFormat="1" ht="18.75" hidden="1" thickBot="1" x14ac:dyDescent="0.3">
      <c r="A275" s="342"/>
      <c r="V275" s="346"/>
      <c r="AA275" s="347"/>
      <c r="AB275" s="347"/>
      <c r="AD275" s="347"/>
      <c r="AE275" s="348"/>
      <c r="AH275" s="349"/>
      <c r="AI275" s="349"/>
      <c r="AK275" s="347"/>
      <c r="AR275" s="347"/>
      <c r="AV275" s="347"/>
      <c r="AX275" s="347"/>
      <c r="BB275" s="347"/>
      <c r="BC275" s="347"/>
      <c r="BE275" s="347"/>
      <c r="BH275" s="342"/>
      <c r="BI275" s="505" t="s">
        <v>593</v>
      </c>
      <c r="BJ275" s="502" t="s">
        <v>132</v>
      </c>
      <c r="BK275" s="511">
        <v>3350</v>
      </c>
      <c r="BL275" s="502" t="s">
        <v>609</v>
      </c>
      <c r="BM275" s="504">
        <v>0.01</v>
      </c>
      <c r="BN275" s="504">
        <v>0.5</v>
      </c>
      <c r="BO275" s="503" t="s">
        <v>482</v>
      </c>
      <c r="BP275" s="502"/>
      <c r="BQ275" s="511"/>
      <c r="BR275" s="502"/>
      <c r="BS275" s="504"/>
      <c r="BT275" s="504"/>
      <c r="BU275" s="503"/>
      <c r="BV275" s="345"/>
      <c r="BW275" s="345"/>
      <c r="BX275" s="345"/>
      <c r="BY275" s="345"/>
      <c r="BZ275" s="345"/>
      <c r="CA275" s="345"/>
      <c r="CB275" s="345"/>
      <c r="CC275" s="345"/>
      <c r="CD275" s="345"/>
      <c r="CE275" s="507"/>
      <c r="CF275" s="507"/>
      <c r="CG275" s="507"/>
      <c r="CH275" s="512"/>
      <c r="CI275" s="507"/>
      <c r="CJ275" s="507"/>
      <c r="CK275" s="512"/>
      <c r="CL275" s="512"/>
      <c r="CM275" s="507"/>
      <c r="CN275" s="360"/>
      <c r="CO275" s="346"/>
      <c r="CP275" s="346">
        <f t="shared" si="367"/>
        <v>0.5</v>
      </c>
    </row>
    <row r="276" spans="1:94" s="344" customFormat="1" ht="90.75" hidden="1" thickBot="1" x14ac:dyDescent="0.3">
      <c r="A276" s="342"/>
      <c r="V276" s="346"/>
      <c r="AA276" s="347"/>
      <c r="AB276" s="347"/>
      <c r="AD276" s="347"/>
      <c r="AE276" s="348"/>
      <c r="AH276" s="349"/>
      <c r="AI276" s="349"/>
      <c r="AK276" s="347"/>
      <c r="AR276" s="347"/>
      <c r="AV276" s="347"/>
      <c r="AX276" s="347"/>
      <c r="BB276" s="347"/>
      <c r="BC276" s="347"/>
      <c r="BE276" s="347"/>
      <c r="BH276" s="342"/>
      <c r="BI276" s="584" t="s">
        <v>538</v>
      </c>
      <c r="BJ276" s="502" t="s">
        <v>132</v>
      </c>
      <c r="BK276" s="511">
        <f>(BK272*4%)+(BK270*44%)+(BK274*52%)</f>
        <v>3942.8</v>
      </c>
      <c r="BL276" s="502" t="s">
        <v>609</v>
      </c>
      <c r="BM276" s="504">
        <v>0.01</v>
      </c>
      <c r="BN276" s="504">
        <v>0.5</v>
      </c>
      <c r="BO276" s="503" t="s">
        <v>568</v>
      </c>
      <c r="BP276" s="502" t="s">
        <v>132</v>
      </c>
      <c r="BQ276" s="511">
        <v>3922</v>
      </c>
      <c r="BR276" s="502" t="s">
        <v>609</v>
      </c>
      <c r="BS276" s="504">
        <v>0.01</v>
      </c>
      <c r="BT276" s="504">
        <v>0.5</v>
      </c>
      <c r="BU276" s="513" t="s">
        <v>537</v>
      </c>
      <c r="BV276" s="345"/>
      <c r="BW276" s="345"/>
      <c r="BX276" s="345"/>
      <c r="BY276" s="345"/>
      <c r="BZ276" s="345"/>
      <c r="CA276" s="345"/>
      <c r="CB276" s="345"/>
      <c r="CC276" s="345"/>
      <c r="CD276" s="345"/>
      <c r="CE276" s="507"/>
      <c r="CF276" s="507"/>
      <c r="CG276" s="507"/>
      <c r="CH276" s="512"/>
      <c r="CI276" s="507"/>
      <c r="CJ276" s="507"/>
      <c r="CK276" s="512"/>
      <c r="CL276" s="512"/>
      <c r="CM276" s="507"/>
      <c r="CN276" s="360"/>
      <c r="CO276" s="346">
        <v>0.01</v>
      </c>
      <c r="CP276" s="346">
        <f t="shared" si="367"/>
        <v>0.5</v>
      </c>
    </row>
    <row r="277" spans="1:94" s="344" customFormat="1" ht="128.25" hidden="1" thickBot="1" x14ac:dyDescent="0.3">
      <c r="A277" s="342"/>
      <c r="V277" s="346"/>
      <c r="AA277" s="347"/>
      <c r="AB277" s="347"/>
      <c r="AD277" s="347"/>
      <c r="AE277" s="348"/>
      <c r="AH277" s="349"/>
      <c r="AI277" s="349"/>
      <c r="AK277" s="347"/>
      <c r="AR277" s="347"/>
      <c r="AV277" s="347"/>
      <c r="AX277" s="347"/>
      <c r="BB277" s="347"/>
      <c r="BC277" s="347"/>
      <c r="BE277" s="347"/>
      <c r="BH277" s="342"/>
      <c r="BI277" s="584" t="s">
        <v>340</v>
      </c>
      <c r="BJ277" s="502" t="s">
        <v>132</v>
      </c>
      <c r="BK277" s="511">
        <f>(BK272*52%)+(BK270*25%)+(BK269*23%)</f>
        <v>1624.21</v>
      </c>
      <c r="BL277" s="502" t="s">
        <v>609</v>
      </c>
      <c r="BM277" s="504">
        <v>0.01</v>
      </c>
      <c r="BN277" s="504">
        <v>0.5</v>
      </c>
      <c r="BO277" s="503" t="s">
        <v>569</v>
      </c>
      <c r="BP277" s="502" t="s">
        <v>132</v>
      </c>
      <c r="BQ277" s="511">
        <v>1774</v>
      </c>
      <c r="BR277" s="502" t="s">
        <v>609</v>
      </c>
      <c r="BS277" s="504">
        <v>0.01</v>
      </c>
      <c r="BT277" s="504">
        <v>0.5</v>
      </c>
      <c r="BU277" s="503" t="s">
        <v>413</v>
      </c>
      <c r="BV277" s="345"/>
      <c r="BW277" s="345"/>
      <c r="BX277" s="345"/>
      <c r="BY277" s="345"/>
      <c r="BZ277" s="345"/>
      <c r="CA277" s="345"/>
      <c r="CB277" s="345"/>
      <c r="CC277" s="345"/>
      <c r="CD277" s="345"/>
      <c r="CE277" s="507"/>
      <c r="CF277" s="507"/>
      <c r="CG277" s="507"/>
      <c r="CH277" s="512"/>
      <c r="CI277" s="507"/>
      <c r="CJ277" s="507"/>
      <c r="CK277" s="512"/>
      <c r="CL277" s="512"/>
      <c r="CM277" s="507"/>
      <c r="CN277" s="360"/>
      <c r="CO277" s="346">
        <v>0.01</v>
      </c>
      <c r="CP277" s="346">
        <f t="shared" si="367"/>
        <v>0.5</v>
      </c>
    </row>
    <row r="278" spans="1:94" s="344" customFormat="1" ht="128.25" hidden="1" thickBot="1" x14ac:dyDescent="0.3">
      <c r="A278" s="342"/>
      <c r="V278" s="346"/>
      <c r="AA278" s="347"/>
      <c r="AB278" s="347"/>
      <c r="AD278" s="347"/>
      <c r="AE278" s="348"/>
      <c r="AH278" s="349"/>
      <c r="AI278" s="349"/>
      <c r="AK278" s="347"/>
      <c r="AR278" s="347"/>
      <c r="AV278" s="347"/>
      <c r="AX278" s="347"/>
      <c r="BB278" s="347"/>
      <c r="BC278" s="347"/>
      <c r="BE278" s="347"/>
      <c r="BH278" s="342"/>
      <c r="BI278" s="505" t="s">
        <v>339</v>
      </c>
      <c r="BJ278" s="502" t="s">
        <v>132</v>
      </c>
      <c r="BK278" s="511">
        <f>(BK270*50%)+(BK269*50%)</f>
        <v>1923.5</v>
      </c>
      <c r="BL278" s="502" t="s">
        <v>609</v>
      </c>
      <c r="BM278" s="504">
        <v>0.01</v>
      </c>
      <c r="BN278" s="504">
        <v>0.5</v>
      </c>
      <c r="BO278" s="503" t="s">
        <v>570</v>
      </c>
      <c r="BP278" s="502" t="s">
        <v>132</v>
      </c>
      <c r="BQ278" s="511">
        <v>2088</v>
      </c>
      <c r="BR278" s="502" t="s">
        <v>609</v>
      </c>
      <c r="BS278" s="504">
        <v>0.01</v>
      </c>
      <c r="BT278" s="504">
        <v>0.5</v>
      </c>
      <c r="BU278" s="503" t="s">
        <v>413</v>
      </c>
      <c r="BV278" s="345"/>
      <c r="BW278" s="345"/>
      <c r="BX278" s="345"/>
      <c r="BY278" s="345"/>
      <c r="BZ278" s="345"/>
      <c r="CA278" s="345"/>
      <c r="CB278" s="345"/>
      <c r="CC278" s="345"/>
      <c r="CD278" s="345"/>
      <c r="CE278" s="507"/>
      <c r="CF278" s="507"/>
      <c r="CG278" s="507"/>
      <c r="CH278" s="512"/>
      <c r="CI278" s="507"/>
      <c r="CJ278" s="507"/>
      <c r="CK278" s="512"/>
      <c r="CL278" s="512"/>
      <c r="CM278" s="507"/>
      <c r="CN278" s="360"/>
      <c r="CO278" s="346">
        <v>0.01</v>
      </c>
      <c r="CP278" s="346">
        <f t="shared" si="367"/>
        <v>0.5</v>
      </c>
    </row>
    <row r="279" spans="1:94" s="344" customFormat="1" ht="128.25" hidden="1" thickBot="1" x14ac:dyDescent="0.3">
      <c r="A279" s="342"/>
      <c r="V279" s="346"/>
      <c r="AA279" s="347"/>
      <c r="AB279" s="347"/>
      <c r="AD279" s="347"/>
      <c r="AE279" s="348"/>
      <c r="AH279" s="349"/>
      <c r="AI279" s="349"/>
      <c r="AK279" s="347"/>
      <c r="AR279" s="347"/>
      <c r="AV279" s="347"/>
      <c r="AX279" s="347"/>
      <c r="BB279" s="347"/>
      <c r="BC279" s="347"/>
      <c r="BE279" s="347"/>
      <c r="BH279" s="342"/>
      <c r="BI279" s="505" t="s">
        <v>343</v>
      </c>
      <c r="BJ279" s="502" t="s">
        <v>132</v>
      </c>
      <c r="BK279" s="511">
        <f>(BK270*65.1%)+(BK272*31.5%)+(BK283*3.4%)</f>
        <v>2473.2039999999997</v>
      </c>
      <c r="BL279" s="502" t="s">
        <v>609</v>
      </c>
      <c r="BM279" s="504">
        <v>0.01</v>
      </c>
      <c r="BN279" s="504">
        <v>0.5</v>
      </c>
      <c r="BO279" s="503" t="s">
        <v>571</v>
      </c>
      <c r="BP279" s="502" t="s">
        <v>132</v>
      </c>
      <c r="BQ279" s="511">
        <v>2729</v>
      </c>
      <c r="BR279" s="502" t="s">
        <v>609</v>
      </c>
      <c r="BS279" s="504">
        <v>0.01</v>
      </c>
      <c r="BT279" s="504">
        <v>0.5</v>
      </c>
      <c r="BU279" s="503" t="s">
        <v>413</v>
      </c>
      <c r="BV279" s="345"/>
      <c r="BW279" s="345"/>
      <c r="BX279" s="345"/>
      <c r="BY279" s="345"/>
      <c r="BZ279" s="345"/>
      <c r="CA279" s="345"/>
      <c r="CB279" s="345"/>
      <c r="CC279" s="345"/>
      <c r="CD279" s="345"/>
      <c r="CE279" s="507"/>
      <c r="CF279" s="507"/>
      <c r="CG279" s="507"/>
      <c r="CH279" s="512"/>
      <c r="CI279" s="507"/>
      <c r="CJ279" s="507"/>
      <c r="CK279" s="512"/>
      <c r="CL279" s="512"/>
      <c r="CM279" s="507"/>
      <c r="CN279" s="360"/>
      <c r="CO279" s="346">
        <v>0.01</v>
      </c>
      <c r="CP279" s="346">
        <f t="shared" si="367"/>
        <v>0.5</v>
      </c>
    </row>
    <row r="280" spans="1:94" s="344" customFormat="1" ht="18.75" hidden="1" thickBot="1" x14ac:dyDescent="0.3">
      <c r="A280" s="342"/>
      <c r="V280" s="346"/>
      <c r="AA280" s="347"/>
      <c r="AB280" s="347"/>
      <c r="AD280" s="347"/>
      <c r="AE280" s="348"/>
      <c r="AH280" s="349"/>
      <c r="AI280" s="349"/>
      <c r="AK280" s="347"/>
      <c r="AR280" s="347"/>
      <c r="AV280" s="347"/>
      <c r="AX280" s="347"/>
      <c r="BB280" s="347"/>
      <c r="BC280" s="347"/>
      <c r="BE280" s="347"/>
      <c r="BH280" s="342"/>
      <c r="BI280" s="505" t="s">
        <v>338</v>
      </c>
      <c r="BJ280" s="502" t="s">
        <v>132</v>
      </c>
      <c r="BK280" s="511">
        <v>6630</v>
      </c>
      <c r="BL280" s="502" t="s">
        <v>609</v>
      </c>
      <c r="BM280" s="504">
        <v>0.01</v>
      </c>
      <c r="BN280" s="504">
        <v>0.5</v>
      </c>
      <c r="BO280" s="503" t="s">
        <v>482</v>
      </c>
      <c r="BP280" s="502" t="s">
        <v>132</v>
      </c>
      <c r="BQ280" s="511">
        <v>7390</v>
      </c>
      <c r="BR280" s="502" t="s">
        <v>609</v>
      </c>
      <c r="BS280" s="504">
        <v>0.01</v>
      </c>
      <c r="BT280" s="504">
        <v>0.5</v>
      </c>
      <c r="BU280" s="503" t="s">
        <v>413</v>
      </c>
      <c r="BV280" s="345"/>
      <c r="BW280" s="345"/>
      <c r="BX280" s="345"/>
      <c r="BY280" s="345"/>
      <c r="BZ280" s="345"/>
      <c r="CA280" s="345"/>
      <c r="CB280" s="345"/>
      <c r="CC280" s="345"/>
      <c r="CD280" s="345"/>
      <c r="CE280" s="507"/>
      <c r="CF280" s="507"/>
      <c r="CG280" s="507"/>
      <c r="CH280" s="475"/>
      <c r="CI280" s="507"/>
      <c r="CJ280" s="507"/>
      <c r="CK280" s="475"/>
      <c r="CL280" s="475"/>
      <c r="CM280" s="507"/>
      <c r="CN280" s="360"/>
      <c r="CO280" s="346">
        <v>0.01</v>
      </c>
      <c r="CP280" s="346">
        <f t="shared" si="367"/>
        <v>0.5</v>
      </c>
    </row>
    <row r="281" spans="1:94" s="344" customFormat="1" ht="18.75" hidden="1" thickBot="1" x14ac:dyDescent="0.3">
      <c r="A281" s="342"/>
      <c r="V281" s="346"/>
      <c r="AA281" s="347"/>
      <c r="AB281" s="347"/>
      <c r="AD281" s="347"/>
      <c r="AE281" s="348"/>
      <c r="AH281" s="349"/>
      <c r="AI281" s="349"/>
      <c r="AK281" s="347"/>
      <c r="AR281" s="347"/>
      <c r="AV281" s="347"/>
      <c r="AX281" s="347"/>
      <c r="BB281" s="347"/>
      <c r="BC281" s="347"/>
      <c r="BE281" s="347"/>
      <c r="BH281" s="342"/>
      <c r="BI281" s="505" t="s">
        <v>592</v>
      </c>
      <c r="BJ281" s="502" t="s">
        <v>132</v>
      </c>
      <c r="BK281" s="511">
        <v>182</v>
      </c>
      <c r="BL281" s="502" t="s">
        <v>609</v>
      </c>
      <c r="BM281" s="504">
        <v>0.01</v>
      </c>
      <c r="BN281" s="504">
        <v>0.5</v>
      </c>
      <c r="BO281" s="503" t="s">
        <v>482</v>
      </c>
      <c r="BP281" s="502"/>
      <c r="BQ281" s="511"/>
      <c r="BR281" s="502"/>
      <c r="BS281" s="504"/>
      <c r="BT281" s="504"/>
      <c r="BU281" s="503"/>
      <c r="BV281" s="345"/>
      <c r="BW281" s="345"/>
      <c r="BX281" s="345"/>
      <c r="BY281" s="345"/>
      <c r="BZ281" s="345"/>
      <c r="CA281" s="345"/>
      <c r="CB281" s="345"/>
      <c r="CC281" s="345"/>
      <c r="CD281" s="345"/>
      <c r="CE281" s="507"/>
      <c r="CF281" s="507"/>
      <c r="CG281" s="507"/>
      <c r="CH281" s="475"/>
      <c r="CI281" s="507"/>
      <c r="CJ281" s="507"/>
      <c r="CK281" s="475"/>
      <c r="CL281" s="475"/>
      <c r="CM281" s="507"/>
      <c r="CN281" s="360"/>
      <c r="CO281" s="346"/>
      <c r="CP281" s="346">
        <f t="shared" si="367"/>
        <v>0.5</v>
      </c>
    </row>
    <row r="282" spans="1:94" s="344" customFormat="1" ht="105.75" hidden="1" thickBot="1" x14ac:dyDescent="0.3">
      <c r="A282" s="342"/>
      <c r="V282" s="346"/>
      <c r="AA282" s="347"/>
      <c r="AB282" s="347"/>
      <c r="AD282" s="347"/>
      <c r="AE282" s="348"/>
      <c r="AH282" s="349"/>
      <c r="AI282" s="349"/>
      <c r="AK282" s="347"/>
      <c r="AR282" s="347"/>
      <c r="AV282" s="347"/>
      <c r="AX282" s="347"/>
      <c r="BB282" s="347"/>
      <c r="BC282" s="347"/>
      <c r="BE282" s="347"/>
      <c r="BH282" s="342"/>
      <c r="BI282" s="505" t="s">
        <v>540</v>
      </c>
      <c r="BJ282" s="502" t="s">
        <v>132</v>
      </c>
      <c r="BK282" s="511">
        <v>3</v>
      </c>
      <c r="BL282" s="502" t="s">
        <v>609</v>
      </c>
      <c r="BM282" s="504">
        <v>0.01</v>
      </c>
      <c r="BN282" s="504">
        <v>0.5</v>
      </c>
      <c r="BO282" s="513" t="s">
        <v>483</v>
      </c>
      <c r="BP282" s="502" t="s">
        <v>132</v>
      </c>
      <c r="BQ282" s="511">
        <v>3</v>
      </c>
      <c r="BR282" s="502" t="s">
        <v>609</v>
      </c>
      <c r="BS282" s="504">
        <v>0.01</v>
      </c>
      <c r="BT282" s="504">
        <v>0.5</v>
      </c>
      <c r="BU282" s="503" t="s">
        <v>413</v>
      </c>
      <c r="BV282" s="345"/>
      <c r="BW282" s="345"/>
      <c r="BX282" s="345"/>
      <c r="BY282" s="345"/>
      <c r="BZ282" s="345"/>
      <c r="CA282" s="345"/>
      <c r="CB282" s="345"/>
      <c r="CC282" s="345"/>
      <c r="CD282" s="345"/>
      <c r="CE282" s="507"/>
      <c r="CF282" s="507"/>
      <c r="CG282" s="507"/>
      <c r="CH282" s="512"/>
      <c r="CI282" s="507"/>
      <c r="CJ282" s="507"/>
      <c r="CK282" s="512"/>
      <c r="CL282" s="512"/>
      <c r="CM282" s="507"/>
      <c r="CN282" s="360"/>
      <c r="CO282" s="346">
        <v>0.01</v>
      </c>
      <c r="CP282" s="346">
        <f t="shared" si="367"/>
        <v>0.5</v>
      </c>
    </row>
    <row r="283" spans="1:94" s="344" customFormat="1" ht="64.5" hidden="1" thickBot="1" x14ac:dyDescent="0.3">
      <c r="A283" s="342"/>
      <c r="V283" s="346"/>
      <c r="AA283" s="347"/>
      <c r="AB283" s="347"/>
      <c r="AD283" s="347"/>
      <c r="AE283" s="348"/>
      <c r="AH283" s="349"/>
      <c r="AI283" s="349"/>
      <c r="AK283" s="347"/>
      <c r="AR283" s="347"/>
      <c r="AV283" s="347"/>
      <c r="AX283" s="347"/>
      <c r="BB283" s="347"/>
      <c r="BC283" s="347"/>
      <c r="BE283" s="347"/>
      <c r="BH283" s="342"/>
      <c r="BI283" s="505" t="s">
        <v>541</v>
      </c>
      <c r="BJ283" s="502" t="s">
        <v>132</v>
      </c>
      <c r="BK283" s="511">
        <v>1</v>
      </c>
      <c r="BL283" s="502" t="s">
        <v>609</v>
      </c>
      <c r="BM283" s="504">
        <v>0.01</v>
      </c>
      <c r="BN283" s="504">
        <v>0.5</v>
      </c>
      <c r="BO283" s="503" t="s">
        <v>483</v>
      </c>
      <c r="BP283" s="502" t="s">
        <v>132</v>
      </c>
      <c r="BQ283" s="511">
        <v>3</v>
      </c>
      <c r="BR283" s="502" t="s">
        <v>609</v>
      </c>
      <c r="BS283" s="504">
        <v>0.01</v>
      </c>
      <c r="BT283" s="504">
        <v>0.5</v>
      </c>
      <c r="BU283" s="503" t="s">
        <v>413</v>
      </c>
      <c r="BV283" s="345"/>
      <c r="BW283" s="345"/>
      <c r="BX283" s="345"/>
      <c r="BY283" s="345"/>
      <c r="BZ283" s="345"/>
      <c r="CA283" s="345"/>
      <c r="CB283" s="345"/>
      <c r="CC283" s="345"/>
      <c r="CD283" s="345"/>
      <c r="CE283" s="507"/>
      <c r="CF283" s="507"/>
      <c r="CG283" s="507"/>
      <c r="CH283" s="512"/>
      <c r="CI283" s="507"/>
      <c r="CJ283" s="507"/>
      <c r="CK283" s="512"/>
      <c r="CL283" s="512"/>
      <c r="CM283" s="507"/>
      <c r="CN283" s="360"/>
      <c r="CO283" s="346">
        <v>0.01</v>
      </c>
      <c r="CP283" s="346">
        <f t="shared" si="367"/>
        <v>0.5</v>
      </c>
    </row>
    <row r="284" spans="1:94" s="344" customFormat="1" ht="18.75" hidden="1" thickBot="1" x14ac:dyDescent="0.3">
      <c r="A284" s="342"/>
      <c r="V284" s="346"/>
      <c r="AA284" s="347"/>
      <c r="AB284" s="347"/>
      <c r="AD284" s="347"/>
      <c r="AE284" s="348"/>
      <c r="AH284" s="349"/>
      <c r="AI284" s="349"/>
      <c r="AK284" s="347"/>
      <c r="AR284" s="347"/>
      <c r="AV284" s="347"/>
      <c r="AX284" s="347"/>
      <c r="BB284" s="347"/>
      <c r="BC284" s="347"/>
      <c r="BE284" s="347"/>
      <c r="BH284" s="342"/>
      <c r="BI284" s="505" t="s">
        <v>349</v>
      </c>
      <c r="BJ284" s="502" t="s">
        <v>132</v>
      </c>
      <c r="BK284" s="511">
        <v>6290</v>
      </c>
      <c r="BL284" s="502" t="s">
        <v>609</v>
      </c>
      <c r="BM284" s="504">
        <v>0.01</v>
      </c>
      <c r="BN284" s="504">
        <v>0.5</v>
      </c>
      <c r="BO284" s="503" t="s">
        <v>482</v>
      </c>
      <c r="BP284" s="502" t="s">
        <v>132</v>
      </c>
      <c r="BQ284" s="511">
        <v>7140</v>
      </c>
      <c r="BR284" s="502" t="s">
        <v>609</v>
      </c>
      <c r="BS284" s="504">
        <v>0.01</v>
      </c>
      <c r="BT284" s="504">
        <v>0.5</v>
      </c>
      <c r="BU284" s="503" t="s">
        <v>413</v>
      </c>
      <c r="BV284" s="345"/>
      <c r="BW284" s="345"/>
      <c r="BX284" s="345"/>
      <c r="BY284" s="345"/>
      <c r="BZ284" s="345"/>
      <c r="CA284" s="345"/>
      <c r="CB284" s="345"/>
      <c r="CC284" s="345"/>
      <c r="CD284" s="345"/>
      <c r="CE284" s="507"/>
      <c r="CF284" s="507"/>
      <c r="CG284" s="507"/>
      <c r="CH284" s="512"/>
      <c r="CI284" s="507"/>
      <c r="CJ284" s="507"/>
      <c r="CK284" s="512"/>
      <c r="CL284" s="512"/>
      <c r="CM284" s="507"/>
      <c r="CN284" s="360"/>
      <c r="CO284" s="346">
        <v>0.01</v>
      </c>
      <c r="CP284" s="346">
        <f t="shared" si="367"/>
        <v>0.5</v>
      </c>
    </row>
    <row r="285" spans="1:94" s="344" customFormat="1" ht="15.75" hidden="1" thickBot="1" x14ac:dyDescent="0.3">
      <c r="A285" s="342"/>
      <c r="V285" s="346"/>
      <c r="AA285" s="347"/>
      <c r="AB285" s="347"/>
      <c r="AD285" s="347"/>
      <c r="AE285" s="348"/>
      <c r="AH285" s="349"/>
      <c r="AI285" s="349"/>
      <c r="AK285" s="347"/>
      <c r="AR285" s="347"/>
      <c r="AV285" s="347"/>
      <c r="AX285" s="347"/>
      <c r="BB285" s="347"/>
      <c r="BC285" s="347"/>
      <c r="BE285" s="347"/>
      <c r="BH285" s="342"/>
      <c r="BI285" s="505"/>
      <c r="BJ285" s="502"/>
      <c r="BK285" s="511"/>
      <c r="BL285" s="502"/>
      <c r="BM285" s="504"/>
      <c r="BN285" s="504"/>
      <c r="BO285" s="503"/>
      <c r="BP285" s="502"/>
      <c r="BQ285" s="511"/>
      <c r="BR285" s="502"/>
      <c r="BS285" s="504"/>
      <c r="BT285" s="504"/>
      <c r="BU285" s="503"/>
      <c r="BV285" s="345"/>
      <c r="BW285" s="345"/>
      <c r="BX285" s="345"/>
      <c r="BY285" s="345"/>
      <c r="BZ285" s="345"/>
      <c r="CA285" s="345"/>
      <c r="CB285" s="345"/>
      <c r="CC285" s="345"/>
      <c r="CD285" s="345"/>
      <c r="CE285" s="507"/>
      <c r="CF285" s="507"/>
      <c r="CG285" s="507"/>
      <c r="CH285" s="475"/>
      <c r="CI285" s="507"/>
      <c r="CJ285" s="507"/>
      <c r="CK285" s="475"/>
      <c r="CL285" s="475"/>
      <c r="CM285" s="507"/>
      <c r="CN285" s="360"/>
      <c r="CO285" s="346">
        <v>0.01</v>
      </c>
      <c r="CP285" s="346">
        <f t="shared" si="367"/>
        <v>0</v>
      </c>
    </row>
    <row r="286" spans="1:94" s="344" customFormat="1" hidden="1" x14ac:dyDescent="0.25">
      <c r="A286" s="342"/>
      <c r="V286" s="346"/>
      <c r="AA286" s="347"/>
      <c r="AB286" s="347"/>
      <c r="AD286" s="347"/>
      <c r="AE286" s="348"/>
      <c r="AH286" s="349"/>
      <c r="AI286" s="349"/>
      <c r="AK286" s="347"/>
      <c r="AR286" s="347"/>
      <c r="AV286" s="347"/>
      <c r="AX286" s="347"/>
      <c r="BB286" s="347"/>
      <c r="BC286" s="347"/>
      <c r="BE286" s="347"/>
      <c r="BH286" s="342"/>
      <c r="BI286" s="345"/>
      <c r="BJ286" s="473"/>
      <c r="BK286" s="473"/>
      <c r="BL286" s="473"/>
      <c r="BM286" s="463"/>
      <c r="BN286" s="463"/>
      <c r="BO286" s="463"/>
      <c r="BP286" s="507"/>
      <c r="BQ286" s="507"/>
      <c r="BR286" s="507"/>
      <c r="BS286" s="507"/>
      <c r="BT286" s="507"/>
      <c r="BU286" s="507"/>
      <c r="BV286" s="473"/>
      <c r="BW286" s="507"/>
      <c r="BX286" s="507"/>
      <c r="BY286" s="473"/>
      <c r="BZ286" s="473"/>
      <c r="CA286" s="473"/>
      <c r="CB286" s="507"/>
      <c r="CC286" s="507"/>
      <c r="CD286" s="507"/>
      <c r="CE286" s="507"/>
      <c r="CF286" s="507"/>
      <c r="CG286" s="507"/>
      <c r="CH286" s="475"/>
      <c r="CI286" s="507"/>
      <c r="CJ286" s="507"/>
      <c r="CK286" s="475"/>
      <c r="CL286" s="475"/>
      <c r="CM286" s="507"/>
      <c r="CN286" s="360"/>
      <c r="CO286" s="346"/>
      <c r="CP286" s="346">
        <f t="shared" si="367"/>
        <v>0</v>
      </c>
    </row>
    <row r="287" spans="1:94" s="344" customFormat="1" ht="15.75" hidden="1" thickBot="1" x14ac:dyDescent="0.3">
      <c r="A287" s="342"/>
      <c r="V287" s="346"/>
      <c r="AA287" s="347"/>
      <c r="AB287" s="347"/>
      <c r="AD287" s="347"/>
      <c r="AE287" s="348"/>
      <c r="AH287" s="349"/>
      <c r="AI287" s="349"/>
      <c r="AK287" s="347"/>
      <c r="AR287" s="347"/>
      <c r="AV287" s="347"/>
      <c r="AX287" s="347"/>
      <c r="BB287" s="347"/>
      <c r="BC287" s="347"/>
      <c r="BE287" s="347"/>
      <c r="BH287" s="342"/>
      <c r="BI287" s="345"/>
      <c r="BJ287" s="473"/>
      <c r="BK287" s="473"/>
      <c r="BL287" s="473"/>
      <c r="BM287" s="463"/>
      <c r="BN287" s="463"/>
      <c r="BO287" s="463"/>
      <c r="BP287" s="473"/>
      <c r="BQ287" s="473"/>
      <c r="BR287" s="473"/>
      <c r="BS287" s="473"/>
      <c r="BT287" s="473"/>
      <c r="BU287" s="473"/>
      <c r="BV287" s="473"/>
      <c r="BW287" s="473"/>
      <c r="BX287" s="473"/>
      <c r="BY287" s="473"/>
      <c r="BZ287" s="473"/>
      <c r="CA287" s="473"/>
      <c r="CB287" s="475"/>
      <c r="CC287" s="473"/>
      <c r="CD287" s="473"/>
      <c r="CE287" s="475"/>
      <c r="CF287" s="475"/>
      <c r="CG287" s="475"/>
      <c r="CH287" s="475"/>
      <c r="CI287" s="473"/>
      <c r="CJ287" s="473"/>
      <c r="CK287" s="475"/>
      <c r="CL287" s="475"/>
      <c r="CM287" s="475"/>
      <c r="CN287" s="360"/>
      <c r="CO287" s="346"/>
      <c r="CP287" s="346">
        <f t="shared" si="367"/>
        <v>0</v>
      </c>
    </row>
    <row r="288" spans="1:94" s="344" customFormat="1" ht="33.75" hidden="1" customHeight="1" x14ac:dyDescent="0.25">
      <c r="A288" s="342"/>
      <c r="V288" s="346"/>
      <c r="AA288" s="347"/>
      <c r="AB288" s="347"/>
      <c r="AD288" s="347"/>
      <c r="AE288" s="348"/>
      <c r="AH288" s="349"/>
      <c r="AI288" s="349"/>
      <c r="AK288" s="347"/>
      <c r="AR288" s="347"/>
      <c r="AV288" s="347"/>
      <c r="AX288" s="347"/>
      <c r="BB288" s="347"/>
      <c r="BC288" s="347"/>
      <c r="BE288" s="347"/>
      <c r="BH288" s="342"/>
      <c r="BI288" s="733" t="s">
        <v>409</v>
      </c>
      <c r="BJ288" s="498"/>
      <c r="BK288" s="733" t="s">
        <v>435</v>
      </c>
      <c r="BL288" s="498"/>
      <c r="BM288" s="733" t="s">
        <v>392</v>
      </c>
      <c r="BN288" s="733" t="s">
        <v>392</v>
      </c>
      <c r="BO288" s="733" t="s">
        <v>399</v>
      </c>
      <c r="BP288" s="498"/>
      <c r="BQ288" s="733" t="s">
        <v>435</v>
      </c>
      <c r="BR288" s="498"/>
      <c r="BS288" s="733" t="s">
        <v>392</v>
      </c>
      <c r="BT288" s="733" t="s">
        <v>392</v>
      </c>
      <c r="BU288" s="733" t="s">
        <v>399</v>
      </c>
      <c r="BV288" s="473"/>
      <c r="BW288" s="473"/>
      <c r="BX288" s="473"/>
      <c r="BY288" s="473"/>
      <c r="BZ288" s="473"/>
      <c r="CA288" s="473"/>
      <c r="CB288" s="475"/>
      <c r="CC288" s="473"/>
      <c r="CD288" s="473"/>
      <c r="CE288" s="475"/>
      <c r="CF288" s="475"/>
      <c r="CG288" s="475"/>
      <c r="CH288" s="475"/>
      <c r="CI288" s="473"/>
      <c r="CJ288" s="473"/>
      <c r="CK288" s="475"/>
      <c r="CL288" s="475"/>
      <c r="CM288" s="475"/>
      <c r="CN288" s="360"/>
      <c r="CO288" s="346"/>
      <c r="CP288" s="346" t="str">
        <f t="shared" si="367"/>
        <v>Incertidumbre (+/- %)</v>
      </c>
    </row>
    <row r="289" spans="1:94" s="344" customFormat="1" ht="37.5" hidden="1" customHeight="1" thickBot="1" x14ac:dyDescent="0.3">
      <c r="A289" s="342"/>
      <c r="V289" s="346"/>
      <c r="AA289" s="347"/>
      <c r="AB289" s="347"/>
      <c r="AD289" s="347"/>
      <c r="AE289" s="348"/>
      <c r="AH289" s="349"/>
      <c r="AI289" s="349"/>
      <c r="AK289" s="347"/>
      <c r="AR289" s="347"/>
      <c r="AV289" s="347"/>
      <c r="AX289" s="347"/>
      <c r="BB289" s="347"/>
      <c r="BC289" s="347"/>
      <c r="BE289" s="347"/>
      <c r="BH289" s="342"/>
      <c r="BI289" s="734"/>
      <c r="BJ289" s="499" t="s">
        <v>412</v>
      </c>
      <c r="BK289" s="734"/>
      <c r="BL289" s="499" t="s">
        <v>410</v>
      </c>
      <c r="BM289" s="734"/>
      <c r="BN289" s="734"/>
      <c r="BO289" s="734"/>
      <c r="BP289" s="499" t="s">
        <v>412</v>
      </c>
      <c r="BQ289" s="734"/>
      <c r="BR289" s="499" t="s">
        <v>410</v>
      </c>
      <c r="BS289" s="734"/>
      <c r="BT289" s="734"/>
      <c r="BU289" s="734"/>
      <c r="BV289" s="473"/>
      <c r="BW289" s="473"/>
      <c r="BX289" s="473"/>
      <c r="BY289" s="473"/>
      <c r="BZ289" s="473"/>
      <c r="CA289" s="473"/>
      <c r="CB289" s="475"/>
      <c r="CC289" s="473"/>
      <c r="CD289" s="473"/>
      <c r="CE289" s="475"/>
      <c r="CF289" s="475"/>
      <c r="CG289" s="475"/>
      <c r="CH289" s="475"/>
      <c r="CI289" s="473"/>
      <c r="CJ289" s="473"/>
      <c r="CK289" s="475"/>
      <c r="CL289" s="475"/>
      <c r="CM289" s="475"/>
      <c r="CN289" s="360"/>
      <c r="CO289" s="346"/>
      <c r="CP289" s="346">
        <f t="shared" si="367"/>
        <v>0</v>
      </c>
    </row>
    <row r="290" spans="1:94" s="344" customFormat="1" ht="18.75" hidden="1" thickBot="1" x14ac:dyDescent="0.3">
      <c r="A290" s="342"/>
      <c r="V290" s="346"/>
      <c r="AA290" s="347"/>
      <c r="AB290" s="347"/>
      <c r="AD290" s="347"/>
      <c r="AE290" s="348"/>
      <c r="AH290" s="349"/>
      <c r="AI290" s="349"/>
      <c r="AK290" s="347"/>
      <c r="AR290" s="347"/>
      <c r="AV290" s="347"/>
      <c r="AX290" s="347"/>
      <c r="BB290" s="347"/>
      <c r="BC290" s="347"/>
      <c r="BE290" s="347"/>
      <c r="BH290" s="342"/>
      <c r="BI290" s="584" t="s">
        <v>556</v>
      </c>
      <c r="BJ290" s="502" t="s">
        <v>132</v>
      </c>
      <c r="BK290" s="511">
        <v>1</v>
      </c>
      <c r="BL290" s="502" t="s">
        <v>609</v>
      </c>
      <c r="BM290" s="504">
        <v>0.01</v>
      </c>
      <c r="BN290" s="504">
        <v>0.5</v>
      </c>
      <c r="BO290" s="503" t="s">
        <v>482</v>
      </c>
      <c r="BP290" s="502" t="s">
        <v>132</v>
      </c>
      <c r="BQ290" s="511">
        <v>1</v>
      </c>
      <c r="BR290" s="502" t="s">
        <v>609</v>
      </c>
      <c r="BS290" s="504">
        <v>0.01</v>
      </c>
      <c r="BT290" s="504">
        <v>0.5</v>
      </c>
      <c r="BU290" s="503" t="s">
        <v>413</v>
      </c>
      <c r="BV290" s="473"/>
      <c r="BW290" s="473"/>
      <c r="BX290" s="473"/>
      <c r="BY290" s="473"/>
      <c r="BZ290" s="473"/>
      <c r="CA290" s="473"/>
      <c r="CB290" s="475"/>
      <c r="CC290" s="473"/>
      <c r="CD290" s="473"/>
      <c r="CE290" s="475"/>
      <c r="CF290" s="475"/>
      <c r="CG290" s="475"/>
      <c r="CH290" s="475"/>
      <c r="CI290" s="473"/>
      <c r="CJ290" s="473"/>
      <c r="CK290" s="475"/>
      <c r="CL290" s="475"/>
      <c r="CM290" s="475"/>
      <c r="CN290" s="360"/>
      <c r="CO290" s="346">
        <v>0.01</v>
      </c>
      <c r="CP290" s="346">
        <f t="shared" si="367"/>
        <v>0.5</v>
      </c>
    </row>
    <row r="291" spans="1:94" s="344" customFormat="1" ht="18.75" hidden="1" thickBot="1" x14ac:dyDescent="0.3">
      <c r="A291" s="342"/>
      <c r="V291" s="346"/>
      <c r="AA291" s="347"/>
      <c r="AB291" s="347"/>
      <c r="AD291" s="347"/>
      <c r="AE291" s="348"/>
      <c r="AH291" s="349"/>
      <c r="AI291" s="349"/>
      <c r="AK291" s="347"/>
      <c r="AR291" s="347"/>
      <c r="AV291" s="347"/>
      <c r="AX291" s="347"/>
      <c r="BB291" s="347"/>
      <c r="BC291" s="347"/>
      <c r="BE291" s="347"/>
      <c r="BH291" s="342"/>
      <c r="BI291" s="584" t="s">
        <v>557</v>
      </c>
      <c r="BJ291" s="502" t="s">
        <v>132</v>
      </c>
      <c r="BK291" s="511">
        <v>79</v>
      </c>
      <c r="BL291" s="502" t="s">
        <v>609</v>
      </c>
      <c r="BM291" s="504">
        <v>0.01</v>
      </c>
      <c r="BN291" s="504">
        <v>0.5</v>
      </c>
      <c r="BO291" s="503" t="s">
        <v>482</v>
      </c>
      <c r="BP291" s="502" t="s">
        <v>132</v>
      </c>
      <c r="BQ291" s="511">
        <v>77</v>
      </c>
      <c r="BR291" s="502" t="s">
        <v>609</v>
      </c>
      <c r="BS291" s="504">
        <v>0.01</v>
      </c>
      <c r="BT291" s="504">
        <v>0.5</v>
      </c>
      <c r="BU291" s="503" t="s">
        <v>413</v>
      </c>
      <c r="BV291" s="473"/>
      <c r="BW291" s="473"/>
      <c r="BX291" s="473"/>
      <c r="BY291" s="473"/>
      <c r="BZ291" s="473"/>
      <c r="CA291" s="473"/>
      <c r="CB291" s="473"/>
      <c r="CC291" s="473"/>
      <c r="CD291" s="473"/>
      <c r="CE291" s="473"/>
      <c r="CF291" s="473"/>
      <c r="CG291" s="473"/>
      <c r="CH291" s="473"/>
      <c r="CI291" s="473"/>
      <c r="CJ291" s="473"/>
      <c r="CK291" s="473"/>
      <c r="CL291" s="473"/>
      <c r="CM291" s="473"/>
      <c r="CN291" s="360"/>
      <c r="CO291" s="346">
        <v>0.01</v>
      </c>
      <c r="CP291" s="346">
        <f t="shared" si="367"/>
        <v>0.5</v>
      </c>
    </row>
    <row r="292" spans="1:94" s="344" customFormat="1" hidden="1" x14ac:dyDescent="0.25">
      <c r="A292" s="342"/>
      <c r="V292" s="346"/>
      <c r="AA292" s="347"/>
      <c r="AB292" s="347"/>
      <c r="AD292" s="347"/>
      <c r="AE292" s="348"/>
      <c r="AH292" s="349"/>
      <c r="AI292" s="349"/>
      <c r="AK292" s="347"/>
      <c r="AR292" s="347"/>
      <c r="AV292" s="347"/>
      <c r="AX292" s="347"/>
      <c r="BB292" s="347"/>
      <c r="BC292" s="347"/>
      <c r="BE292" s="347"/>
      <c r="BH292" s="342"/>
      <c r="BI292" s="345"/>
      <c r="BJ292" s="473"/>
      <c r="BK292" s="473"/>
      <c r="BL292" s="473"/>
      <c r="BM292" s="463"/>
      <c r="BN292" s="463"/>
      <c r="BO292" s="463"/>
      <c r="BP292" s="473"/>
      <c r="BQ292" s="473"/>
      <c r="BR292" s="473"/>
      <c r="BS292" s="473"/>
      <c r="BT292" s="473"/>
      <c r="BU292" s="473"/>
      <c r="BV292" s="475"/>
      <c r="BW292" s="473"/>
      <c r="BX292" s="473"/>
      <c r="BY292" s="475"/>
      <c r="BZ292" s="475"/>
      <c r="CA292" s="475"/>
      <c r="CB292" s="473"/>
      <c r="CC292" s="473"/>
      <c r="CD292" s="473"/>
      <c r="CE292" s="473"/>
      <c r="CF292" s="473"/>
      <c r="CG292" s="473"/>
      <c r="CH292" s="473"/>
      <c r="CI292" s="473"/>
      <c r="CJ292" s="473"/>
      <c r="CK292" s="473"/>
      <c r="CL292" s="473"/>
      <c r="CM292" s="473"/>
      <c r="CN292" s="362"/>
      <c r="CO292" s="346"/>
      <c r="CP292" s="346">
        <f t="shared" si="367"/>
        <v>0</v>
      </c>
    </row>
    <row r="293" spans="1:94" s="344" customFormat="1" ht="15.75" hidden="1" thickBot="1" x14ac:dyDescent="0.3">
      <c r="A293" s="342"/>
      <c r="V293" s="346"/>
      <c r="AA293" s="347"/>
      <c r="AB293" s="347"/>
      <c r="AD293" s="347"/>
      <c r="AE293" s="348"/>
      <c r="AH293" s="349"/>
      <c r="AI293" s="349"/>
      <c r="AK293" s="347"/>
      <c r="AR293" s="347"/>
      <c r="AV293" s="347"/>
      <c r="AX293" s="347"/>
      <c r="BB293" s="347"/>
      <c r="BC293" s="347"/>
      <c r="BE293" s="347"/>
      <c r="BH293" s="342"/>
      <c r="BI293" s="345"/>
      <c r="BJ293" s="473"/>
      <c r="BK293" s="473"/>
      <c r="BL293" s="473"/>
      <c r="BM293" s="463"/>
      <c r="BN293" s="463"/>
      <c r="BO293" s="463"/>
      <c r="BP293" s="473"/>
      <c r="BQ293" s="473"/>
      <c r="BR293" s="473"/>
      <c r="BS293" s="473"/>
      <c r="BT293" s="473"/>
      <c r="BU293" s="473"/>
      <c r="BV293" s="475"/>
      <c r="BW293" s="473"/>
      <c r="BX293" s="473"/>
      <c r="BY293" s="475"/>
      <c r="BZ293" s="475"/>
      <c r="CA293" s="475"/>
      <c r="CB293" s="473"/>
      <c r="CC293" s="473"/>
      <c r="CD293" s="473"/>
      <c r="CE293" s="473"/>
      <c r="CF293" s="473"/>
      <c r="CG293" s="473"/>
      <c r="CH293" s="473"/>
      <c r="CI293" s="473"/>
      <c r="CJ293" s="473"/>
      <c r="CK293" s="473"/>
      <c r="CL293" s="473"/>
      <c r="CM293" s="473"/>
      <c r="CN293" s="362"/>
      <c r="CO293" s="346"/>
      <c r="CP293" s="346">
        <f t="shared" si="367"/>
        <v>0</v>
      </c>
    </row>
    <row r="294" spans="1:94" s="344" customFormat="1" hidden="1" x14ac:dyDescent="0.25">
      <c r="A294" s="342"/>
      <c r="V294" s="346"/>
      <c r="AA294" s="347"/>
      <c r="AB294" s="347"/>
      <c r="AD294" s="347"/>
      <c r="AE294" s="348"/>
      <c r="AH294" s="349"/>
      <c r="AI294" s="349"/>
      <c r="AK294" s="347"/>
      <c r="AR294" s="347"/>
      <c r="AV294" s="347"/>
      <c r="AX294" s="347"/>
      <c r="BB294" s="347"/>
      <c r="BC294" s="347"/>
      <c r="BE294" s="347"/>
      <c r="BH294" s="342"/>
      <c r="BI294" s="733" t="s">
        <v>408</v>
      </c>
      <c r="BJ294" s="498"/>
      <c r="BK294" s="733" t="s">
        <v>436</v>
      </c>
      <c r="BL294" s="498"/>
      <c r="BM294" s="733" t="s">
        <v>392</v>
      </c>
      <c r="BN294" s="733" t="s">
        <v>392</v>
      </c>
      <c r="BO294" s="733" t="s">
        <v>399</v>
      </c>
      <c r="BP294" s="473"/>
      <c r="BQ294" s="473"/>
      <c r="BR294" s="473"/>
      <c r="BS294" s="473"/>
      <c r="BT294" s="473"/>
      <c r="BU294" s="473"/>
      <c r="BV294" s="475"/>
      <c r="BW294" s="473"/>
      <c r="BX294" s="473"/>
      <c r="BY294" s="475"/>
      <c r="BZ294" s="475"/>
      <c r="CA294" s="475"/>
      <c r="CB294" s="514"/>
      <c r="CC294" s="473"/>
      <c r="CD294" s="473"/>
      <c r="CE294" s="514"/>
      <c r="CF294" s="514"/>
      <c r="CG294" s="514"/>
      <c r="CH294" s="514"/>
      <c r="CI294" s="473"/>
      <c r="CJ294" s="473"/>
      <c r="CK294" s="514"/>
      <c r="CL294" s="514"/>
      <c r="CM294" s="514"/>
      <c r="CN294" s="362"/>
      <c r="CO294" s="346"/>
      <c r="CP294" s="346" t="str">
        <f t="shared" si="367"/>
        <v>Incertidumbre (+/- %)</v>
      </c>
    </row>
    <row r="295" spans="1:94" s="344" customFormat="1" ht="49.5" hidden="1" customHeight="1" thickBot="1" x14ac:dyDescent="0.3">
      <c r="A295" s="342"/>
      <c r="V295" s="346"/>
      <c r="AA295" s="347"/>
      <c r="AB295" s="347"/>
      <c r="AD295" s="347"/>
      <c r="AE295" s="348"/>
      <c r="AH295" s="349"/>
      <c r="AI295" s="349"/>
      <c r="AK295" s="347"/>
      <c r="AR295" s="347"/>
      <c r="AV295" s="347"/>
      <c r="AX295" s="347"/>
      <c r="BB295" s="347"/>
      <c r="BC295" s="347"/>
      <c r="BE295" s="347"/>
      <c r="BH295" s="342"/>
      <c r="BI295" s="734"/>
      <c r="BJ295" s="499" t="s">
        <v>412</v>
      </c>
      <c r="BK295" s="734"/>
      <c r="BL295" s="499" t="s">
        <v>410</v>
      </c>
      <c r="BM295" s="734"/>
      <c r="BN295" s="734"/>
      <c r="BO295" s="734"/>
      <c r="BP295" s="473"/>
      <c r="BQ295" s="473"/>
      <c r="BR295" s="473"/>
      <c r="BS295" s="473"/>
      <c r="BT295" s="473"/>
      <c r="BU295" s="473"/>
      <c r="BV295" s="475"/>
      <c r="BW295" s="473"/>
      <c r="BX295" s="473"/>
      <c r="BY295" s="475"/>
      <c r="BZ295" s="475"/>
      <c r="CA295" s="475"/>
      <c r="CB295" s="514"/>
      <c r="CC295" s="473"/>
      <c r="CD295" s="473"/>
      <c r="CE295" s="514"/>
      <c r="CF295" s="514"/>
      <c r="CG295" s="514"/>
      <c r="CH295" s="514"/>
      <c r="CI295" s="473"/>
      <c r="CJ295" s="473"/>
      <c r="CK295" s="514"/>
      <c r="CL295" s="514"/>
      <c r="CM295" s="514"/>
      <c r="CN295" s="362"/>
      <c r="CO295" s="346"/>
      <c r="CP295" s="346">
        <f t="shared" si="367"/>
        <v>0</v>
      </c>
    </row>
    <row r="296" spans="1:94" s="344" customFormat="1" ht="15.75" hidden="1" thickBot="1" x14ac:dyDescent="0.3">
      <c r="A296" s="342"/>
      <c r="V296" s="346"/>
      <c r="AA296" s="347"/>
      <c r="AB296" s="347"/>
      <c r="AD296" s="347"/>
      <c r="AE296" s="348"/>
      <c r="AH296" s="349"/>
      <c r="AI296" s="349"/>
      <c r="AK296" s="347"/>
      <c r="AR296" s="347"/>
      <c r="AV296" s="347"/>
      <c r="AX296" s="347"/>
      <c r="BB296" s="347"/>
      <c r="BC296" s="347"/>
      <c r="BE296" s="347"/>
      <c r="BH296" s="342"/>
      <c r="BI296" s="584" t="s">
        <v>415</v>
      </c>
      <c r="BJ296" s="502" t="s">
        <v>164</v>
      </c>
      <c r="BK296" s="511">
        <v>1.7829504000000003E-3</v>
      </c>
      <c r="BL296" s="502" t="s">
        <v>437</v>
      </c>
      <c r="BM296" s="504">
        <v>0.01</v>
      </c>
      <c r="BN296" s="504">
        <v>0.5</v>
      </c>
      <c r="BO296" s="503" t="s">
        <v>417</v>
      </c>
      <c r="BP296" s="473"/>
      <c r="BQ296" s="473"/>
      <c r="BR296" s="473"/>
      <c r="BS296" s="473"/>
      <c r="BT296" s="473"/>
      <c r="BU296" s="473"/>
      <c r="BV296" s="475"/>
      <c r="BW296" s="473"/>
      <c r="BX296" s="473"/>
      <c r="BY296" s="475"/>
      <c r="BZ296" s="475"/>
      <c r="CA296" s="475"/>
      <c r="CB296" s="475"/>
      <c r="CC296" s="473"/>
      <c r="CD296" s="473"/>
      <c r="CE296" s="475"/>
      <c r="CF296" s="475"/>
      <c r="CG296" s="475"/>
      <c r="CH296" s="475"/>
      <c r="CI296" s="473"/>
      <c r="CJ296" s="473"/>
      <c r="CK296" s="475"/>
      <c r="CL296" s="475"/>
      <c r="CM296" s="475"/>
      <c r="CN296" s="360"/>
      <c r="CO296" s="346">
        <v>0.15</v>
      </c>
      <c r="CP296" s="346">
        <f t="shared" si="367"/>
        <v>0.5</v>
      </c>
    </row>
    <row r="297" spans="1:94" s="344" customFormat="1" ht="15.75" hidden="1" thickBot="1" x14ac:dyDescent="0.3">
      <c r="A297" s="342"/>
      <c r="V297" s="346"/>
      <c r="AA297" s="347"/>
      <c r="AB297" s="347"/>
      <c r="AD297" s="347"/>
      <c r="AE297" s="348"/>
      <c r="AH297" s="349"/>
      <c r="AI297" s="349"/>
      <c r="AK297" s="347"/>
      <c r="AR297" s="347"/>
      <c r="AV297" s="347"/>
      <c r="AX297" s="347"/>
      <c r="BB297" s="347"/>
      <c r="BC297" s="347"/>
      <c r="BE297" s="347"/>
      <c r="BH297" s="342"/>
      <c r="BI297" s="584" t="s">
        <v>416</v>
      </c>
      <c r="BJ297" s="502" t="s">
        <v>132</v>
      </c>
      <c r="BK297" s="511">
        <v>5.8960000000000013E-4</v>
      </c>
      <c r="BL297" s="502" t="s">
        <v>418</v>
      </c>
      <c r="BM297" s="504">
        <v>0.01</v>
      </c>
      <c r="BN297" s="504">
        <v>0.5</v>
      </c>
      <c r="BO297" s="503" t="s">
        <v>417</v>
      </c>
      <c r="BP297" s="473"/>
      <c r="BQ297" s="473"/>
      <c r="BR297" s="473"/>
      <c r="BS297" s="473"/>
      <c r="BT297" s="473"/>
      <c r="BU297" s="473"/>
      <c r="BV297" s="475"/>
      <c r="BW297" s="473"/>
      <c r="BX297" s="473"/>
      <c r="BY297" s="475"/>
      <c r="BZ297" s="475"/>
      <c r="CA297" s="475"/>
      <c r="CB297" s="475"/>
      <c r="CC297" s="473"/>
      <c r="CD297" s="473"/>
      <c r="CE297" s="475"/>
      <c r="CF297" s="475"/>
      <c r="CG297" s="475"/>
      <c r="CH297" s="475"/>
      <c r="CI297" s="473"/>
      <c r="CJ297" s="473"/>
      <c r="CK297" s="475"/>
      <c r="CL297" s="475"/>
      <c r="CM297" s="475"/>
      <c r="CN297" s="360"/>
      <c r="CO297" s="346">
        <v>0.15</v>
      </c>
      <c r="CP297" s="346">
        <f t="shared" si="367"/>
        <v>0.5</v>
      </c>
    </row>
    <row r="298" spans="1:94" s="344" customFormat="1" hidden="1" x14ac:dyDescent="0.25">
      <c r="A298" s="342"/>
      <c r="V298" s="346"/>
      <c r="AA298" s="347"/>
      <c r="AB298" s="347"/>
      <c r="AD298" s="347"/>
      <c r="AE298" s="348"/>
      <c r="AH298" s="349"/>
      <c r="AI298" s="349"/>
      <c r="AK298" s="347"/>
      <c r="AR298" s="347"/>
      <c r="AV298" s="347"/>
      <c r="AX298" s="347"/>
      <c r="BB298" s="347"/>
      <c r="BC298" s="347"/>
      <c r="BE298" s="347"/>
      <c r="BH298" s="342"/>
      <c r="BI298" s="345"/>
      <c r="BJ298" s="473"/>
      <c r="BK298" s="473"/>
      <c r="BL298" s="473"/>
      <c r="BM298" s="463"/>
      <c r="BN298" s="463"/>
      <c r="BO298" s="463"/>
      <c r="BP298" s="473"/>
      <c r="BQ298" s="473"/>
      <c r="BR298" s="473"/>
      <c r="BS298" s="473"/>
      <c r="BT298" s="473"/>
      <c r="BU298" s="473"/>
      <c r="BV298" s="475"/>
      <c r="BW298" s="473"/>
      <c r="BX298" s="473"/>
      <c r="BY298" s="475"/>
      <c r="BZ298" s="475"/>
      <c r="CA298" s="475"/>
      <c r="CB298" s="475"/>
      <c r="CC298" s="473"/>
      <c r="CD298" s="473"/>
      <c r="CE298" s="475"/>
      <c r="CF298" s="475"/>
      <c r="CG298" s="475"/>
      <c r="CH298" s="475"/>
      <c r="CI298" s="473"/>
      <c r="CJ298" s="473"/>
      <c r="CK298" s="475"/>
      <c r="CL298" s="475"/>
      <c r="CM298" s="475"/>
      <c r="CN298" s="360"/>
      <c r="CO298" s="346"/>
      <c r="CP298" s="346">
        <f t="shared" si="367"/>
        <v>0</v>
      </c>
    </row>
    <row r="299" spans="1:94" s="344" customFormat="1" ht="15.75" hidden="1" thickBot="1" x14ac:dyDescent="0.3">
      <c r="A299" s="342"/>
      <c r="V299" s="346"/>
      <c r="AA299" s="347"/>
      <c r="AB299" s="347"/>
      <c r="AD299" s="347"/>
      <c r="AE299" s="348"/>
      <c r="AH299" s="349"/>
      <c r="AI299" s="349"/>
      <c r="AK299" s="347"/>
      <c r="AR299" s="347"/>
      <c r="AV299" s="347"/>
      <c r="AX299" s="347"/>
      <c r="BB299" s="347"/>
      <c r="BC299" s="347"/>
      <c r="BE299" s="347"/>
      <c r="BH299" s="342"/>
      <c r="BI299" s="345"/>
      <c r="BJ299" s="473"/>
      <c r="BK299" s="473"/>
      <c r="BL299" s="473"/>
      <c r="BM299" s="463"/>
      <c r="BN299" s="463"/>
      <c r="BO299" s="463"/>
      <c r="BP299" s="473"/>
      <c r="BQ299" s="473"/>
      <c r="BR299" s="473"/>
      <c r="BS299" s="473"/>
      <c r="BT299" s="473"/>
      <c r="BU299" s="473"/>
      <c r="BV299" s="475"/>
      <c r="BW299" s="473"/>
      <c r="BX299" s="473"/>
      <c r="BY299" s="475"/>
      <c r="BZ299" s="475"/>
      <c r="CA299" s="475"/>
      <c r="CB299" s="475"/>
      <c r="CC299" s="473"/>
      <c r="CD299" s="473"/>
      <c r="CE299" s="475"/>
      <c r="CF299" s="475"/>
      <c r="CG299" s="475"/>
      <c r="CH299" s="475"/>
      <c r="CI299" s="473"/>
      <c r="CJ299" s="473"/>
      <c r="CK299" s="475"/>
      <c r="CL299" s="475"/>
      <c r="CM299" s="475"/>
      <c r="CN299" s="360"/>
      <c r="CO299" s="346"/>
      <c r="CP299" s="346">
        <f t="shared" si="367"/>
        <v>0</v>
      </c>
    </row>
    <row r="300" spans="1:94" s="344" customFormat="1" hidden="1" x14ac:dyDescent="0.25">
      <c r="A300" s="342"/>
      <c r="V300" s="346"/>
      <c r="AA300" s="347"/>
      <c r="AB300" s="347"/>
      <c r="AD300" s="347"/>
      <c r="AE300" s="348"/>
      <c r="AH300" s="349"/>
      <c r="AI300" s="349"/>
      <c r="AK300" s="347"/>
      <c r="AR300" s="347"/>
      <c r="AV300" s="347"/>
      <c r="AX300" s="347"/>
      <c r="BB300" s="347"/>
      <c r="BC300" s="347"/>
      <c r="BE300" s="347"/>
      <c r="BH300" s="342"/>
      <c r="BI300" s="733" t="s">
        <v>311</v>
      </c>
      <c r="BJ300" s="498"/>
      <c r="BK300" s="733" t="s">
        <v>435</v>
      </c>
      <c r="BL300" s="498"/>
      <c r="BM300" s="733" t="s">
        <v>392</v>
      </c>
      <c r="BN300" s="733" t="s">
        <v>392</v>
      </c>
      <c r="BO300" s="733" t="s">
        <v>399</v>
      </c>
      <c r="BP300" s="473"/>
      <c r="BQ300" s="473"/>
      <c r="BR300" s="473"/>
      <c r="BS300" s="473"/>
      <c r="BT300" s="473"/>
      <c r="BU300" s="473"/>
      <c r="BV300" s="475"/>
      <c r="BW300" s="473"/>
      <c r="BX300" s="473"/>
      <c r="BY300" s="475"/>
      <c r="BZ300" s="475"/>
      <c r="CA300" s="475"/>
      <c r="CB300" s="475"/>
      <c r="CC300" s="473"/>
      <c r="CD300" s="473"/>
      <c r="CE300" s="475"/>
      <c r="CF300" s="475"/>
      <c r="CG300" s="475"/>
      <c r="CH300" s="475"/>
      <c r="CI300" s="473"/>
      <c r="CJ300" s="473"/>
      <c r="CK300" s="475"/>
      <c r="CL300" s="475"/>
      <c r="CM300" s="475"/>
      <c r="CN300" s="360"/>
      <c r="CO300" s="346"/>
      <c r="CP300" s="346" t="str">
        <f t="shared" si="367"/>
        <v>Incertidumbre (+/- %)</v>
      </c>
    </row>
    <row r="301" spans="1:94" s="344" customFormat="1" ht="41.25" hidden="1" customHeight="1" thickBot="1" x14ac:dyDescent="0.3">
      <c r="A301" s="342"/>
      <c r="V301" s="346"/>
      <c r="AA301" s="347"/>
      <c r="AB301" s="347"/>
      <c r="AD301" s="347"/>
      <c r="AE301" s="348"/>
      <c r="AH301" s="349"/>
      <c r="AI301" s="349"/>
      <c r="AK301" s="347"/>
      <c r="AR301" s="347"/>
      <c r="AV301" s="347"/>
      <c r="AX301" s="347"/>
      <c r="BB301" s="347"/>
      <c r="BC301" s="347"/>
      <c r="BE301" s="347"/>
      <c r="BH301" s="342"/>
      <c r="BI301" s="734"/>
      <c r="BJ301" s="499" t="s">
        <v>412</v>
      </c>
      <c r="BK301" s="734"/>
      <c r="BL301" s="499" t="s">
        <v>410</v>
      </c>
      <c r="BM301" s="734"/>
      <c r="BN301" s="734"/>
      <c r="BO301" s="734"/>
      <c r="BP301" s="473"/>
      <c r="BQ301" s="473"/>
      <c r="BR301" s="473"/>
      <c r="BS301" s="473"/>
      <c r="BT301" s="473"/>
      <c r="BU301" s="473"/>
      <c r="BV301" s="475"/>
      <c r="BW301" s="473"/>
      <c r="BX301" s="473"/>
      <c r="BY301" s="475"/>
      <c r="BZ301" s="475"/>
      <c r="CA301" s="475"/>
      <c r="CB301" s="475"/>
      <c r="CC301" s="473"/>
      <c r="CD301" s="473"/>
      <c r="CE301" s="475"/>
      <c r="CF301" s="475"/>
      <c r="CG301" s="475"/>
      <c r="CH301" s="475"/>
      <c r="CI301" s="473"/>
      <c r="CJ301" s="473"/>
      <c r="CK301" s="475"/>
      <c r="CL301" s="475"/>
      <c r="CM301" s="475"/>
      <c r="CN301" s="360"/>
      <c r="CO301" s="346"/>
      <c r="CP301" s="346">
        <f t="shared" si="367"/>
        <v>0</v>
      </c>
    </row>
    <row r="302" spans="1:94" s="344" customFormat="1" ht="18.75" hidden="1" thickBot="1" x14ac:dyDescent="0.3">
      <c r="A302" s="342"/>
      <c r="V302" s="346"/>
      <c r="AA302" s="347"/>
      <c r="AB302" s="347"/>
      <c r="AD302" s="347"/>
      <c r="AE302" s="348"/>
      <c r="AH302" s="349"/>
      <c r="AI302" s="349"/>
      <c r="AK302" s="347"/>
      <c r="AR302" s="347"/>
      <c r="AV302" s="347"/>
      <c r="AX302" s="347"/>
      <c r="BB302" s="347"/>
      <c r="BC302" s="347"/>
      <c r="BE302" s="347"/>
      <c r="BH302" s="342"/>
      <c r="BI302" s="505" t="s">
        <v>310</v>
      </c>
      <c r="BJ302" s="502" t="s">
        <v>132</v>
      </c>
      <c r="BK302" s="511">
        <v>1</v>
      </c>
      <c r="BL302" s="502" t="s">
        <v>609</v>
      </c>
      <c r="BM302" s="504">
        <v>0.01</v>
      </c>
      <c r="BN302" s="504">
        <v>0.5</v>
      </c>
      <c r="BO302" s="503" t="s">
        <v>482</v>
      </c>
      <c r="BP302" s="473"/>
      <c r="BQ302" s="473"/>
      <c r="BR302" s="473"/>
      <c r="BS302" s="473"/>
      <c r="BT302" s="473"/>
      <c r="BU302" s="473"/>
      <c r="BV302" s="475"/>
      <c r="BW302" s="473"/>
      <c r="BX302" s="473"/>
      <c r="BY302" s="475"/>
      <c r="BZ302" s="475"/>
      <c r="CA302" s="475"/>
      <c r="CB302" s="475"/>
      <c r="CC302" s="473"/>
      <c r="CD302" s="473"/>
      <c r="CE302" s="475"/>
      <c r="CF302" s="475"/>
      <c r="CG302" s="475"/>
      <c r="CH302" s="475"/>
      <c r="CI302" s="473"/>
      <c r="CJ302" s="473"/>
      <c r="CK302" s="475"/>
      <c r="CL302" s="475"/>
      <c r="CM302" s="475"/>
      <c r="CN302" s="360"/>
      <c r="CO302" s="346">
        <v>0.01</v>
      </c>
      <c r="CP302" s="346">
        <f t="shared" si="367"/>
        <v>0.5</v>
      </c>
    </row>
    <row r="303" spans="1:94" s="344" customFormat="1" hidden="1" x14ac:dyDescent="0.25">
      <c r="A303" s="342"/>
      <c r="V303" s="346"/>
      <c r="AA303" s="347"/>
      <c r="AB303" s="347"/>
      <c r="AD303" s="347"/>
      <c r="AE303" s="348"/>
      <c r="AH303" s="349"/>
      <c r="AI303" s="349"/>
      <c r="AK303" s="347"/>
      <c r="AR303" s="347"/>
      <c r="AV303" s="347"/>
      <c r="AX303" s="347"/>
      <c r="BB303" s="347"/>
      <c r="BC303" s="347"/>
      <c r="BE303" s="347"/>
      <c r="BH303" s="342"/>
      <c r="BI303" s="515"/>
      <c r="BJ303" s="516"/>
      <c r="BK303" s="516"/>
      <c r="BL303" s="516"/>
      <c r="BM303" s="517"/>
      <c r="BN303" s="517"/>
      <c r="BO303" s="517"/>
      <c r="BP303" s="473"/>
      <c r="BQ303" s="473"/>
      <c r="BR303" s="473"/>
      <c r="BS303" s="473"/>
      <c r="BT303" s="473"/>
      <c r="BU303" s="473"/>
      <c r="BV303" s="475"/>
      <c r="BW303" s="473"/>
      <c r="BX303" s="473"/>
      <c r="BY303" s="475"/>
      <c r="BZ303" s="475"/>
      <c r="CA303" s="475"/>
      <c r="CB303" s="475"/>
      <c r="CC303" s="473"/>
      <c r="CD303" s="473"/>
      <c r="CE303" s="475"/>
      <c r="CF303" s="475"/>
      <c r="CG303" s="475"/>
      <c r="CH303" s="475"/>
      <c r="CI303" s="473"/>
      <c r="CJ303" s="473"/>
      <c r="CK303" s="475"/>
      <c r="CL303" s="475"/>
      <c r="CM303" s="475"/>
      <c r="CN303" s="360"/>
      <c r="CO303" s="346"/>
      <c r="CP303" s="346">
        <f t="shared" si="367"/>
        <v>0</v>
      </c>
    </row>
    <row r="304" spans="1:94" s="344" customFormat="1" ht="15.75" hidden="1" thickBot="1" x14ac:dyDescent="0.3">
      <c r="A304" s="342"/>
      <c r="V304" s="346"/>
      <c r="AA304" s="347"/>
      <c r="AB304" s="347"/>
      <c r="AD304" s="347"/>
      <c r="AE304" s="348"/>
      <c r="AH304" s="349"/>
      <c r="AI304" s="349"/>
      <c r="AK304" s="347"/>
      <c r="AR304" s="347"/>
      <c r="AV304" s="347"/>
      <c r="AX304" s="347"/>
      <c r="BB304" s="347"/>
      <c r="BC304" s="347"/>
      <c r="BE304" s="347"/>
      <c r="BH304" s="342"/>
      <c r="BI304" s="515"/>
      <c r="BJ304" s="516"/>
      <c r="BK304" s="516"/>
      <c r="BL304" s="516"/>
      <c r="BM304" s="517"/>
      <c r="BN304" s="517"/>
      <c r="BO304" s="517"/>
      <c r="BP304" s="473"/>
      <c r="BQ304" s="473"/>
      <c r="BR304" s="473"/>
      <c r="BS304" s="473"/>
      <c r="BT304" s="473"/>
      <c r="BU304" s="473"/>
      <c r="BV304" s="475"/>
      <c r="BW304" s="473"/>
      <c r="BX304" s="473"/>
      <c r="BY304" s="475"/>
      <c r="BZ304" s="475"/>
      <c r="CA304" s="475"/>
      <c r="CB304" s="475"/>
      <c r="CC304" s="473"/>
      <c r="CD304" s="473"/>
      <c r="CE304" s="475"/>
      <c r="CF304" s="475"/>
      <c r="CG304" s="475"/>
      <c r="CH304" s="475"/>
      <c r="CI304" s="473"/>
      <c r="CJ304" s="473"/>
      <c r="CK304" s="475"/>
      <c r="CL304" s="475"/>
      <c r="CM304" s="475"/>
      <c r="CN304" s="360"/>
      <c r="CO304" s="346"/>
      <c r="CP304" s="346">
        <f t="shared" si="367"/>
        <v>0</v>
      </c>
    </row>
    <row r="305" spans="1:94" s="344" customFormat="1" hidden="1" x14ac:dyDescent="0.25">
      <c r="A305" s="342"/>
      <c r="V305" s="346"/>
      <c r="AA305" s="347"/>
      <c r="AB305" s="347"/>
      <c r="AD305" s="347"/>
      <c r="AE305" s="348"/>
      <c r="AH305" s="349"/>
      <c r="AI305" s="349"/>
      <c r="AK305" s="347"/>
      <c r="AR305" s="347"/>
      <c r="AV305" s="347"/>
      <c r="AX305" s="347"/>
      <c r="BB305" s="347"/>
      <c r="BC305" s="347"/>
      <c r="BE305" s="347"/>
      <c r="BH305" s="342"/>
      <c r="BI305" s="733" t="s">
        <v>423</v>
      </c>
      <c r="BJ305" s="498"/>
      <c r="BK305" s="733" t="s">
        <v>435</v>
      </c>
      <c r="BL305" s="498"/>
      <c r="BM305" s="733" t="s">
        <v>392</v>
      </c>
      <c r="BN305" s="733" t="s">
        <v>392</v>
      </c>
      <c r="BO305" s="733" t="s">
        <v>399</v>
      </c>
      <c r="BP305" s="498"/>
      <c r="BQ305" s="733" t="s">
        <v>435</v>
      </c>
      <c r="BR305" s="498"/>
      <c r="BS305" s="733" t="s">
        <v>392</v>
      </c>
      <c r="BT305" s="733" t="s">
        <v>392</v>
      </c>
      <c r="BU305" s="733" t="s">
        <v>399</v>
      </c>
      <c r="BV305" s="475"/>
      <c r="BW305" s="473"/>
      <c r="BX305" s="473"/>
      <c r="BY305" s="475"/>
      <c r="BZ305" s="475"/>
      <c r="CA305" s="475"/>
      <c r="CB305" s="475"/>
      <c r="CC305" s="473"/>
      <c r="CD305" s="473"/>
      <c r="CE305" s="475"/>
      <c r="CF305" s="475"/>
      <c r="CG305" s="475"/>
      <c r="CH305" s="475"/>
      <c r="CI305" s="473"/>
      <c r="CJ305" s="473"/>
      <c r="CK305" s="475"/>
      <c r="CL305" s="475"/>
      <c r="CM305" s="475"/>
      <c r="CN305" s="360"/>
      <c r="CO305" s="346"/>
      <c r="CP305" s="346" t="str">
        <f t="shared" si="367"/>
        <v>Incertidumbre (+/- %)</v>
      </c>
    </row>
    <row r="306" spans="1:94" s="344" customFormat="1" ht="15.75" hidden="1" thickBot="1" x14ac:dyDescent="0.3">
      <c r="A306" s="342"/>
      <c r="V306" s="346"/>
      <c r="AA306" s="347"/>
      <c r="AB306" s="347"/>
      <c r="AD306" s="347"/>
      <c r="AE306" s="348"/>
      <c r="AH306" s="349"/>
      <c r="AI306" s="349"/>
      <c r="AK306" s="347"/>
      <c r="AR306" s="347"/>
      <c r="AV306" s="347"/>
      <c r="AX306" s="347"/>
      <c r="BB306" s="347"/>
      <c r="BC306" s="347"/>
      <c r="BE306" s="347"/>
      <c r="BH306" s="342"/>
      <c r="BI306" s="734"/>
      <c r="BJ306" s="499" t="s">
        <v>412</v>
      </c>
      <c r="BK306" s="734"/>
      <c r="BL306" s="499" t="s">
        <v>410</v>
      </c>
      <c r="BM306" s="734"/>
      <c r="BN306" s="734"/>
      <c r="BO306" s="734"/>
      <c r="BP306" s="499" t="s">
        <v>412</v>
      </c>
      <c r="BQ306" s="734"/>
      <c r="BR306" s="499" t="s">
        <v>410</v>
      </c>
      <c r="BS306" s="734"/>
      <c r="BT306" s="734"/>
      <c r="BU306" s="734"/>
      <c r="BV306" s="475"/>
      <c r="BW306" s="473"/>
      <c r="BX306" s="473"/>
      <c r="BY306" s="475"/>
      <c r="BZ306" s="475"/>
      <c r="CA306" s="475"/>
      <c r="CB306" s="475"/>
      <c r="CC306" s="473"/>
      <c r="CD306" s="473"/>
      <c r="CE306" s="475"/>
      <c r="CF306" s="475"/>
      <c r="CG306" s="475"/>
      <c r="CH306" s="475"/>
      <c r="CI306" s="473"/>
      <c r="CJ306" s="473"/>
      <c r="CK306" s="475"/>
      <c r="CL306" s="475"/>
      <c r="CM306" s="475"/>
      <c r="CN306" s="360"/>
      <c r="CO306" s="346"/>
      <c r="CP306" s="346">
        <f t="shared" si="367"/>
        <v>0</v>
      </c>
    </row>
    <row r="307" spans="1:94" s="344" customFormat="1" ht="18.75" hidden="1" thickBot="1" x14ac:dyDescent="0.3">
      <c r="A307" s="342"/>
      <c r="V307" s="346"/>
      <c r="AA307" s="347"/>
      <c r="AB307" s="347"/>
      <c r="AD307" s="347"/>
      <c r="AE307" s="348"/>
      <c r="AH307" s="349"/>
      <c r="AI307" s="349"/>
      <c r="AK307" s="347"/>
      <c r="AR307" s="347"/>
      <c r="AV307" s="347"/>
      <c r="AX307" s="347"/>
      <c r="BB307" s="347"/>
      <c r="BC307" s="347"/>
      <c r="BE307" s="347"/>
      <c r="BH307" s="342"/>
      <c r="BI307" s="584" t="s">
        <v>76</v>
      </c>
      <c r="BJ307" s="502" t="s">
        <v>132</v>
      </c>
      <c r="BK307" s="511">
        <f>BJ550</f>
        <v>23500</v>
      </c>
      <c r="BL307" s="502" t="s">
        <v>609</v>
      </c>
      <c r="BM307" s="504">
        <v>0.01</v>
      </c>
      <c r="BN307" s="504">
        <v>0.5</v>
      </c>
      <c r="BO307" s="503" t="s">
        <v>482</v>
      </c>
      <c r="BP307" s="502" t="s">
        <v>132</v>
      </c>
      <c r="BQ307" s="511">
        <v>22800</v>
      </c>
      <c r="BR307" s="502" t="s">
        <v>609</v>
      </c>
      <c r="BS307" s="504">
        <v>0.01</v>
      </c>
      <c r="BT307" s="504">
        <v>0.5</v>
      </c>
      <c r="BU307" s="503" t="s">
        <v>413</v>
      </c>
      <c r="BV307" s="475"/>
      <c r="BW307" s="473"/>
      <c r="BX307" s="473"/>
      <c r="BY307" s="475"/>
      <c r="BZ307" s="475"/>
      <c r="CA307" s="475"/>
      <c r="CB307" s="475"/>
      <c r="CC307" s="473"/>
      <c r="CD307" s="473"/>
      <c r="CE307" s="475"/>
      <c r="CF307" s="475"/>
      <c r="CG307" s="475"/>
      <c r="CH307" s="475"/>
      <c r="CI307" s="473"/>
      <c r="CJ307" s="473"/>
      <c r="CK307" s="475"/>
      <c r="CL307" s="475"/>
      <c r="CM307" s="475"/>
      <c r="CN307" s="360"/>
      <c r="CO307" s="346">
        <v>0.01</v>
      </c>
      <c r="CP307" s="346">
        <f t="shared" si="367"/>
        <v>0.5</v>
      </c>
    </row>
    <row r="308" spans="1:94" s="344" customFormat="1" hidden="1" x14ac:dyDescent="0.25">
      <c r="A308" s="342"/>
      <c r="V308" s="346"/>
      <c r="AA308" s="347"/>
      <c r="AB308" s="347"/>
      <c r="AD308" s="347"/>
      <c r="AE308" s="348"/>
      <c r="AH308" s="349"/>
      <c r="AI308" s="349"/>
      <c r="AK308" s="347"/>
      <c r="AR308" s="347"/>
      <c r="AV308" s="347"/>
      <c r="AX308" s="347"/>
      <c r="BB308" s="347"/>
      <c r="BC308" s="347"/>
      <c r="BE308" s="347"/>
      <c r="BH308" s="342"/>
      <c r="BI308" s="515"/>
      <c r="BJ308" s="516"/>
      <c r="BK308" s="516"/>
      <c r="BL308" s="516"/>
      <c r="BM308" s="517"/>
      <c r="BN308" s="517"/>
      <c r="BO308" s="517"/>
      <c r="BP308" s="473"/>
      <c r="BQ308" s="473"/>
      <c r="BR308" s="473"/>
      <c r="BS308" s="473"/>
      <c r="BT308" s="473"/>
      <c r="BU308" s="473"/>
      <c r="BV308" s="475"/>
      <c r="BW308" s="473"/>
      <c r="BX308" s="473"/>
      <c r="BY308" s="475"/>
      <c r="BZ308" s="475"/>
      <c r="CA308" s="475"/>
      <c r="CB308" s="475"/>
      <c r="CC308" s="473"/>
      <c r="CD308" s="473"/>
      <c r="CE308" s="475"/>
      <c r="CF308" s="475"/>
      <c r="CG308" s="475"/>
      <c r="CH308" s="475"/>
      <c r="CI308" s="473"/>
      <c r="CJ308" s="473"/>
      <c r="CK308" s="475"/>
      <c r="CL308" s="475"/>
      <c r="CM308" s="475"/>
      <c r="CN308" s="360"/>
      <c r="CO308" s="346"/>
      <c r="CP308" s="346">
        <f t="shared" si="367"/>
        <v>0</v>
      </c>
    </row>
    <row r="309" spans="1:94" s="344" customFormat="1" hidden="1" x14ac:dyDescent="0.25">
      <c r="A309" s="342"/>
      <c r="V309" s="346"/>
      <c r="AA309" s="347"/>
      <c r="AB309" s="347"/>
      <c r="AD309" s="347"/>
      <c r="AE309" s="348"/>
      <c r="AH309" s="349"/>
      <c r="AI309" s="349"/>
      <c r="AK309" s="347"/>
      <c r="AR309" s="347"/>
      <c r="AV309" s="347"/>
      <c r="AX309" s="347"/>
      <c r="BB309" s="347"/>
      <c r="BC309" s="347"/>
      <c r="BE309" s="347"/>
      <c r="BH309" s="342"/>
      <c r="BI309" s="515"/>
      <c r="BJ309" s="516"/>
      <c r="BK309" s="516"/>
      <c r="BL309" s="516"/>
      <c r="BM309" s="517"/>
      <c r="BN309" s="517"/>
      <c r="BO309" s="517"/>
      <c r="BP309" s="473"/>
      <c r="BQ309" s="473"/>
      <c r="BR309" s="473"/>
      <c r="BS309" s="473"/>
      <c r="BT309" s="473"/>
      <c r="BU309" s="473"/>
      <c r="BV309" s="475"/>
      <c r="BW309" s="473"/>
      <c r="BX309" s="473"/>
      <c r="BY309" s="475"/>
      <c r="BZ309" s="475"/>
      <c r="CA309" s="475"/>
      <c r="CB309" s="475"/>
      <c r="CC309" s="473"/>
      <c r="CD309" s="473"/>
      <c r="CE309" s="475"/>
      <c r="CF309" s="475"/>
      <c r="CG309" s="475"/>
      <c r="CH309" s="475"/>
      <c r="CI309" s="473"/>
      <c r="CJ309" s="473"/>
      <c r="CK309" s="475"/>
      <c r="CL309" s="475"/>
      <c r="CM309" s="475"/>
      <c r="CN309" s="360"/>
      <c r="CO309" s="346"/>
      <c r="CP309" s="346">
        <f t="shared" si="367"/>
        <v>0</v>
      </c>
    </row>
    <row r="310" spans="1:94" s="344" customFormat="1" hidden="1" x14ac:dyDescent="0.25">
      <c r="A310" s="342"/>
      <c r="V310" s="346"/>
      <c r="AA310" s="347"/>
      <c r="AB310" s="347"/>
      <c r="AD310" s="347"/>
      <c r="AE310" s="348"/>
      <c r="AH310" s="349"/>
      <c r="AI310" s="349"/>
      <c r="AK310" s="347"/>
      <c r="AR310" s="347"/>
      <c r="AV310" s="347"/>
      <c r="AX310" s="347"/>
      <c r="BB310" s="347"/>
      <c r="BC310" s="347"/>
      <c r="BE310" s="347"/>
      <c r="BH310" s="342"/>
      <c r="BI310" s="515"/>
      <c r="BJ310" s="516"/>
      <c r="BK310" s="516"/>
      <c r="BL310" s="516"/>
      <c r="BM310" s="517"/>
      <c r="BN310" s="517"/>
      <c r="BO310" s="517"/>
      <c r="BP310" s="473"/>
      <c r="BQ310" s="473"/>
      <c r="BR310" s="473"/>
      <c r="BS310" s="473"/>
      <c r="BT310" s="473"/>
      <c r="BU310" s="473"/>
      <c r="BV310" s="475"/>
      <c r="BW310" s="473"/>
      <c r="BX310" s="473"/>
      <c r="BY310" s="475"/>
      <c r="BZ310" s="475"/>
      <c r="CA310" s="475"/>
      <c r="CB310" s="475"/>
      <c r="CC310" s="473"/>
      <c r="CD310" s="473"/>
      <c r="CE310" s="475"/>
      <c r="CF310" s="475"/>
      <c r="CG310" s="475"/>
      <c r="CH310" s="475"/>
      <c r="CI310" s="473"/>
      <c r="CJ310" s="473"/>
      <c r="CK310" s="475"/>
      <c r="CL310" s="475"/>
      <c r="CM310" s="475"/>
      <c r="CN310" s="360"/>
      <c r="CO310" s="346"/>
      <c r="CP310" s="346">
        <f t="shared" si="367"/>
        <v>0</v>
      </c>
    </row>
    <row r="311" spans="1:94" s="344" customFormat="1" ht="15.75" hidden="1" thickBot="1" x14ac:dyDescent="0.3">
      <c r="A311" s="342"/>
      <c r="V311" s="346"/>
      <c r="AA311" s="347"/>
      <c r="AB311" s="347"/>
      <c r="AD311" s="347"/>
      <c r="AE311" s="348"/>
      <c r="AH311" s="349"/>
      <c r="AI311" s="349"/>
      <c r="AK311" s="347"/>
      <c r="AR311" s="347"/>
      <c r="AV311" s="347"/>
      <c r="AX311" s="347"/>
      <c r="BB311" s="347"/>
      <c r="BC311" s="347"/>
      <c r="BE311" s="347"/>
      <c r="BH311" s="342"/>
      <c r="BI311" s="345"/>
      <c r="BJ311" s="473"/>
      <c r="BK311" s="473"/>
      <c r="BL311" s="473"/>
      <c r="BM311" s="463"/>
      <c r="BN311" s="463"/>
      <c r="BO311" s="463"/>
      <c r="BP311" s="473"/>
      <c r="BQ311" s="473"/>
      <c r="BR311" s="473"/>
      <c r="BS311" s="473"/>
      <c r="BT311" s="473"/>
      <c r="BU311" s="473"/>
      <c r="BV311" s="475"/>
      <c r="BW311" s="473"/>
      <c r="BX311" s="473"/>
      <c r="BY311" s="475"/>
      <c r="BZ311" s="475"/>
      <c r="CA311" s="475"/>
      <c r="CB311" s="475"/>
      <c r="CC311" s="473"/>
      <c r="CD311" s="473"/>
      <c r="CE311" s="475"/>
      <c r="CF311" s="475"/>
      <c r="CG311" s="475"/>
      <c r="CH311" s="475"/>
      <c r="CI311" s="473"/>
      <c r="CJ311" s="473"/>
      <c r="CK311" s="475"/>
      <c r="CL311" s="475"/>
      <c r="CM311" s="475"/>
      <c r="CN311" s="360"/>
      <c r="CO311" s="346"/>
      <c r="CP311" s="346">
        <f t="shared" si="367"/>
        <v>0</v>
      </c>
    </row>
    <row r="312" spans="1:94" s="344" customFormat="1" ht="27" hidden="1" customHeight="1" x14ac:dyDescent="0.25">
      <c r="A312" s="342"/>
      <c r="V312" s="346"/>
      <c r="AA312" s="347"/>
      <c r="AB312" s="347"/>
      <c r="AD312" s="347"/>
      <c r="AE312" s="348"/>
      <c r="AH312" s="349"/>
      <c r="AI312" s="349"/>
      <c r="AK312" s="347"/>
      <c r="AR312" s="347"/>
      <c r="AV312" s="347"/>
      <c r="AX312" s="347"/>
      <c r="BB312" s="347"/>
      <c r="BC312" s="347"/>
      <c r="BE312" s="347"/>
      <c r="BH312" s="342"/>
      <c r="BI312" s="733" t="s">
        <v>419</v>
      </c>
      <c r="BJ312" s="498"/>
      <c r="BK312" s="733" t="s">
        <v>435</v>
      </c>
      <c r="BL312" s="498"/>
      <c r="BM312" s="733" t="s">
        <v>392</v>
      </c>
      <c r="BN312" s="733" t="s">
        <v>392</v>
      </c>
      <c r="BO312" s="733" t="s">
        <v>399</v>
      </c>
      <c r="BP312" s="473"/>
      <c r="BQ312" s="473"/>
      <c r="BR312" s="473"/>
      <c r="BS312" s="473"/>
      <c r="BT312" s="473"/>
      <c r="BU312" s="473"/>
      <c r="BV312" s="475"/>
      <c r="BW312" s="473"/>
      <c r="BX312" s="473"/>
      <c r="BY312" s="475"/>
      <c r="BZ312" s="475"/>
      <c r="CA312" s="475"/>
      <c r="CB312" s="475"/>
      <c r="CC312" s="473"/>
      <c r="CD312" s="473"/>
      <c r="CE312" s="475"/>
      <c r="CF312" s="475"/>
      <c r="CG312" s="475"/>
      <c r="CH312" s="475"/>
      <c r="CI312" s="473"/>
      <c r="CJ312" s="473"/>
      <c r="CK312" s="475"/>
      <c r="CL312" s="475"/>
      <c r="CM312" s="475"/>
      <c r="CN312" s="360"/>
      <c r="CO312" s="346"/>
      <c r="CP312" s="346" t="str">
        <f t="shared" si="367"/>
        <v>Incertidumbre (+/- %)</v>
      </c>
    </row>
    <row r="313" spans="1:94" s="344" customFormat="1" ht="34.5" hidden="1" customHeight="1" thickBot="1" x14ac:dyDescent="0.3">
      <c r="A313" s="342"/>
      <c r="V313" s="346"/>
      <c r="AA313" s="347"/>
      <c r="AB313" s="347"/>
      <c r="AD313" s="347"/>
      <c r="AE313" s="348"/>
      <c r="AH313" s="349"/>
      <c r="AI313" s="349"/>
      <c r="AK313" s="347"/>
      <c r="AR313" s="347"/>
      <c r="AV313" s="347"/>
      <c r="AX313" s="347"/>
      <c r="BB313" s="347"/>
      <c r="BC313" s="347"/>
      <c r="BE313" s="347"/>
      <c r="BH313" s="342"/>
      <c r="BI313" s="734"/>
      <c r="BJ313" s="499" t="s">
        <v>412</v>
      </c>
      <c r="BK313" s="734"/>
      <c r="BL313" s="499" t="s">
        <v>410</v>
      </c>
      <c r="BM313" s="734"/>
      <c r="BN313" s="734"/>
      <c r="BO313" s="734"/>
      <c r="BP313" s="473"/>
      <c r="BQ313" s="473"/>
      <c r="BR313" s="473"/>
      <c r="BS313" s="473"/>
      <c r="BT313" s="473"/>
      <c r="BU313" s="473"/>
      <c r="BV313" s="475"/>
      <c r="BW313" s="473"/>
      <c r="BX313" s="473"/>
      <c r="BY313" s="475"/>
      <c r="BZ313" s="475"/>
      <c r="CA313" s="475"/>
      <c r="CB313" s="475"/>
      <c r="CC313" s="473"/>
      <c r="CD313" s="473"/>
      <c r="CE313" s="475"/>
      <c r="CF313" s="475"/>
      <c r="CG313" s="475"/>
      <c r="CH313" s="475"/>
      <c r="CI313" s="473"/>
      <c r="CJ313" s="473"/>
      <c r="CK313" s="475"/>
      <c r="CL313" s="475"/>
      <c r="CM313" s="475"/>
      <c r="CN313" s="360"/>
      <c r="CO313" s="346"/>
      <c r="CP313" s="346">
        <f t="shared" si="367"/>
        <v>0</v>
      </c>
    </row>
    <row r="314" spans="1:94" s="344" customFormat="1" ht="102.75" hidden="1" thickBot="1" x14ac:dyDescent="0.3">
      <c r="A314" s="342"/>
      <c r="V314" s="346"/>
      <c r="AA314" s="347"/>
      <c r="AB314" s="347"/>
      <c r="AD314" s="347"/>
      <c r="AE314" s="348"/>
      <c r="AH314" s="349"/>
      <c r="AI314" s="349"/>
      <c r="AK314" s="347"/>
      <c r="AR314" s="347"/>
      <c r="AV314" s="347"/>
      <c r="AX314" s="347"/>
      <c r="BB314" s="347"/>
      <c r="BC314" s="347"/>
      <c r="BD314" s="343">
        <f>(10+0.9)*(0.67)</f>
        <v>7.3030000000000008</v>
      </c>
      <c r="BE314" s="343">
        <f>25*(0.67)</f>
        <v>16.75</v>
      </c>
      <c r="BF314" s="343">
        <f>(18+2.5)*(0.67)</f>
        <v>13.735000000000001</v>
      </c>
      <c r="BG314" s="343">
        <f>(25+4)*(0.67)</f>
        <v>19.43</v>
      </c>
      <c r="BH314" s="364" t="s">
        <v>135</v>
      </c>
      <c r="BI314" s="518" t="s">
        <v>85</v>
      </c>
      <c r="BJ314" s="505" t="s">
        <v>804</v>
      </c>
      <c r="BK314" s="511">
        <f>BG314</f>
        <v>19.43</v>
      </c>
      <c r="BL314" s="505" t="s">
        <v>824</v>
      </c>
      <c r="BM314" s="504">
        <v>0.5</v>
      </c>
      <c r="BN314" s="504">
        <v>3</v>
      </c>
      <c r="BO314" s="503" t="s">
        <v>628</v>
      </c>
      <c r="BP314" s="473"/>
      <c r="BQ314" s="345"/>
      <c r="BR314" s="345"/>
      <c r="BS314" s="473"/>
      <c r="BT314" s="473"/>
      <c r="BU314" s="473"/>
      <c r="BV314" s="475"/>
      <c r="BW314" s="473"/>
      <c r="BX314" s="511">
        <v>312.39</v>
      </c>
      <c r="BY314" s="505" t="s">
        <v>825</v>
      </c>
      <c r="BZ314" s="475"/>
      <c r="CA314" s="475"/>
      <c r="CB314" s="475"/>
      <c r="CC314" s="473"/>
      <c r="CD314" s="473"/>
      <c r="CE314" s="475"/>
      <c r="CF314" s="475"/>
      <c r="CG314" s="475"/>
      <c r="CH314" s="475"/>
      <c r="CI314" s="473"/>
      <c r="CJ314" s="473"/>
      <c r="CK314" s="475"/>
      <c r="CL314" s="475"/>
      <c r="CM314" s="475"/>
      <c r="CN314" s="360"/>
      <c r="CO314" s="346">
        <v>0.05</v>
      </c>
      <c r="CP314" s="346">
        <f t="shared" si="367"/>
        <v>3</v>
      </c>
    </row>
    <row r="315" spans="1:94" s="344" customFormat="1" ht="102.75" hidden="1" thickBot="1" x14ac:dyDescent="0.3">
      <c r="A315" s="342"/>
      <c r="V315" s="346"/>
      <c r="AA315" s="347"/>
      <c r="AB315" s="347"/>
      <c r="AD315" s="347"/>
      <c r="AE315" s="348"/>
      <c r="AH315" s="349"/>
      <c r="AI315" s="349"/>
      <c r="AK315" s="347"/>
      <c r="AR315" s="347"/>
      <c r="AV315" s="347"/>
      <c r="AX315" s="347"/>
      <c r="BB315" s="347"/>
      <c r="BC315" s="347"/>
      <c r="BD315" s="343">
        <f>(0.31+0)*(0.67)</f>
        <v>0.20770000000000002</v>
      </c>
      <c r="BE315" s="343">
        <f>25*(0.67)</f>
        <v>16.75</v>
      </c>
      <c r="BF315" s="343">
        <f>(1.2+0.1)*(0.67)</f>
        <v>0.87100000000000011</v>
      </c>
      <c r="BG315" s="343">
        <f>(2+0.2)*(0.67)</f>
        <v>1.4740000000000002</v>
      </c>
      <c r="BH315" s="364" t="s">
        <v>135</v>
      </c>
      <c r="BI315" s="518" t="s">
        <v>86</v>
      </c>
      <c r="BJ315" s="505" t="s">
        <v>804</v>
      </c>
      <c r="BK315" s="511">
        <f>BG315</f>
        <v>1.4740000000000002</v>
      </c>
      <c r="BL315" s="505" t="s">
        <v>824</v>
      </c>
      <c r="BM315" s="504">
        <v>0.5</v>
      </c>
      <c r="BN315" s="504">
        <v>3</v>
      </c>
      <c r="BO315" s="503" t="s">
        <v>629</v>
      </c>
      <c r="BP315" s="473"/>
      <c r="BQ315" s="345"/>
      <c r="BR315" s="345"/>
      <c r="BS315" s="473"/>
      <c r="BT315" s="473"/>
      <c r="BU315" s="473"/>
      <c r="BV315" s="475"/>
      <c r="BW315" s="473"/>
      <c r="BX315" s="511">
        <v>20.94</v>
      </c>
      <c r="BY315" s="505" t="s">
        <v>825</v>
      </c>
      <c r="BZ315" s="475"/>
      <c r="CA315" s="475"/>
      <c r="CB315" s="475"/>
      <c r="CC315" s="473"/>
      <c r="CD315" s="473"/>
      <c r="CE315" s="475"/>
      <c r="CF315" s="475"/>
      <c r="CG315" s="475"/>
      <c r="CH315" s="475"/>
      <c r="CI315" s="473"/>
      <c r="CJ315" s="473"/>
      <c r="CK315" s="475"/>
      <c r="CL315" s="475"/>
      <c r="CM315" s="475"/>
      <c r="CN315" s="360"/>
      <c r="CO315" s="346">
        <v>0.05</v>
      </c>
      <c r="CP315" s="346">
        <f t="shared" si="367"/>
        <v>3</v>
      </c>
    </row>
    <row r="316" spans="1:94" s="344" customFormat="1" ht="141" hidden="1" thickBot="1" x14ac:dyDescent="0.3">
      <c r="A316" s="342"/>
      <c r="V316" s="346"/>
      <c r="AA316" s="347"/>
      <c r="AB316" s="347"/>
      <c r="AD316" s="347"/>
      <c r="AE316" s="348"/>
      <c r="AH316" s="349"/>
      <c r="AI316" s="349"/>
      <c r="AK316" s="347"/>
      <c r="AR316" s="347"/>
      <c r="AV316" s="347"/>
      <c r="AX316" s="347"/>
      <c r="BB316" s="347"/>
      <c r="BC316" s="347"/>
      <c r="BE316" s="347"/>
      <c r="BH316" s="364" t="s">
        <v>525</v>
      </c>
      <c r="BI316" s="586" t="s">
        <v>523</v>
      </c>
      <c r="BJ316" s="518" t="s">
        <v>524</v>
      </c>
      <c r="BK316" s="511">
        <v>22.265000000000001</v>
      </c>
      <c r="BL316" s="505" t="s">
        <v>622</v>
      </c>
      <c r="BM316" s="504">
        <v>0.9</v>
      </c>
      <c r="BN316" s="504">
        <v>1.06</v>
      </c>
      <c r="BO316" s="503" t="s">
        <v>978</v>
      </c>
      <c r="BP316" s="503" t="s">
        <v>526</v>
      </c>
      <c r="BQ316" s="345"/>
      <c r="BR316" s="345"/>
      <c r="BS316" s="473"/>
      <c r="BT316" s="473"/>
      <c r="BU316" s="473"/>
      <c r="BV316" s="475"/>
      <c r="BW316" s="473"/>
      <c r="BX316" s="511">
        <v>20.94</v>
      </c>
      <c r="BY316" s="505" t="s">
        <v>825</v>
      </c>
      <c r="BZ316" s="475"/>
      <c r="CA316" s="475"/>
      <c r="CB316" s="475"/>
      <c r="CC316" s="473"/>
      <c r="CD316" s="473"/>
      <c r="CE316" s="475"/>
      <c r="CF316" s="475"/>
      <c r="CG316" s="475"/>
      <c r="CH316" s="475"/>
      <c r="CI316" s="473"/>
      <c r="CJ316" s="473"/>
      <c r="CK316" s="475"/>
      <c r="CL316" s="475"/>
      <c r="CM316" s="475"/>
      <c r="CN316" s="360"/>
      <c r="CO316" s="346">
        <v>0.9</v>
      </c>
      <c r="CP316" s="346">
        <f t="shared" si="367"/>
        <v>1.06</v>
      </c>
    </row>
    <row r="317" spans="1:94" s="344" customFormat="1" ht="18.75" hidden="1" thickBot="1" x14ac:dyDescent="0.3">
      <c r="A317" s="342"/>
      <c r="V317" s="346"/>
      <c r="AA317" s="347"/>
      <c r="AB317" s="347"/>
      <c r="AD317" s="347"/>
      <c r="AE317" s="348"/>
      <c r="AH317" s="349"/>
      <c r="AI317" s="349"/>
      <c r="AK317" s="347"/>
      <c r="AR317" s="347"/>
      <c r="AV317" s="347"/>
      <c r="AX317" s="347"/>
      <c r="BB317" s="347"/>
      <c r="BC317" s="347"/>
      <c r="BE317" s="347"/>
      <c r="BG317" s="343"/>
      <c r="BH317" s="364" t="s">
        <v>136</v>
      </c>
      <c r="BI317" s="518" t="s">
        <v>87</v>
      </c>
      <c r="BJ317" s="518" t="s">
        <v>804</v>
      </c>
      <c r="BK317" s="511">
        <v>1E-4</v>
      </c>
      <c r="BL317" s="505" t="s">
        <v>817</v>
      </c>
      <c r="BM317" s="504">
        <v>0.1</v>
      </c>
      <c r="BN317" s="504">
        <v>0.25</v>
      </c>
      <c r="BO317" s="503" t="s">
        <v>417</v>
      </c>
      <c r="BP317" s="530" t="s">
        <v>804</v>
      </c>
      <c r="BQ317" s="531">
        <v>560</v>
      </c>
      <c r="BR317" s="530" t="s">
        <v>827</v>
      </c>
      <c r="BS317" s="532">
        <v>0.1</v>
      </c>
      <c r="BT317" s="532">
        <v>0.25</v>
      </c>
      <c r="BU317" s="503" t="s">
        <v>417</v>
      </c>
      <c r="BV317" s="475"/>
      <c r="BW317" s="473"/>
      <c r="BX317" s="511">
        <v>12.5</v>
      </c>
      <c r="BY317" s="505" t="s">
        <v>825</v>
      </c>
      <c r="BZ317" s="475"/>
      <c r="CA317" s="475"/>
      <c r="CB317" s="475"/>
      <c r="CC317" s="473"/>
      <c r="CD317" s="473"/>
      <c r="CE317" s="475"/>
      <c r="CF317" s="475"/>
      <c r="CG317" s="475"/>
      <c r="CH317" s="475"/>
      <c r="CI317" s="473"/>
      <c r="CJ317" s="473"/>
      <c r="CK317" s="475"/>
      <c r="CL317" s="475"/>
      <c r="CM317" s="475"/>
      <c r="CN317" s="360"/>
      <c r="CO317" s="346">
        <v>0.02</v>
      </c>
      <c r="CP317" s="346">
        <f t="shared" si="367"/>
        <v>0.25</v>
      </c>
    </row>
    <row r="318" spans="1:94" s="344" customFormat="1" ht="26.25" hidden="1" thickBot="1" x14ac:dyDescent="0.3">
      <c r="A318" s="342"/>
      <c r="V318" s="346"/>
      <c r="AA318" s="347"/>
      <c r="AB318" s="347"/>
      <c r="AD318" s="347"/>
      <c r="AE318" s="348"/>
      <c r="AH318" s="349"/>
      <c r="AI318" s="349"/>
      <c r="AK318" s="347"/>
      <c r="AR318" s="347"/>
      <c r="AV318" s="347"/>
      <c r="AX318" s="347"/>
      <c r="BB318" s="347"/>
      <c r="BC318" s="347"/>
      <c r="BE318" s="347"/>
      <c r="BH318" s="364" t="s">
        <v>136</v>
      </c>
      <c r="BI318" s="518" t="s">
        <v>521</v>
      </c>
      <c r="BJ318" s="518" t="s">
        <v>804</v>
      </c>
      <c r="BK318" s="511">
        <v>1000</v>
      </c>
      <c r="BL318" s="505" t="s">
        <v>817</v>
      </c>
      <c r="BM318" s="504">
        <v>0.02</v>
      </c>
      <c r="BN318" s="504">
        <v>0.5</v>
      </c>
      <c r="BO318" s="503" t="s">
        <v>572</v>
      </c>
      <c r="BP318" s="473"/>
      <c r="BQ318" s="345"/>
      <c r="BR318" s="345"/>
      <c r="BS318" s="473"/>
      <c r="BT318" s="473"/>
      <c r="BU318" s="473"/>
      <c r="BV318" s="475"/>
      <c r="BW318" s="473"/>
      <c r="BX318" s="511"/>
      <c r="BY318" s="505"/>
      <c r="BZ318" s="475"/>
      <c r="CA318" s="475"/>
      <c r="CB318" s="475"/>
      <c r="CC318" s="473"/>
      <c r="CD318" s="473"/>
      <c r="CE318" s="475"/>
      <c r="CF318" s="475"/>
      <c r="CG318" s="475"/>
      <c r="CH318" s="475"/>
      <c r="CI318" s="473"/>
      <c r="CJ318" s="473"/>
      <c r="CK318" s="475"/>
      <c r="CL318" s="475"/>
      <c r="CM318" s="475"/>
      <c r="CN318" s="360"/>
      <c r="CO318" s="346">
        <v>0.02</v>
      </c>
      <c r="CP318" s="346">
        <f t="shared" si="367"/>
        <v>0.5</v>
      </c>
    </row>
    <row r="319" spans="1:94" s="344" customFormat="1" ht="16.5" hidden="1" thickBot="1" x14ac:dyDescent="0.3">
      <c r="A319" s="342"/>
      <c r="V319" s="346"/>
      <c r="AA319" s="347"/>
      <c r="AB319" s="347"/>
      <c r="AD319" s="347"/>
      <c r="AE319" s="348"/>
      <c r="AH319" s="349"/>
      <c r="AI319" s="349"/>
      <c r="AK319" s="347"/>
      <c r="AR319" s="347"/>
      <c r="AV319" s="347"/>
      <c r="AX319" s="347"/>
      <c r="BB319" s="347"/>
      <c r="BC319" s="347"/>
      <c r="BE319" s="347"/>
      <c r="BH319" s="364"/>
      <c r="BI319" s="518" t="s">
        <v>637</v>
      </c>
      <c r="BJ319" s="505" t="s">
        <v>816</v>
      </c>
      <c r="BK319" s="511">
        <v>520</v>
      </c>
      <c r="BL319" s="505" t="s">
        <v>818</v>
      </c>
      <c r="BM319" s="504">
        <v>0.01</v>
      </c>
      <c r="BN319" s="504">
        <v>0.35</v>
      </c>
      <c r="BO319" s="503" t="s">
        <v>417</v>
      </c>
      <c r="BP319" s="473"/>
      <c r="BQ319" s="345"/>
      <c r="BR319" s="345"/>
      <c r="BS319" s="473"/>
      <c r="BT319" s="473"/>
      <c r="BU319" s="473"/>
      <c r="BV319" s="475"/>
      <c r="BW319" s="473"/>
      <c r="BX319" s="511"/>
      <c r="BY319" s="505"/>
      <c r="BZ319" s="475"/>
      <c r="CA319" s="475"/>
      <c r="CB319" s="475"/>
      <c r="CC319" s="473"/>
      <c r="CD319" s="473"/>
      <c r="CE319" s="475"/>
      <c r="CF319" s="475"/>
      <c r="CG319" s="475"/>
      <c r="CH319" s="475"/>
      <c r="CI319" s="473"/>
      <c r="CJ319" s="473"/>
      <c r="CK319" s="475"/>
      <c r="CL319" s="475"/>
      <c r="CM319" s="475"/>
      <c r="CN319" s="360"/>
      <c r="CO319" s="346"/>
      <c r="CP319" s="346">
        <f t="shared" si="367"/>
        <v>0.35</v>
      </c>
    </row>
    <row r="320" spans="1:94" s="344" customFormat="1" ht="16.5" hidden="1" thickBot="1" x14ac:dyDescent="0.3">
      <c r="A320" s="342"/>
      <c r="V320" s="346"/>
      <c r="AA320" s="347"/>
      <c r="AB320" s="347"/>
      <c r="AD320" s="347"/>
      <c r="AE320" s="348"/>
      <c r="AH320" s="349"/>
      <c r="AI320" s="349"/>
      <c r="AK320" s="347"/>
      <c r="AR320" s="347"/>
      <c r="AV320" s="347"/>
      <c r="AX320" s="347"/>
      <c r="BB320" s="347"/>
      <c r="BC320" s="347"/>
      <c r="BE320" s="347"/>
      <c r="BH320" s="364" t="s">
        <v>136</v>
      </c>
      <c r="BI320" s="518" t="s">
        <v>89</v>
      </c>
      <c r="BJ320" s="505" t="s">
        <v>804</v>
      </c>
      <c r="BK320" s="511">
        <v>750</v>
      </c>
      <c r="BL320" s="505" t="s">
        <v>819</v>
      </c>
      <c r="BM320" s="504">
        <v>0.02</v>
      </c>
      <c r="BN320" s="504">
        <v>0.15</v>
      </c>
      <c r="BO320" s="503" t="s">
        <v>417</v>
      </c>
      <c r="BP320" s="473"/>
      <c r="BQ320" s="345"/>
      <c r="BR320" s="345"/>
      <c r="BS320" s="473"/>
      <c r="BT320" s="473"/>
      <c r="BU320" s="473"/>
      <c r="BV320" s="475"/>
      <c r="BW320" s="473"/>
      <c r="BX320" s="511">
        <v>790</v>
      </c>
      <c r="BY320" s="505" t="s">
        <v>825</v>
      </c>
      <c r="BZ320" s="475"/>
      <c r="CA320" s="475"/>
      <c r="CB320" s="475"/>
      <c r="CC320" s="473"/>
      <c r="CD320" s="473"/>
      <c r="CE320" s="475"/>
      <c r="CF320" s="475"/>
      <c r="CG320" s="475"/>
      <c r="CH320" s="475"/>
      <c r="CI320" s="473"/>
      <c r="CJ320" s="473"/>
      <c r="CK320" s="475"/>
      <c r="CL320" s="475"/>
      <c r="CM320" s="475"/>
      <c r="CN320" s="360"/>
      <c r="CO320" s="346">
        <v>0.02</v>
      </c>
      <c r="CP320" s="346">
        <f t="shared" si="367"/>
        <v>0.15</v>
      </c>
    </row>
    <row r="321" spans="1:94" s="344" customFormat="1" ht="16.5" hidden="1" thickBot="1" x14ac:dyDescent="0.3">
      <c r="A321" s="342"/>
      <c r="V321" s="346"/>
      <c r="AA321" s="347"/>
      <c r="AB321" s="347"/>
      <c r="AD321" s="347"/>
      <c r="AE321" s="348"/>
      <c r="AH321" s="349"/>
      <c r="AI321" s="349"/>
      <c r="AK321" s="347"/>
      <c r="AR321" s="347"/>
      <c r="AV321" s="347"/>
      <c r="AX321" s="347"/>
      <c r="BB321" s="347"/>
      <c r="BC321" s="347"/>
      <c r="BE321" s="347"/>
      <c r="BH321" s="364" t="s">
        <v>136</v>
      </c>
      <c r="BI321" s="518" t="s">
        <v>90</v>
      </c>
      <c r="BJ321" s="505" t="s">
        <v>804</v>
      </c>
      <c r="BK321" s="511">
        <v>860</v>
      </c>
      <c r="BL321" s="505" t="s">
        <v>819</v>
      </c>
      <c r="BM321" s="504">
        <v>0.02</v>
      </c>
      <c r="BN321" s="504">
        <v>0.15</v>
      </c>
      <c r="BO321" s="503" t="s">
        <v>417</v>
      </c>
      <c r="BP321" s="473"/>
      <c r="BQ321" s="345"/>
      <c r="BR321" s="345"/>
      <c r="BS321" s="473"/>
      <c r="BT321" s="473"/>
      <c r="BU321" s="473"/>
      <c r="BV321" s="475"/>
      <c r="BW321" s="473"/>
      <c r="BX321" s="511">
        <v>910</v>
      </c>
      <c r="BY321" s="505" t="s">
        <v>825</v>
      </c>
      <c r="BZ321" s="475"/>
      <c r="CA321" s="475"/>
      <c r="CB321" s="475"/>
      <c r="CC321" s="473"/>
      <c r="CD321" s="473"/>
      <c r="CE321" s="475"/>
      <c r="CF321" s="475"/>
      <c r="CG321" s="475"/>
      <c r="CH321" s="475"/>
      <c r="CI321" s="473"/>
      <c r="CJ321" s="473"/>
      <c r="CK321" s="475"/>
      <c r="CL321" s="475"/>
      <c r="CM321" s="475"/>
      <c r="CN321" s="360"/>
      <c r="CO321" s="346">
        <v>0.02</v>
      </c>
      <c r="CP321" s="346">
        <f t="shared" si="367"/>
        <v>0.15</v>
      </c>
    </row>
    <row r="322" spans="1:94" s="344" customFormat="1" ht="16.5" hidden="1" thickBot="1" x14ac:dyDescent="0.3">
      <c r="A322" s="342"/>
      <c r="V322" s="346"/>
      <c r="AA322" s="347"/>
      <c r="AB322" s="347"/>
      <c r="AD322" s="347"/>
      <c r="AE322" s="348"/>
      <c r="AH322" s="349"/>
      <c r="AI322" s="349"/>
      <c r="AK322" s="347"/>
      <c r="AR322" s="347"/>
      <c r="AV322" s="347"/>
      <c r="AX322" s="347"/>
      <c r="BB322" s="347"/>
      <c r="BC322" s="347"/>
      <c r="BE322" s="347"/>
      <c r="BH322" s="364"/>
      <c r="BI322" s="518" t="s">
        <v>630</v>
      </c>
      <c r="BJ322" s="505" t="s">
        <v>804</v>
      </c>
      <c r="BK322" s="511">
        <v>439.71</v>
      </c>
      <c r="BL322" s="505" t="s">
        <v>819</v>
      </c>
      <c r="BM322" s="504">
        <v>0.02</v>
      </c>
      <c r="BN322" s="504">
        <v>0.15</v>
      </c>
      <c r="BO322" s="503" t="s">
        <v>417</v>
      </c>
      <c r="BP322" s="473"/>
      <c r="BQ322" s="345"/>
      <c r="BR322" s="345"/>
      <c r="BS322" s="473"/>
      <c r="BT322" s="473"/>
      <c r="BU322" s="473"/>
      <c r="BV322" s="475"/>
      <c r="BW322" s="473"/>
      <c r="BX322" s="511"/>
      <c r="BY322" s="505"/>
      <c r="BZ322" s="475"/>
      <c r="CA322" s="475"/>
      <c r="CB322" s="475"/>
      <c r="CC322" s="473"/>
      <c r="CD322" s="473"/>
      <c r="CE322" s="475"/>
      <c r="CF322" s="475"/>
      <c r="CG322" s="475"/>
      <c r="CH322" s="475"/>
      <c r="CI322" s="473"/>
      <c r="CJ322" s="473"/>
      <c r="CK322" s="475"/>
      <c r="CL322" s="475"/>
      <c r="CM322" s="475"/>
      <c r="CN322" s="360"/>
      <c r="CO322" s="346"/>
      <c r="CP322" s="346">
        <f t="shared" si="367"/>
        <v>0.15</v>
      </c>
    </row>
    <row r="323" spans="1:94" s="344" customFormat="1" ht="16.5" hidden="1" thickBot="1" x14ac:dyDescent="0.3">
      <c r="A323" s="342"/>
      <c r="V323" s="346"/>
      <c r="AA323" s="347"/>
      <c r="AB323" s="347"/>
      <c r="AD323" s="347"/>
      <c r="AE323" s="348"/>
      <c r="AH323" s="349"/>
      <c r="AI323" s="349"/>
      <c r="AK323" s="347"/>
      <c r="AR323" s="347"/>
      <c r="AV323" s="347"/>
      <c r="AX323" s="347"/>
      <c r="BB323" s="347"/>
      <c r="BC323" s="347"/>
      <c r="BE323" s="347"/>
      <c r="BH323" s="364"/>
      <c r="BI323" s="518" t="s">
        <v>631</v>
      </c>
      <c r="BJ323" s="505" t="s">
        <v>804</v>
      </c>
      <c r="BK323" s="511">
        <v>521.97</v>
      </c>
      <c r="BL323" s="505" t="s">
        <v>819</v>
      </c>
      <c r="BM323" s="504">
        <v>0.02</v>
      </c>
      <c r="BN323" s="504">
        <v>0.15</v>
      </c>
      <c r="BO323" s="503" t="s">
        <v>417</v>
      </c>
      <c r="BP323" s="473"/>
      <c r="BQ323" s="345"/>
      <c r="BR323" s="345"/>
      <c r="BS323" s="473"/>
      <c r="BT323" s="473"/>
      <c r="BU323" s="473"/>
      <c r="BV323" s="475"/>
      <c r="BW323" s="473"/>
      <c r="BX323" s="511"/>
      <c r="BY323" s="505"/>
      <c r="BZ323" s="475"/>
      <c r="CA323" s="475"/>
      <c r="CB323" s="475"/>
      <c r="CC323" s="473"/>
      <c r="CD323" s="473"/>
      <c r="CE323" s="475"/>
      <c r="CF323" s="475"/>
      <c r="CG323" s="475"/>
      <c r="CH323" s="475"/>
      <c r="CI323" s="473"/>
      <c r="CJ323" s="473"/>
      <c r="CK323" s="475"/>
      <c r="CL323" s="475"/>
      <c r="CM323" s="475"/>
      <c r="CN323" s="360"/>
      <c r="CO323" s="346"/>
      <c r="CP323" s="346">
        <f t="shared" si="367"/>
        <v>0.15</v>
      </c>
    </row>
    <row r="324" spans="1:94" s="344" customFormat="1" ht="16.5" hidden="1" thickBot="1" x14ac:dyDescent="0.3">
      <c r="A324" s="342"/>
      <c r="V324" s="346"/>
      <c r="AA324" s="347"/>
      <c r="AB324" s="347"/>
      <c r="AD324" s="347"/>
      <c r="AE324" s="348"/>
      <c r="AH324" s="349"/>
      <c r="AI324" s="349"/>
      <c r="AK324" s="347"/>
      <c r="AR324" s="347"/>
      <c r="AV324" s="347"/>
      <c r="AX324" s="347"/>
      <c r="BB324" s="347"/>
      <c r="BC324" s="347"/>
      <c r="BE324" s="347"/>
      <c r="BH324" s="364"/>
      <c r="BI324" s="518" t="s">
        <v>632</v>
      </c>
      <c r="BJ324" s="505" t="s">
        <v>804</v>
      </c>
      <c r="BK324" s="511">
        <v>477.32</v>
      </c>
      <c r="BL324" s="505" t="s">
        <v>819</v>
      </c>
      <c r="BM324" s="504">
        <v>0.02</v>
      </c>
      <c r="BN324" s="504">
        <v>0.15</v>
      </c>
      <c r="BO324" s="503" t="s">
        <v>417</v>
      </c>
      <c r="BP324" s="473"/>
      <c r="BQ324" s="345"/>
      <c r="BR324" s="345"/>
      <c r="BS324" s="473"/>
      <c r="BT324" s="473"/>
      <c r="BU324" s="473"/>
      <c r="BV324" s="475"/>
      <c r="BW324" s="473"/>
      <c r="BX324" s="511"/>
      <c r="BY324" s="505"/>
      <c r="BZ324" s="475"/>
      <c r="CA324" s="475"/>
      <c r="CB324" s="475"/>
      <c r="CC324" s="473"/>
      <c r="CD324" s="473"/>
      <c r="CE324" s="475"/>
      <c r="CF324" s="475"/>
      <c r="CG324" s="475"/>
      <c r="CH324" s="475"/>
      <c r="CI324" s="473"/>
      <c r="CJ324" s="473"/>
      <c r="CK324" s="475"/>
      <c r="CL324" s="475"/>
      <c r="CM324" s="475"/>
      <c r="CN324" s="360"/>
      <c r="CO324" s="346"/>
      <c r="CP324" s="346">
        <f t="shared" si="367"/>
        <v>0.15</v>
      </c>
    </row>
    <row r="325" spans="1:94" s="344" customFormat="1" ht="16.5" hidden="1" thickBot="1" x14ac:dyDescent="0.3">
      <c r="A325" s="342"/>
      <c r="V325" s="346"/>
      <c r="AA325" s="347"/>
      <c r="AB325" s="347"/>
      <c r="AD325" s="347"/>
      <c r="AE325" s="348"/>
      <c r="AH325" s="349"/>
      <c r="AI325" s="349"/>
      <c r="AK325" s="347"/>
      <c r="AR325" s="347"/>
      <c r="AV325" s="347"/>
      <c r="AX325" s="347"/>
      <c r="BB325" s="347"/>
      <c r="BC325" s="347"/>
      <c r="BE325" s="347"/>
      <c r="BH325" s="364"/>
      <c r="BI325" s="518" t="s">
        <v>633</v>
      </c>
      <c r="BJ325" s="505" t="s">
        <v>804</v>
      </c>
      <c r="BK325" s="511">
        <v>379.87</v>
      </c>
      <c r="BL325" s="505" t="s">
        <v>819</v>
      </c>
      <c r="BM325" s="504">
        <v>0.02</v>
      </c>
      <c r="BN325" s="504">
        <v>0.15</v>
      </c>
      <c r="BO325" s="503" t="s">
        <v>417</v>
      </c>
      <c r="BP325" s="473"/>
      <c r="BQ325" s="345"/>
      <c r="BR325" s="345"/>
      <c r="BS325" s="473"/>
      <c r="BT325" s="473"/>
      <c r="BU325" s="473"/>
      <c r="BV325" s="475"/>
      <c r="BW325" s="473"/>
      <c r="BX325" s="511"/>
      <c r="BY325" s="505"/>
      <c r="BZ325" s="475"/>
      <c r="CA325" s="475"/>
      <c r="CB325" s="475"/>
      <c r="CC325" s="473"/>
      <c r="CD325" s="473"/>
      <c r="CE325" s="475"/>
      <c r="CF325" s="475"/>
      <c r="CG325" s="475"/>
      <c r="CH325" s="475"/>
      <c r="CI325" s="473"/>
      <c r="CJ325" s="473"/>
      <c r="CK325" s="475"/>
      <c r="CL325" s="475"/>
      <c r="CM325" s="475"/>
      <c r="CN325" s="360"/>
      <c r="CO325" s="346"/>
      <c r="CP325" s="346">
        <f t="shared" si="367"/>
        <v>0.15</v>
      </c>
    </row>
    <row r="326" spans="1:94" s="344" customFormat="1" ht="16.5" hidden="1" thickBot="1" x14ac:dyDescent="0.3">
      <c r="A326" s="342"/>
      <c r="V326" s="346"/>
      <c r="AA326" s="347"/>
      <c r="AB326" s="347"/>
      <c r="AD326" s="347"/>
      <c r="AE326" s="348"/>
      <c r="AH326" s="349"/>
      <c r="AI326" s="349"/>
      <c r="AK326" s="347"/>
      <c r="AR326" s="347"/>
      <c r="AV326" s="347"/>
      <c r="AX326" s="347"/>
      <c r="BB326" s="347"/>
      <c r="BC326" s="347"/>
      <c r="BE326" s="347"/>
      <c r="BH326" s="364"/>
      <c r="BI326" s="518" t="s">
        <v>635</v>
      </c>
      <c r="BJ326" s="505" t="s">
        <v>804</v>
      </c>
      <c r="BK326" s="511">
        <v>382.86</v>
      </c>
      <c r="BL326" s="505" t="s">
        <v>819</v>
      </c>
      <c r="BM326" s="504">
        <v>0.02</v>
      </c>
      <c r="BN326" s="504">
        <v>0.15</v>
      </c>
      <c r="BO326" s="503" t="s">
        <v>417</v>
      </c>
      <c r="BP326" s="473"/>
      <c r="BQ326" s="345"/>
      <c r="BR326" s="345"/>
      <c r="BS326" s="473"/>
      <c r="BT326" s="473"/>
      <c r="BU326" s="473"/>
      <c r="BV326" s="475"/>
      <c r="BW326" s="473"/>
      <c r="BX326" s="511"/>
      <c r="BY326" s="505"/>
      <c r="BZ326" s="475"/>
      <c r="CA326" s="475"/>
      <c r="CB326" s="475"/>
      <c r="CC326" s="473"/>
      <c r="CD326" s="473"/>
      <c r="CE326" s="475"/>
      <c r="CF326" s="475"/>
      <c r="CG326" s="475"/>
      <c r="CH326" s="475"/>
      <c r="CI326" s="473"/>
      <c r="CJ326" s="473"/>
      <c r="CK326" s="475"/>
      <c r="CL326" s="475"/>
      <c r="CM326" s="475"/>
      <c r="CN326" s="360"/>
      <c r="CO326" s="346"/>
      <c r="CP326" s="346">
        <f t="shared" si="367"/>
        <v>0.15</v>
      </c>
    </row>
    <row r="327" spans="1:94" s="344" customFormat="1" ht="16.5" hidden="1" thickBot="1" x14ac:dyDescent="0.3">
      <c r="A327" s="342"/>
      <c r="V327" s="346"/>
      <c r="AA327" s="347"/>
      <c r="AB327" s="347"/>
      <c r="AD327" s="347"/>
      <c r="AE327" s="348"/>
      <c r="AH327" s="349"/>
      <c r="AI327" s="349"/>
      <c r="AK327" s="347"/>
      <c r="AR327" s="347"/>
      <c r="AV327" s="347"/>
      <c r="AX327" s="347"/>
      <c r="BB327" s="347"/>
      <c r="BC327" s="347"/>
      <c r="BE327" s="347"/>
      <c r="BH327" s="364"/>
      <c r="BI327" s="518" t="s">
        <v>636</v>
      </c>
      <c r="BJ327" s="505" t="s">
        <v>804</v>
      </c>
      <c r="BK327" s="511">
        <v>414.92</v>
      </c>
      <c r="BL327" s="505" t="s">
        <v>819</v>
      </c>
      <c r="BM327" s="504">
        <v>0.02</v>
      </c>
      <c r="BN327" s="504">
        <v>0.15</v>
      </c>
      <c r="BO327" s="503" t="s">
        <v>417</v>
      </c>
      <c r="BP327" s="473"/>
      <c r="BQ327" s="345"/>
      <c r="BR327" s="345"/>
      <c r="BS327" s="473"/>
      <c r="BT327" s="473"/>
      <c r="BU327" s="473"/>
      <c r="BV327" s="475"/>
      <c r="BW327" s="473"/>
      <c r="BX327" s="511"/>
      <c r="BY327" s="505"/>
      <c r="BZ327" s="475"/>
      <c r="CA327" s="475"/>
      <c r="CB327" s="475"/>
      <c r="CC327" s="473"/>
      <c r="CD327" s="473"/>
      <c r="CE327" s="475"/>
      <c r="CF327" s="475"/>
      <c r="CG327" s="475"/>
      <c r="CH327" s="475"/>
      <c r="CI327" s="473"/>
      <c r="CJ327" s="473"/>
      <c r="CK327" s="475"/>
      <c r="CL327" s="475"/>
      <c r="CM327" s="475"/>
      <c r="CN327" s="360"/>
      <c r="CO327" s="346"/>
      <c r="CP327" s="346">
        <f t="shared" si="367"/>
        <v>0.15</v>
      </c>
    </row>
    <row r="328" spans="1:94" s="344" customFormat="1" ht="16.5" hidden="1" thickBot="1" x14ac:dyDescent="0.3">
      <c r="A328" s="342"/>
      <c r="V328" s="346"/>
      <c r="AA328" s="347"/>
      <c r="AB328" s="347"/>
      <c r="AD328" s="347"/>
      <c r="AE328" s="348"/>
      <c r="AH328" s="349"/>
      <c r="AI328" s="349"/>
      <c r="AK328" s="347"/>
      <c r="AR328" s="347"/>
      <c r="AV328" s="347"/>
      <c r="AX328" s="347"/>
      <c r="BB328" s="347"/>
      <c r="BC328" s="347"/>
      <c r="BE328" s="347"/>
      <c r="BH328" s="364"/>
      <c r="BI328" s="518" t="s">
        <v>634</v>
      </c>
      <c r="BJ328" s="505" t="s">
        <v>804</v>
      </c>
      <c r="BK328" s="511">
        <v>475.72</v>
      </c>
      <c r="BL328" s="505" t="s">
        <v>819</v>
      </c>
      <c r="BM328" s="504">
        <v>0.02</v>
      </c>
      <c r="BN328" s="504">
        <v>0.15</v>
      </c>
      <c r="BO328" s="503" t="s">
        <v>417</v>
      </c>
      <c r="BP328" s="473"/>
      <c r="BQ328" s="345"/>
      <c r="BR328" s="345"/>
      <c r="BS328" s="473"/>
      <c r="BT328" s="473"/>
      <c r="BU328" s="473"/>
      <c r="BV328" s="475"/>
      <c r="BW328" s="473"/>
      <c r="BX328" s="511"/>
      <c r="BY328" s="505"/>
      <c r="BZ328" s="475"/>
      <c r="CA328" s="475"/>
      <c r="CB328" s="475"/>
      <c r="CC328" s="473"/>
      <c r="CD328" s="473"/>
      <c r="CE328" s="475"/>
      <c r="CF328" s="475"/>
      <c r="CG328" s="475"/>
      <c r="CH328" s="475"/>
      <c r="CI328" s="473"/>
      <c r="CJ328" s="473"/>
      <c r="CK328" s="475"/>
      <c r="CL328" s="475"/>
      <c r="CM328" s="475"/>
      <c r="CN328" s="360"/>
      <c r="CO328" s="346"/>
      <c r="CP328" s="346">
        <f t="shared" si="367"/>
        <v>0.15</v>
      </c>
    </row>
    <row r="329" spans="1:94" s="344" customFormat="1" ht="16.5" hidden="1" thickBot="1" x14ac:dyDescent="0.3">
      <c r="A329" s="342"/>
      <c r="V329" s="346"/>
      <c r="AA329" s="347"/>
      <c r="AB329" s="347"/>
      <c r="AD329" s="347"/>
      <c r="AE329" s="348"/>
      <c r="AH329" s="349"/>
      <c r="AI329" s="349"/>
      <c r="AK329" s="347"/>
      <c r="AR329" s="347"/>
      <c r="AV329" s="347"/>
      <c r="AX329" s="347"/>
      <c r="BB329" s="347"/>
      <c r="BC329" s="347"/>
      <c r="BE329" s="347"/>
      <c r="BH329" s="364"/>
      <c r="BI329" s="518" t="s">
        <v>638</v>
      </c>
      <c r="BJ329" s="518" t="s">
        <v>132</v>
      </c>
      <c r="BK329" s="511">
        <v>0.21</v>
      </c>
      <c r="BL329" s="505" t="s">
        <v>819</v>
      </c>
      <c r="BM329" s="504">
        <v>0.1</v>
      </c>
      <c r="BN329" s="504">
        <v>0.6</v>
      </c>
      <c r="BO329" s="503" t="s">
        <v>417</v>
      </c>
      <c r="BP329" s="473"/>
      <c r="BQ329" s="345"/>
      <c r="BR329" s="345"/>
      <c r="BS329" s="473"/>
      <c r="BT329" s="473"/>
      <c r="BU329" s="473"/>
      <c r="BV329" s="475"/>
      <c r="BW329" s="473"/>
      <c r="BX329" s="511"/>
      <c r="BY329" s="505"/>
      <c r="BZ329" s="475"/>
      <c r="CA329" s="475"/>
      <c r="CB329" s="475"/>
      <c r="CC329" s="473"/>
      <c r="CD329" s="473"/>
      <c r="CE329" s="475"/>
      <c r="CF329" s="475"/>
      <c r="CG329" s="475"/>
      <c r="CH329" s="475"/>
      <c r="CI329" s="473"/>
      <c r="CJ329" s="473"/>
      <c r="CK329" s="475"/>
      <c r="CL329" s="475"/>
      <c r="CM329" s="475"/>
      <c r="CN329" s="360"/>
      <c r="CO329" s="346"/>
      <c r="CP329" s="346">
        <f t="shared" ref="CP329:CP392" si="368">BN329</f>
        <v>0.6</v>
      </c>
    </row>
    <row r="330" spans="1:94" s="344" customFormat="1" ht="16.5" hidden="1" thickBot="1" x14ac:dyDescent="0.3">
      <c r="A330" s="342"/>
      <c r="V330" s="346"/>
      <c r="AA330" s="347"/>
      <c r="AB330" s="347"/>
      <c r="AD330" s="347"/>
      <c r="AE330" s="348"/>
      <c r="AH330" s="349"/>
      <c r="AI330" s="349"/>
      <c r="AK330" s="347"/>
      <c r="AR330" s="347"/>
      <c r="AV330" s="347"/>
      <c r="AX330" s="347"/>
      <c r="BB330" s="347"/>
      <c r="BC330" s="347"/>
      <c r="BE330" s="347"/>
      <c r="BH330" s="364"/>
      <c r="BI330" s="518" t="s">
        <v>773</v>
      </c>
      <c r="BJ330" s="518" t="s">
        <v>132</v>
      </c>
      <c r="BK330" s="511">
        <v>0.25</v>
      </c>
      <c r="BL330" s="505" t="s">
        <v>819</v>
      </c>
      <c r="BM330" s="504">
        <v>0.1</v>
      </c>
      <c r="BN330" s="504">
        <v>0.6</v>
      </c>
      <c r="BO330" s="503" t="s">
        <v>417</v>
      </c>
      <c r="BP330" s="473"/>
      <c r="BQ330" s="345"/>
      <c r="BR330" s="345"/>
      <c r="BS330" s="473"/>
      <c r="BT330" s="473"/>
      <c r="BU330" s="473"/>
      <c r="BV330" s="475"/>
      <c r="BW330" s="473"/>
      <c r="BX330" s="511"/>
      <c r="BY330" s="505"/>
      <c r="BZ330" s="475"/>
      <c r="CA330" s="475"/>
      <c r="CB330" s="475"/>
      <c r="CC330" s="473"/>
      <c r="CD330" s="473"/>
      <c r="CE330" s="475"/>
      <c r="CF330" s="475"/>
      <c r="CG330" s="475"/>
      <c r="CH330" s="475"/>
      <c r="CI330" s="473"/>
      <c r="CJ330" s="473"/>
      <c r="CK330" s="475"/>
      <c r="CL330" s="475"/>
      <c r="CM330" s="475"/>
      <c r="CN330" s="360"/>
      <c r="CO330" s="346"/>
      <c r="CP330" s="346">
        <f t="shared" si="368"/>
        <v>0.6</v>
      </c>
    </row>
    <row r="331" spans="1:94" s="344" customFormat="1" ht="16.5" hidden="1" thickBot="1" x14ac:dyDescent="0.3">
      <c r="A331" s="342"/>
      <c r="V331" s="346"/>
      <c r="AA331" s="347"/>
      <c r="AB331" s="347"/>
      <c r="AD331" s="347"/>
      <c r="AE331" s="348"/>
      <c r="AH331" s="349"/>
      <c r="AI331" s="349"/>
      <c r="AK331" s="347"/>
      <c r="AR331" s="347"/>
      <c r="AV331" s="347"/>
      <c r="AX331" s="347"/>
      <c r="BB331" s="347"/>
      <c r="BC331" s="347"/>
      <c r="BE331" s="347"/>
      <c r="BH331" s="364"/>
      <c r="BI331" s="518" t="s">
        <v>640</v>
      </c>
      <c r="BJ331" s="518" t="s">
        <v>132</v>
      </c>
      <c r="BK331" s="511">
        <v>0.1</v>
      </c>
      <c r="BL331" s="505" t="s">
        <v>819</v>
      </c>
      <c r="BM331" s="504">
        <v>0.1</v>
      </c>
      <c r="BN331" s="504">
        <v>0.6</v>
      </c>
      <c r="BO331" s="503" t="s">
        <v>417</v>
      </c>
      <c r="BP331" s="473"/>
      <c r="BQ331" s="345"/>
      <c r="BR331" s="345"/>
      <c r="BS331" s="473"/>
      <c r="BT331" s="473"/>
      <c r="BU331" s="473"/>
      <c r="BV331" s="475"/>
      <c r="BW331" s="473"/>
      <c r="BX331" s="511"/>
      <c r="BY331" s="505"/>
      <c r="BZ331" s="475"/>
      <c r="CA331" s="475"/>
      <c r="CB331" s="475"/>
      <c r="CC331" s="473"/>
      <c r="CD331" s="473"/>
      <c r="CE331" s="475"/>
      <c r="CF331" s="475"/>
      <c r="CG331" s="475"/>
      <c r="CH331" s="475"/>
      <c r="CI331" s="473"/>
      <c r="CJ331" s="473"/>
      <c r="CK331" s="475"/>
      <c r="CL331" s="475"/>
      <c r="CM331" s="475"/>
      <c r="CN331" s="360"/>
      <c r="CO331" s="346"/>
      <c r="CP331" s="346">
        <f t="shared" si="368"/>
        <v>0.6</v>
      </c>
    </row>
    <row r="332" spans="1:94" s="344" customFormat="1" ht="16.5" hidden="1" thickBot="1" x14ac:dyDescent="0.3">
      <c r="A332" s="342"/>
      <c r="V332" s="346"/>
      <c r="AA332" s="347"/>
      <c r="AB332" s="347"/>
      <c r="AD332" s="347"/>
      <c r="AE332" s="348"/>
      <c r="AH332" s="349"/>
      <c r="AI332" s="349"/>
      <c r="AK332" s="347"/>
      <c r="AR332" s="347"/>
      <c r="AV332" s="347"/>
      <c r="AX332" s="347"/>
      <c r="BB332" s="347"/>
      <c r="BC332" s="347"/>
      <c r="BE332" s="347"/>
      <c r="BH332" s="364"/>
      <c r="BI332" s="518" t="s">
        <v>641</v>
      </c>
      <c r="BJ332" s="518" t="s">
        <v>132</v>
      </c>
      <c r="BK332" s="511">
        <v>0.2</v>
      </c>
      <c r="BL332" s="505" t="s">
        <v>819</v>
      </c>
      <c r="BM332" s="504">
        <v>0.1</v>
      </c>
      <c r="BN332" s="504">
        <v>0.6</v>
      </c>
      <c r="BO332" s="503" t="s">
        <v>417</v>
      </c>
      <c r="BP332" s="473"/>
      <c r="BQ332" s="345"/>
      <c r="BR332" s="345"/>
      <c r="BS332" s="473"/>
      <c r="BT332" s="473"/>
      <c r="BU332" s="473"/>
      <c r="BV332" s="475"/>
      <c r="BW332" s="473"/>
      <c r="BX332" s="511"/>
      <c r="BY332" s="505"/>
      <c r="BZ332" s="475"/>
      <c r="CA332" s="475"/>
      <c r="CB332" s="475"/>
      <c r="CC332" s="473"/>
      <c r="CD332" s="473"/>
      <c r="CE332" s="475"/>
      <c r="CF332" s="475"/>
      <c r="CG332" s="475"/>
      <c r="CH332" s="475"/>
      <c r="CI332" s="473"/>
      <c r="CJ332" s="473"/>
      <c r="CK332" s="475"/>
      <c r="CL332" s="475"/>
      <c r="CM332" s="475"/>
      <c r="CN332" s="360"/>
      <c r="CO332" s="346"/>
      <c r="CP332" s="346">
        <f t="shared" si="368"/>
        <v>0.6</v>
      </c>
    </row>
    <row r="333" spans="1:94" s="344" customFormat="1" ht="16.5" hidden="1" thickBot="1" x14ac:dyDescent="0.3">
      <c r="A333" s="342"/>
      <c r="V333" s="346"/>
      <c r="AA333" s="347"/>
      <c r="AB333" s="347"/>
      <c r="AD333" s="347"/>
      <c r="AE333" s="348"/>
      <c r="AH333" s="349"/>
      <c r="AI333" s="349"/>
      <c r="AK333" s="347"/>
      <c r="AR333" s="347"/>
      <c r="AV333" s="347"/>
      <c r="AX333" s="347"/>
      <c r="BB333" s="347"/>
      <c r="BC333" s="347"/>
      <c r="BE333" s="347"/>
      <c r="BH333" s="364"/>
      <c r="BI333" s="518" t="s">
        <v>639</v>
      </c>
      <c r="BJ333" s="518" t="s">
        <v>132</v>
      </c>
      <c r="BK333" s="511">
        <v>0.03</v>
      </c>
      <c r="BL333" s="505" t="s">
        <v>819</v>
      </c>
      <c r="BM333" s="504">
        <v>0.1</v>
      </c>
      <c r="BN333" s="504">
        <v>0.6</v>
      </c>
      <c r="BO333" s="503" t="s">
        <v>417</v>
      </c>
      <c r="BP333" s="473"/>
      <c r="BQ333" s="345"/>
      <c r="BR333" s="345"/>
      <c r="BS333" s="473"/>
      <c r="BT333" s="473"/>
      <c r="BU333" s="473"/>
      <c r="BV333" s="475"/>
      <c r="BW333" s="473"/>
      <c r="BX333" s="511"/>
      <c r="BY333" s="505"/>
      <c r="BZ333" s="475"/>
      <c r="CA333" s="475"/>
      <c r="CB333" s="475"/>
      <c r="CC333" s="473"/>
      <c r="CD333" s="473"/>
      <c r="CE333" s="475"/>
      <c r="CF333" s="475"/>
      <c r="CG333" s="475"/>
      <c r="CH333" s="475"/>
      <c r="CI333" s="473"/>
      <c r="CJ333" s="473"/>
      <c r="CK333" s="475"/>
      <c r="CL333" s="475"/>
      <c r="CM333" s="475"/>
      <c r="CN333" s="360"/>
      <c r="CO333" s="346"/>
      <c r="CP333" s="346">
        <f t="shared" si="368"/>
        <v>0.6</v>
      </c>
    </row>
    <row r="334" spans="1:94" s="344" customFormat="1" ht="15.75" hidden="1" thickBot="1" x14ac:dyDescent="0.3">
      <c r="A334" s="342"/>
      <c r="V334" s="346"/>
      <c r="AA334" s="347"/>
      <c r="AB334" s="347"/>
      <c r="AD334" s="347"/>
      <c r="AE334" s="348"/>
      <c r="AH334" s="349"/>
      <c r="AI334" s="349"/>
      <c r="AK334" s="347"/>
      <c r="AR334" s="347"/>
      <c r="AV334" s="347"/>
      <c r="AX334" s="347"/>
      <c r="BB334" s="347"/>
      <c r="BC334" s="347"/>
      <c r="BE334" s="347"/>
      <c r="BH334" s="364"/>
      <c r="BI334" s="518" t="s">
        <v>91</v>
      </c>
      <c r="BJ334" s="505" t="s">
        <v>826</v>
      </c>
      <c r="BK334" s="511">
        <v>3273</v>
      </c>
      <c r="BL334" s="505" t="s">
        <v>820</v>
      </c>
      <c r="BM334" s="504">
        <v>0.02</v>
      </c>
      <c r="BN334" s="504">
        <v>0.05</v>
      </c>
      <c r="BO334" s="503" t="s">
        <v>417</v>
      </c>
      <c r="BP334" s="473"/>
      <c r="BQ334" s="345"/>
      <c r="BR334" s="345"/>
      <c r="BS334" s="473"/>
      <c r="BT334" s="473"/>
      <c r="BU334" s="473"/>
      <c r="BV334" s="475"/>
      <c r="BW334" s="473"/>
      <c r="BX334" s="511"/>
      <c r="BY334" s="505"/>
      <c r="BZ334" s="475"/>
      <c r="CA334" s="475"/>
      <c r="CB334" s="475"/>
      <c r="CC334" s="473"/>
      <c r="CD334" s="473"/>
      <c r="CE334" s="475"/>
      <c r="CF334" s="475"/>
      <c r="CG334" s="475"/>
      <c r="CH334" s="475"/>
      <c r="CI334" s="473"/>
      <c r="CJ334" s="473"/>
      <c r="CK334" s="475"/>
      <c r="CL334" s="475"/>
      <c r="CM334" s="475"/>
      <c r="CN334" s="360"/>
      <c r="CO334" s="346"/>
      <c r="CP334" s="346">
        <f t="shared" si="368"/>
        <v>0.05</v>
      </c>
    </row>
    <row r="335" spans="1:94" s="344" customFormat="1" ht="26.25" hidden="1" thickBot="1" x14ac:dyDescent="0.3">
      <c r="A335" s="342"/>
      <c r="V335" s="346"/>
      <c r="AA335" s="347"/>
      <c r="AB335" s="347"/>
      <c r="AD335" s="347"/>
      <c r="AE335" s="348"/>
      <c r="AH335" s="349"/>
      <c r="AI335" s="349"/>
      <c r="AK335" s="347"/>
      <c r="AR335" s="347"/>
      <c r="AV335" s="347"/>
      <c r="AX335" s="347"/>
      <c r="BB335" s="347"/>
      <c r="BC335" s="347"/>
      <c r="BE335" s="347"/>
      <c r="BH335" s="364" t="s">
        <v>136</v>
      </c>
      <c r="BI335" s="518" t="s">
        <v>522</v>
      </c>
      <c r="BJ335" s="518" t="s">
        <v>804</v>
      </c>
      <c r="BK335" s="511">
        <f>(3.13757879682717*1000)</f>
        <v>3137.5787968271702</v>
      </c>
      <c r="BL335" s="505" t="s">
        <v>819</v>
      </c>
      <c r="BM335" s="504">
        <v>0.02</v>
      </c>
      <c r="BN335" s="504">
        <v>0.5</v>
      </c>
      <c r="BO335" s="503" t="s">
        <v>567</v>
      </c>
      <c r="BP335" s="473"/>
      <c r="BQ335" s="345"/>
      <c r="BR335" s="345"/>
      <c r="BS335" s="473"/>
      <c r="BT335" s="473"/>
      <c r="BU335" s="473"/>
      <c r="BV335" s="475"/>
      <c r="BW335" s="473"/>
      <c r="BX335" s="511"/>
      <c r="BY335" s="505"/>
      <c r="BZ335" s="475"/>
      <c r="CA335" s="475"/>
      <c r="CB335" s="475"/>
      <c r="CC335" s="473"/>
      <c r="CD335" s="473"/>
      <c r="CE335" s="475"/>
      <c r="CF335" s="475"/>
      <c r="CG335" s="475"/>
      <c r="CH335" s="475"/>
      <c r="CI335" s="473"/>
      <c r="CJ335" s="473"/>
      <c r="CK335" s="475"/>
      <c r="CL335" s="475"/>
      <c r="CM335" s="475"/>
      <c r="CN335" s="360"/>
      <c r="CO335" s="346">
        <v>0.02</v>
      </c>
      <c r="CP335" s="346">
        <f t="shared" si="368"/>
        <v>0.5</v>
      </c>
    </row>
    <row r="336" spans="1:94" s="344" customFormat="1" ht="16.5" hidden="1" thickBot="1" x14ac:dyDescent="0.3">
      <c r="A336" s="342"/>
      <c r="V336" s="346"/>
      <c r="AA336" s="347"/>
      <c r="AB336" s="347"/>
      <c r="AD336" s="347"/>
      <c r="AE336" s="348"/>
      <c r="AH336" s="349"/>
      <c r="AI336" s="349"/>
      <c r="AK336" s="347"/>
      <c r="AR336" s="347"/>
      <c r="AV336" s="347"/>
      <c r="AX336" s="347"/>
      <c r="BB336" s="347"/>
      <c r="BC336" s="347"/>
      <c r="BE336" s="347"/>
      <c r="BH336" s="364" t="s">
        <v>136</v>
      </c>
      <c r="BI336" s="518" t="s">
        <v>694</v>
      </c>
      <c r="BJ336" s="518" t="s">
        <v>804</v>
      </c>
      <c r="BK336" s="511">
        <v>9</v>
      </c>
      <c r="BL336" s="505" t="s">
        <v>821</v>
      </c>
      <c r="BM336" s="504">
        <v>0.1</v>
      </c>
      <c r="BN336" s="504">
        <v>0.4</v>
      </c>
      <c r="BO336" s="503" t="s">
        <v>417</v>
      </c>
      <c r="BP336" s="473"/>
      <c r="BQ336" s="345"/>
      <c r="BR336" s="345"/>
      <c r="BS336" s="473"/>
      <c r="BT336" s="473"/>
      <c r="BU336" s="473"/>
      <c r="BV336" s="475"/>
      <c r="BW336" s="473"/>
      <c r="BX336" s="511">
        <v>1500</v>
      </c>
      <c r="BY336" s="505" t="s">
        <v>825</v>
      </c>
      <c r="BZ336" s="475"/>
      <c r="CA336" s="475"/>
      <c r="CB336" s="475"/>
      <c r="CC336" s="473"/>
      <c r="CD336" s="473"/>
      <c r="CE336" s="475"/>
      <c r="CF336" s="475"/>
      <c r="CG336" s="475"/>
      <c r="CH336" s="475"/>
      <c r="CI336" s="473"/>
      <c r="CJ336" s="473"/>
      <c r="CK336" s="475"/>
      <c r="CL336" s="475"/>
      <c r="CM336" s="475"/>
      <c r="CN336" s="360"/>
      <c r="CO336" s="346">
        <v>0.02</v>
      </c>
      <c r="CP336" s="346">
        <f t="shared" si="368"/>
        <v>0.4</v>
      </c>
    </row>
    <row r="337" spans="1:94" s="344" customFormat="1" ht="16.5" hidden="1" thickBot="1" x14ac:dyDescent="0.3">
      <c r="A337" s="342"/>
      <c r="V337" s="346"/>
      <c r="AA337" s="347"/>
      <c r="AB337" s="347"/>
      <c r="AD337" s="347"/>
      <c r="AE337" s="348"/>
      <c r="AH337" s="349"/>
      <c r="AI337" s="349"/>
      <c r="AK337" s="347"/>
      <c r="AR337" s="347"/>
      <c r="AV337" s="347"/>
      <c r="AX337" s="347"/>
      <c r="BB337" s="347"/>
      <c r="BC337" s="347"/>
      <c r="BE337" s="347"/>
      <c r="BH337" s="364" t="s">
        <v>186</v>
      </c>
      <c r="BI337" s="518" t="s">
        <v>716</v>
      </c>
      <c r="BJ337" s="505" t="s">
        <v>627</v>
      </c>
      <c r="BK337" s="511">
        <f>0.25*0.1</f>
        <v>2.5000000000000001E-2</v>
      </c>
      <c r="BL337" s="505" t="s">
        <v>610</v>
      </c>
      <c r="BM337" s="504">
        <v>0.05</v>
      </c>
      <c r="BN337" s="504">
        <v>1.04</v>
      </c>
      <c r="BO337" s="503" t="s">
        <v>417</v>
      </c>
      <c r="BP337" s="473"/>
      <c r="BQ337" s="345"/>
      <c r="BR337" s="345"/>
      <c r="BS337" s="473"/>
      <c r="BT337" s="473"/>
      <c r="BU337" s="473"/>
      <c r="BV337" s="475"/>
      <c r="BW337" s="473"/>
      <c r="BX337" s="511">
        <f>0.25*0.9*25</f>
        <v>5.625</v>
      </c>
      <c r="BY337" s="505" t="s">
        <v>457</v>
      </c>
      <c r="BZ337" s="475"/>
      <c r="CA337" s="475"/>
      <c r="CB337" s="475"/>
      <c r="CC337" s="473"/>
      <c r="CD337" s="473"/>
      <c r="CE337" s="475"/>
      <c r="CF337" s="475"/>
      <c r="CG337" s="475"/>
      <c r="CH337" s="475"/>
      <c r="CI337" s="473"/>
      <c r="CJ337" s="473"/>
      <c r="CK337" s="475"/>
      <c r="CL337" s="475"/>
      <c r="CM337" s="475"/>
      <c r="CN337" s="360"/>
      <c r="CO337" s="346">
        <v>0.05</v>
      </c>
      <c r="CP337" s="346">
        <f t="shared" si="368"/>
        <v>1.04</v>
      </c>
    </row>
    <row r="338" spans="1:94" s="344" customFormat="1" ht="16.5" hidden="1" thickBot="1" x14ac:dyDescent="0.3">
      <c r="A338" s="342"/>
      <c r="V338" s="346"/>
      <c r="AA338" s="347"/>
      <c r="AB338" s="347"/>
      <c r="AD338" s="347"/>
      <c r="AE338" s="348"/>
      <c r="AH338" s="349"/>
      <c r="AI338" s="349"/>
      <c r="AK338" s="347"/>
      <c r="AR338" s="347"/>
      <c r="AV338" s="347"/>
      <c r="AX338" s="347"/>
      <c r="BB338" s="347"/>
      <c r="BC338" s="347"/>
      <c r="BF338" s="535">
        <f t="shared" ref="BF338:BF343" si="369">BK338*25</f>
        <v>0</v>
      </c>
      <c r="BH338" s="364"/>
      <c r="BI338" s="518" t="s">
        <v>715</v>
      </c>
      <c r="BJ338" s="505" t="s">
        <v>627</v>
      </c>
      <c r="BK338" s="511">
        <f>0*0.25</f>
        <v>0</v>
      </c>
      <c r="BL338" s="505" t="s">
        <v>610</v>
      </c>
      <c r="BM338" s="504">
        <v>0.05</v>
      </c>
      <c r="BN338" s="504">
        <v>1</v>
      </c>
      <c r="BO338" s="503" t="s">
        <v>417</v>
      </c>
      <c r="BP338" s="473"/>
      <c r="BQ338" s="345"/>
      <c r="BR338" s="345"/>
      <c r="BS338" s="473"/>
      <c r="BT338" s="473"/>
      <c r="BU338" s="473"/>
      <c r="BV338" s="475"/>
      <c r="BW338" s="473"/>
      <c r="BX338" s="511"/>
      <c r="BY338" s="505"/>
      <c r="BZ338" s="475"/>
      <c r="CA338" s="475"/>
      <c r="CB338" s="475"/>
      <c r="CC338" s="473"/>
      <c r="CD338" s="473"/>
      <c r="CE338" s="475"/>
      <c r="CF338" s="475"/>
      <c r="CG338" s="475"/>
      <c r="CH338" s="475"/>
      <c r="CI338" s="473"/>
      <c r="CJ338" s="473"/>
      <c r="CK338" s="475"/>
      <c r="CL338" s="475"/>
      <c r="CM338" s="475"/>
      <c r="CN338" s="360"/>
      <c r="CO338" s="346"/>
      <c r="CP338" s="346">
        <f t="shared" si="368"/>
        <v>1</v>
      </c>
    </row>
    <row r="339" spans="1:94" s="344" customFormat="1" ht="16.5" hidden="1" thickBot="1" x14ac:dyDescent="0.3">
      <c r="A339" s="342"/>
      <c r="V339" s="346"/>
      <c r="AA339" s="347"/>
      <c r="AB339" s="347"/>
      <c r="AD339" s="347"/>
      <c r="AE339" s="348"/>
      <c r="AH339" s="349"/>
      <c r="AI339" s="349"/>
      <c r="AK339" s="347"/>
      <c r="AR339" s="347"/>
      <c r="AV339" s="347"/>
      <c r="AX339" s="347"/>
      <c r="BB339" s="347"/>
      <c r="BC339" s="347"/>
      <c r="BF339" s="535">
        <f t="shared" si="369"/>
        <v>1.875</v>
      </c>
      <c r="BH339" s="364"/>
      <c r="BI339" s="518" t="s">
        <v>717</v>
      </c>
      <c r="BJ339" s="505" t="s">
        <v>627</v>
      </c>
      <c r="BK339" s="511">
        <f>0.25*0.3</f>
        <v>7.4999999999999997E-2</v>
      </c>
      <c r="BL339" s="505" t="s">
        <v>610</v>
      </c>
      <c r="BM339" s="504">
        <f>0.2/0.3</f>
        <v>0.66666666666666674</v>
      </c>
      <c r="BN339" s="504">
        <f>0.4/0.3</f>
        <v>1.3333333333333335</v>
      </c>
      <c r="BO339" s="503" t="s">
        <v>417</v>
      </c>
      <c r="BP339" s="473"/>
      <c r="BQ339" s="345"/>
      <c r="BR339" s="345"/>
      <c r="BS339" s="473"/>
      <c r="BT339" s="473"/>
      <c r="BU339" s="473"/>
      <c r="BV339" s="475"/>
      <c r="BW339" s="473"/>
      <c r="BX339" s="511"/>
      <c r="BY339" s="505"/>
      <c r="BZ339" s="475"/>
      <c r="CA339" s="475"/>
      <c r="CB339" s="475"/>
      <c r="CC339" s="473"/>
      <c r="CD339" s="473"/>
      <c r="CE339" s="475"/>
      <c r="CF339" s="475"/>
      <c r="CG339" s="475"/>
      <c r="CH339" s="475"/>
      <c r="CI339" s="473"/>
      <c r="CJ339" s="473"/>
      <c r="CK339" s="475"/>
      <c r="CL339" s="475"/>
      <c r="CM339" s="475"/>
      <c r="CN339" s="360"/>
      <c r="CO339" s="346"/>
      <c r="CP339" s="346">
        <f t="shared" si="368"/>
        <v>1.3333333333333335</v>
      </c>
    </row>
    <row r="340" spans="1:94" s="344" customFormat="1" ht="16.5" hidden="1" thickBot="1" x14ac:dyDescent="0.3">
      <c r="A340" s="342"/>
      <c r="V340" s="346"/>
      <c r="AA340" s="347"/>
      <c r="AB340" s="347"/>
      <c r="AD340" s="347"/>
      <c r="AE340" s="348"/>
      <c r="AH340" s="349"/>
      <c r="AI340" s="349"/>
      <c r="AK340" s="347"/>
      <c r="AR340" s="347"/>
      <c r="AV340" s="347"/>
      <c r="AX340" s="347"/>
      <c r="BB340" s="347"/>
      <c r="BC340" s="347"/>
      <c r="BF340" s="535">
        <f t="shared" si="369"/>
        <v>5</v>
      </c>
      <c r="BG340" s="343">
        <f>0.4*21</f>
        <v>8.4</v>
      </c>
      <c r="BH340" s="364"/>
      <c r="BI340" s="518" t="s">
        <v>718</v>
      </c>
      <c r="BJ340" s="505" t="s">
        <v>627</v>
      </c>
      <c r="BK340" s="511">
        <f>0.25*0.8</f>
        <v>0.2</v>
      </c>
      <c r="BL340" s="505" t="s">
        <v>610</v>
      </c>
      <c r="BM340" s="504">
        <f>0.8/0.8</f>
        <v>1</v>
      </c>
      <c r="BN340" s="504">
        <f>1/0.8</f>
        <v>1.25</v>
      </c>
      <c r="BO340" s="503" t="s">
        <v>417</v>
      </c>
      <c r="BP340" s="473"/>
      <c r="BQ340" s="345"/>
      <c r="BR340" s="345"/>
      <c r="BS340" s="473"/>
      <c r="BT340" s="473"/>
      <c r="BU340" s="473"/>
      <c r="BV340" s="475"/>
      <c r="BW340" s="473"/>
      <c r="BX340" s="511"/>
      <c r="BY340" s="505"/>
      <c r="BZ340" s="475"/>
      <c r="CA340" s="475"/>
      <c r="CB340" s="475"/>
      <c r="CC340" s="473"/>
      <c r="CD340" s="473"/>
      <c r="CE340" s="475"/>
      <c r="CF340" s="475"/>
      <c r="CG340" s="475"/>
      <c r="CH340" s="475"/>
      <c r="CI340" s="473"/>
      <c r="CJ340" s="473"/>
      <c r="CK340" s="475"/>
      <c r="CL340" s="475"/>
      <c r="CM340" s="475"/>
      <c r="CN340" s="360"/>
      <c r="CO340" s="346"/>
      <c r="CP340" s="346">
        <f t="shared" si="368"/>
        <v>1.25</v>
      </c>
    </row>
    <row r="341" spans="1:94" s="344" customFormat="1" ht="16.5" hidden="1" thickBot="1" x14ac:dyDescent="0.3">
      <c r="A341" s="342"/>
      <c r="V341" s="346"/>
      <c r="AA341" s="347"/>
      <c r="AB341" s="347"/>
      <c r="AD341" s="347"/>
      <c r="AE341" s="348"/>
      <c r="AH341" s="349"/>
      <c r="AI341" s="349"/>
      <c r="AK341" s="347"/>
      <c r="AR341" s="347"/>
      <c r="AV341" s="347"/>
      <c r="AX341" s="347"/>
      <c r="BB341" s="347"/>
      <c r="BC341" s="347"/>
      <c r="BF341" s="535">
        <f t="shared" si="369"/>
        <v>5</v>
      </c>
      <c r="BH341" s="364"/>
      <c r="BI341" s="518" t="s">
        <v>719</v>
      </c>
      <c r="BJ341" s="505" t="s">
        <v>627</v>
      </c>
      <c r="BK341" s="511">
        <f>0.25*0.8</f>
        <v>0.2</v>
      </c>
      <c r="BL341" s="505" t="s">
        <v>610</v>
      </c>
      <c r="BM341" s="504">
        <f>0.8/0.8</f>
        <v>1</v>
      </c>
      <c r="BN341" s="504">
        <f>1/0.8</f>
        <v>1.25</v>
      </c>
      <c r="BO341" s="503" t="s">
        <v>417</v>
      </c>
      <c r="BP341" s="473"/>
      <c r="BQ341" s="345"/>
      <c r="BR341" s="345"/>
      <c r="BS341" s="473"/>
      <c r="BT341" s="473"/>
      <c r="BU341" s="473"/>
      <c r="BV341" s="475"/>
      <c r="BW341" s="473"/>
      <c r="BX341" s="511"/>
      <c r="BY341" s="505"/>
      <c r="BZ341" s="475"/>
      <c r="CA341" s="475"/>
      <c r="CB341" s="475"/>
      <c r="CC341" s="473"/>
      <c r="CD341" s="473"/>
      <c r="CE341" s="475"/>
      <c r="CF341" s="475"/>
      <c r="CG341" s="475"/>
      <c r="CH341" s="475"/>
      <c r="CI341" s="473"/>
      <c r="CJ341" s="473"/>
      <c r="CK341" s="475"/>
      <c r="CL341" s="475"/>
      <c r="CM341" s="475"/>
      <c r="CN341" s="360"/>
      <c r="CO341" s="346"/>
      <c r="CP341" s="346">
        <f t="shared" si="368"/>
        <v>1.25</v>
      </c>
    </row>
    <row r="342" spans="1:94" s="344" customFormat="1" ht="16.5" hidden="1" thickBot="1" x14ac:dyDescent="0.3">
      <c r="A342" s="342"/>
      <c r="V342" s="346"/>
      <c r="AA342" s="347"/>
      <c r="AB342" s="347"/>
      <c r="AD342" s="347"/>
      <c r="AE342" s="348"/>
      <c r="AH342" s="349"/>
      <c r="AI342" s="349"/>
      <c r="AK342" s="347"/>
      <c r="AR342" s="347"/>
      <c r="AU342" s="549"/>
      <c r="AV342" s="347"/>
      <c r="AX342" s="347"/>
      <c r="BB342" s="347"/>
      <c r="BC342" s="347"/>
      <c r="BF342" s="535">
        <f t="shared" si="369"/>
        <v>1.25</v>
      </c>
      <c r="BH342" s="364"/>
      <c r="BI342" s="518" t="s">
        <v>720</v>
      </c>
      <c r="BJ342" s="505" t="s">
        <v>627</v>
      </c>
      <c r="BK342" s="511">
        <f>0.25*0.2</f>
        <v>0.05</v>
      </c>
      <c r="BL342" s="505" t="s">
        <v>610</v>
      </c>
      <c r="BM342" s="504">
        <f>0/0.2</f>
        <v>0</v>
      </c>
      <c r="BN342" s="504">
        <f>0.3/0.2</f>
        <v>1.4999999999999998</v>
      </c>
      <c r="BO342" s="503" t="s">
        <v>417</v>
      </c>
      <c r="BP342" s="473"/>
      <c r="BQ342" s="345"/>
      <c r="BR342" s="345"/>
      <c r="BS342" s="473"/>
      <c r="BT342" s="473"/>
      <c r="BU342" s="473"/>
      <c r="BV342" s="475"/>
      <c r="BW342" s="473"/>
      <c r="BX342" s="511"/>
      <c r="BY342" s="505"/>
      <c r="BZ342" s="475"/>
      <c r="CA342" s="475"/>
      <c r="CB342" s="475"/>
      <c r="CC342" s="473"/>
      <c r="CD342" s="473"/>
      <c r="CE342" s="475"/>
      <c r="CF342" s="475"/>
      <c r="CG342" s="475"/>
      <c r="CH342" s="475"/>
      <c r="CI342" s="473"/>
      <c r="CJ342" s="473"/>
      <c r="CK342" s="475"/>
      <c r="CL342" s="475"/>
      <c r="CM342" s="475"/>
      <c r="CN342" s="360"/>
      <c r="CO342" s="346"/>
      <c r="CP342" s="346">
        <f t="shared" si="368"/>
        <v>1.4999999999999998</v>
      </c>
    </row>
    <row r="343" spans="1:94" s="344" customFormat="1" ht="16.5" hidden="1" thickBot="1" x14ac:dyDescent="0.3">
      <c r="A343" s="342"/>
      <c r="V343" s="346"/>
      <c r="AA343" s="347"/>
      <c r="AB343" s="347"/>
      <c r="AD343" s="347"/>
      <c r="AE343" s="348"/>
      <c r="AH343" s="349"/>
      <c r="AI343" s="349"/>
      <c r="AK343" s="347"/>
      <c r="AR343" s="347"/>
      <c r="AV343" s="347"/>
      <c r="AX343" s="347"/>
      <c r="BB343" s="347"/>
      <c r="BC343" s="347"/>
      <c r="BF343" s="535">
        <f t="shared" si="369"/>
        <v>5</v>
      </c>
      <c r="BH343" s="364"/>
      <c r="BI343" s="518" t="s">
        <v>721</v>
      </c>
      <c r="BJ343" s="505" t="s">
        <v>627</v>
      </c>
      <c r="BK343" s="511">
        <f>0.25*0.8</f>
        <v>0.2</v>
      </c>
      <c r="BL343" s="505" t="s">
        <v>610</v>
      </c>
      <c r="BM343" s="504">
        <f>0.8/0.8</f>
        <v>1</v>
      </c>
      <c r="BN343" s="504">
        <f>1/0.8</f>
        <v>1.25</v>
      </c>
      <c r="BO343" s="503" t="s">
        <v>417</v>
      </c>
      <c r="BP343" s="473"/>
      <c r="BQ343" s="345"/>
      <c r="BR343" s="345"/>
      <c r="BS343" s="473"/>
      <c r="BT343" s="473"/>
      <c r="BU343" s="473"/>
      <c r="BV343" s="475"/>
      <c r="BW343" s="473"/>
      <c r="BX343" s="511"/>
      <c r="BY343" s="505"/>
      <c r="BZ343" s="475"/>
      <c r="CA343" s="475"/>
      <c r="CB343" s="475"/>
      <c r="CC343" s="473"/>
      <c r="CD343" s="473"/>
      <c r="CE343" s="475"/>
      <c r="CF343" s="475"/>
      <c r="CG343" s="475"/>
      <c r="CH343" s="475"/>
      <c r="CI343" s="473"/>
      <c r="CJ343" s="473"/>
      <c r="CK343" s="475"/>
      <c r="CL343" s="475"/>
      <c r="CM343" s="475"/>
      <c r="CN343" s="360"/>
      <c r="CO343" s="346"/>
      <c r="CP343" s="346">
        <f t="shared" si="368"/>
        <v>1.25</v>
      </c>
    </row>
    <row r="344" spans="1:94" s="344" customFormat="1" ht="16.5" hidden="1" thickBot="1" x14ac:dyDescent="0.3">
      <c r="A344" s="342"/>
      <c r="V344" s="346"/>
      <c r="AA344" s="347"/>
      <c r="AB344" s="347"/>
      <c r="AD344" s="347"/>
      <c r="AE344" s="348"/>
      <c r="AH344" s="349"/>
      <c r="AI344" s="349"/>
      <c r="AK344" s="347"/>
      <c r="AR344" s="347"/>
      <c r="AV344" s="347"/>
      <c r="AX344" s="347"/>
      <c r="BB344" s="347"/>
      <c r="BC344" s="347"/>
      <c r="BF344" s="535">
        <f t="shared" ref="BF344:BF353" si="370">BK344*25</f>
        <v>1.5</v>
      </c>
      <c r="BH344" s="364"/>
      <c r="BI344" s="518" t="s">
        <v>774</v>
      </c>
      <c r="BJ344" s="505" t="s">
        <v>765</v>
      </c>
      <c r="BK344" s="511">
        <v>0.06</v>
      </c>
      <c r="BL344" s="505" t="s">
        <v>764</v>
      </c>
      <c r="BM344" s="504">
        <v>0.57999999999999996</v>
      </c>
      <c r="BN344" s="504">
        <v>1.04</v>
      </c>
      <c r="BO344" s="503" t="s">
        <v>417</v>
      </c>
      <c r="BP344" s="473"/>
      <c r="BQ344" s="345"/>
      <c r="BR344" s="345"/>
      <c r="BS344" s="473"/>
      <c r="BT344" s="473"/>
      <c r="BU344" s="473"/>
      <c r="BV344" s="475"/>
      <c r="BW344" s="473"/>
      <c r="BX344" s="511"/>
      <c r="BY344" s="505"/>
      <c r="BZ344" s="475"/>
      <c r="CA344" s="475"/>
      <c r="CB344" s="475"/>
      <c r="CC344" s="473"/>
      <c r="CD344" s="473"/>
      <c r="CE344" s="475"/>
      <c r="CF344" s="475"/>
      <c r="CG344" s="475"/>
      <c r="CH344" s="475"/>
      <c r="CI344" s="473"/>
      <c r="CJ344" s="473"/>
      <c r="CK344" s="475"/>
      <c r="CL344" s="475"/>
      <c r="CM344" s="475"/>
      <c r="CN344" s="360"/>
      <c r="CO344" s="346"/>
      <c r="CP344" s="346">
        <f t="shared" si="368"/>
        <v>1.04</v>
      </c>
    </row>
    <row r="345" spans="1:94" s="344" customFormat="1" ht="16.5" hidden="1" thickBot="1" x14ac:dyDescent="0.3">
      <c r="A345" s="342"/>
      <c r="V345" s="346"/>
      <c r="AA345" s="347"/>
      <c r="AB345" s="347"/>
      <c r="AD345" s="347"/>
      <c r="AE345" s="348"/>
      <c r="AH345" s="349"/>
      <c r="AI345" s="349"/>
      <c r="AK345" s="347"/>
      <c r="AR345" s="347"/>
      <c r="AV345" s="347"/>
      <c r="AX345" s="347"/>
      <c r="BB345" s="347"/>
      <c r="BC345" s="347"/>
      <c r="BF345" s="535">
        <f t="shared" ref="BF345:BF348" si="371">BK345*25</f>
        <v>7.5</v>
      </c>
      <c r="BH345" s="364"/>
      <c r="BI345" s="518" t="s">
        <v>775</v>
      </c>
      <c r="BJ345" s="505" t="s">
        <v>765</v>
      </c>
      <c r="BK345" s="511">
        <v>0.3</v>
      </c>
      <c r="BL345" s="505" t="s">
        <v>764</v>
      </c>
      <c r="BM345" s="504">
        <v>0.57999999999999996</v>
      </c>
      <c r="BN345" s="504">
        <f>0.4/0.3</f>
        <v>1.3333333333333335</v>
      </c>
      <c r="BO345" s="503" t="s">
        <v>417</v>
      </c>
      <c r="BP345" s="473"/>
      <c r="BQ345" s="345"/>
      <c r="BR345" s="345"/>
      <c r="BS345" s="473"/>
      <c r="BT345" s="473"/>
      <c r="BU345" s="473"/>
      <c r="BV345" s="475"/>
      <c r="BW345" s="473"/>
      <c r="BX345" s="511"/>
      <c r="BY345" s="505"/>
      <c r="BZ345" s="475"/>
      <c r="CA345" s="475"/>
      <c r="CB345" s="475"/>
      <c r="CC345" s="473"/>
      <c r="CD345" s="473"/>
      <c r="CE345" s="475"/>
      <c r="CF345" s="475"/>
      <c r="CG345" s="475"/>
      <c r="CH345" s="475"/>
      <c r="CI345" s="473"/>
      <c r="CJ345" s="473"/>
      <c r="CK345" s="475"/>
      <c r="CL345" s="475"/>
      <c r="CM345" s="475"/>
      <c r="CN345" s="360"/>
      <c r="CO345" s="346"/>
      <c r="CP345" s="346">
        <f t="shared" si="368"/>
        <v>1.3333333333333335</v>
      </c>
    </row>
    <row r="346" spans="1:94" s="344" customFormat="1" ht="26.25" hidden="1" thickBot="1" x14ac:dyDescent="0.3">
      <c r="A346" s="342"/>
      <c r="V346" s="346"/>
      <c r="AA346" s="347"/>
      <c r="AB346" s="347"/>
      <c r="AD346" s="347"/>
      <c r="AE346" s="348"/>
      <c r="AH346" s="349"/>
      <c r="AI346" s="349"/>
      <c r="AK346" s="347"/>
      <c r="AR346" s="347"/>
      <c r="AV346" s="347"/>
      <c r="AX346" s="347"/>
      <c r="BB346" s="347"/>
      <c r="BC346" s="347"/>
      <c r="BF346" s="535">
        <f t="shared" si="371"/>
        <v>0</v>
      </c>
      <c r="BG346" s="343">
        <f>0.4*21</f>
        <v>8.4</v>
      </c>
      <c r="BH346" s="364"/>
      <c r="BI346" s="518" t="s">
        <v>776</v>
      </c>
      <c r="BJ346" s="505" t="s">
        <v>765</v>
      </c>
      <c r="BK346" s="511">
        <v>0</v>
      </c>
      <c r="BL346" s="505" t="s">
        <v>764</v>
      </c>
      <c r="BM346" s="504">
        <f>0.8/0.8</f>
        <v>1</v>
      </c>
      <c r="BN346" s="504">
        <f>1/0.8</f>
        <v>1.25</v>
      </c>
      <c r="BO346" s="503" t="s">
        <v>417</v>
      </c>
      <c r="BP346" s="473"/>
      <c r="BQ346" s="345"/>
      <c r="BR346" s="345"/>
      <c r="BS346" s="473"/>
      <c r="BT346" s="473"/>
      <c r="BU346" s="473"/>
      <c r="BV346" s="475"/>
      <c r="BW346" s="473"/>
      <c r="BX346" s="511"/>
      <c r="BY346" s="505"/>
      <c r="BZ346" s="475"/>
      <c r="CA346" s="475"/>
      <c r="CB346" s="475"/>
      <c r="CC346" s="473"/>
      <c r="CD346" s="473"/>
      <c r="CE346" s="475"/>
      <c r="CF346" s="475"/>
      <c r="CG346" s="475"/>
      <c r="CH346" s="475"/>
      <c r="CI346" s="473"/>
      <c r="CJ346" s="473"/>
      <c r="CK346" s="475"/>
      <c r="CL346" s="475"/>
      <c r="CM346" s="475"/>
      <c r="CN346" s="360"/>
      <c r="CO346" s="346"/>
      <c r="CP346" s="346">
        <f t="shared" si="368"/>
        <v>1.25</v>
      </c>
    </row>
    <row r="347" spans="1:94" s="344" customFormat="1" ht="16.5" hidden="1" thickBot="1" x14ac:dyDescent="0.3">
      <c r="A347" s="342"/>
      <c r="V347" s="346"/>
      <c r="AA347" s="347"/>
      <c r="AB347" s="347"/>
      <c r="AD347" s="347"/>
      <c r="AE347" s="348"/>
      <c r="AH347" s="349"/>
      <c r="AI347" s="349"/>
      <c r="AK347" s="347"/>
      <c r="AR347" s="347"/>
      <c r="AV347" s="347"/>
      <c r="AX347" s="347"/>
      <c r="BB347" s="347"/>
      <c r="BC347" s="347"/>
      <c r="BF347" s="535">
        <f t="shared" si="371"/>
        <v>0</v>
      </c>
      <c r="BH347" s="364"/>
      <c r="BI347" s="518" t="s">
        <v>777</v>
      </c>
      <c r="BJ347" s="505" t="s">
        <v>765</v>
      </c>
      <c r="BK347" s="511">
        <v>0</v>
      </c>
      <c r="BL347" s="505" t="s">
        <v>764</v>
      </c>
      <c r="BM347" s="504">
        <f>0.8/0.8</f>
        <v>1</v>
      </c>
      <c r="BN347" s="504">
        <f>1/0.8</f>
        <v>1.25</v>
      </c>
      <c r="BO347" s="503" t="s">
        <v>417</v>
      </c>
      <c r="BP347" s="473"/>
      <c r="BQ347" s="345"/>
      <c r="BR347" s="345"/>
      <c r="BS347" s="473"/>
      <c r="BT347" s="473"/>
      <c r="BU347" s="473"/>
      <c r="BV347" s="475"/>
      <c r="BW347" s="473"/>
      <c r="BX347" s="511"/>
      <c r="BY347" s="505"/>
      <c r="BZ347" s="475"/>
      <c r="CA347" s="475"/>
      <c r="CB347" s="475"/>
      <c r="CC347" s="473"/>
      <c r="CD347" s="473"/>
      <c r="CE347" s="475"/>
      <c r="CF347" s="475"/>
      <c r="CG347" s="475"/>
      <c r="CH347" s="475"/>
      <c r="CI347" s="473"/>
      <c r="CJ347" s="473"/>
      <c r="CK347" s="475"/>
      <c r="CL347" s="475"/>
      <c r="CM347" s="475"/>
      <c r="CN347" s="360"/>
      <c r="CO347" s="346"/>
      <c r="CP347" s="346">
        <f t="shared" si="368"/>
        <v>1.25</v>
      </c>
    </row>
    <row r="348" spans="1:94" s="344" customFormat="1" ht="16.5" hidden="1" thickBot="1" x14ac:dyDescent="0.3">
      <c r="A348" s="342"/>
      <c r="V348" s="346"/>
      <c r="AA348" s="347"/>
      <c r="AB348" s="347"/>
      <c r="AD348" s="347"/>
      <c r="AE348" s="348"/>
      <c r="AH348" s="349"/>
      <c r="AI348" s="349"/>
      <c r="AK348" s="347"/>
      <c r="AR348" s="347"/>
      <c r="AU348" s="549"/>
      <c r="AV348" s="347"/>
      <c r="AX348" s="347"/>
      <c r="BB348" s="347"/>
      <c r="BC348" s="347"/>
      <c r="BF348" s="535">
        <f t="shared" si="371"/>
        <v>4.5</v>
      </c>
      <c r="BH348" s="364"/>
      <c r="BI348" s="518" t="s">
        <v>778</v>
      </c>
      <c r="BJ348" s="505" t="s">
        <v>765</v>
      </c>
      <c r="BK348" s="511">
        <v>0.18</v>
      </c>
      <c r="BL348" s="505" t="s">
        <v>764</v>
      </c>
      <c r="BM348" s="504">
        <v>0.42</v>
      </c>
      <c r="BN348" s="504">
        <f>0.3/0.2</f>
        <v>1.4999999999999998</v>
      </c>
      <c r="BO348" s="503" t="s">
        <v>417</v>
      </c>
      <c r="BP348" s="473"/>
      <c r="BQ348" s="345"/>
      <c r="BR348" s="345"/>
      <c r="BS348" s="473"/>
      <c r="BT348" s="473"/>
      <c r="BU348" s="473"/>
      <c r="BV348" s="475"/>
      <c r="BW348" s="473"/>
      <c r="BX348" s="511"/>
      <c r="BY348" s="505"/>
      <c r="BZ348" s="475"/>
      <c r="CA348" s="475"/>
      <c r="CB348" s="475"/>
      <c r="CC348" s="473"/>
      <c r="CD348" s="473"/>
      <c r="CE348" s="475"/>
      <c r="CF348" s="475"/>
      <c r="CG348" s="475"/>
      <c r="CH348" s="475"/>
      <c r="CI348" s="473"/>
      <c r="CJ348" s="473"/>
      <c r="CK348" s="475"/>
      <c r="CL348" s="475"/>
      <c r="CM348" s="475"/>
      <c r="CN348" s="360"/>
      <c r="CO348" s="346"/>
      <c r="CP348" s="346">
        <f t="shared" si="368"/>
        <v>1.4999999999999998</v>
      </c>
    </row>
    <row r="349" spans="1:94" s="344" customFormat="1" ht="16.5" hidden="1" thickBot="1" x14ac:dyDescent="0.3">
      <c r="A349" s="342"/>
      <c r="V349" s="346"/>
      <c r="AA349" s="347"/>
      <c r="AB349" s="347"/>
      <c r="AD349" s="347"/>
      <c r="AE349" s="348"/>
      <c r="AH349" s="349"/>
      <c r="AI349" s="349"/>
      <c r="AK349" s="347"/>
      <c r="AR349" s="347"/>
      <c r="AV349" s="347"/>
      <c r="AX349" s="347"/>
      <c r="BB349" s="347"/>
      <c r="BC349" s="347"/>
      <c r="BF349" s="535">
        <f t="shared" si="370"/>
        <v>12</v>
      </c>
      <c r="BH349" s="364"/>
      <c r="BI349" s="518" t="s">
        <v>779</v>
      </c>
      <c r="BJ349" s="505" t="s">
        <v>765</v>
      </c>
      <c r="BK349" s="511">
        <v>0.48</v>
      </c>
      <c r="BL349" s="505" t="s">
        <v>764</v>
      </c>
      <c r="BM349" s="504">
        <v>0.32</v>
      </c>
      <c r="BN349" s="504">
        <f>0.4/0.3</f>
        <v>1.3333333333333335</v>
      </c>
      <c r="BO349" s="503" t="s">
        <v>417</v>
      </c>
      <c r="BP349" s="473"/>
      <c r="BQ349" s="345"/>
      <c r="BR349" s="345"/>
      <c r="BS349" s="473"/>
      <c r="BT349" s="473"/>
      <c r="BU349" s="473"/>
      <c r="BV349" s="475"/>
      <c r="BW349" s="473"/>
      <c r="BX349" s="511"/>
      <c r="BY349" s="505"/>
      <c r="BZ349" s="475"/>
      <c r="CA349" s="475"/>
      <c r="CB349" s="475"/>
      <c r="CC349" s="473"/>
      <c r="CD349" s="473"/>
      <c r="CE349" s="475"/>
      <c r="CF349" s="475"/>
      <c r="CG349" s="475"/>
      <c r="CH349" s="475"/>
      <c r="CI349" s="473"/>
      <c r="CJ349" s="473"/>
      <c r="CK349" s="475"/>
      <c r="CL349" s="475"/>
      <c r="CM349" s="475"/>
      <c r="CN349" s="360"/>
      <c r="CO349" s="346"/>
      <c r="CP349" s="346">
        <f t="shared" si="368"/>
        <v>1.3333333333333335</v>
      </c>
    </row>
    <row r="350" spans="1:94" s="344" customFormat="1" ht="16.5" hidden="1" thickBot="1" x14ac:dyDescent="0.3">
      <c r="A350" s="342"/>
      <c r="V350" s="346"/>
      <c r="AA350" s="347"/>
      <c r="AB350" s="347"/>
      <c r="AD350" s="347"/>
      <c r="AE350" s="348"/>
      <c r="AH350" s="349"/>
      <c r="AI350" s="349"/>
      <c r="AK350" s="347"/>
      <c r="AR350" s="347"/>
      <c r="AV350" s="347"/>
      <c r="AX350" s="347"/>
      <c r="BB350" s="347"/>
      <c r="BC350" s="347"/>
      <c r="BF350" s="535">
        <f t="shared" si="370"/>
        <v>12</v>
      </c>
      <c r="BG350" s="343">
        <f>0.4*21</f>
        <v>8.4</v>
      </c>
      <c r="BH350" s="364"/>
      <c r="BI350" s="518" t="s">
        <v>780</v>
      </c>
      <c r="BJ350" s="505" t="s">
        <v>765</v>
      </c>
      <c r="BK350" s="511">
        <v>0.48</v>
      </c>
      <c r="BL350" s="505" t="s">
        <v>764</v>
      </c>
      <c r="BM350" s="504">
        <v>0.32</v>
      </c>
      <c r="BN350" s="504">
        <f>1/0.8</f>
        <v>1.25</v>
      </c>
      <c r="BO350" s="503" t="s">
        <v>417</v>
      </c>
      <c r="BP350" s="473"/>
      <c r="BQ350" s="345"/>
      <c r="BR350" s="345"/>
      <c r="BS350" s="473"/>
      <c r="BT350" s="473"/>
      <c r="BU350" s="473"/>
      <c r="BV350" s="475"/>
      <c r="BW350" s="473"/>
      <c r="BX350" s="511"/>
      <c r="BY350" s="505"/>
      <c r="BZ350" s="475"/>
      <c r="CA350" s="475"/>
      <c r="CB350" s="475"/>
      <c r="CC350" s="473"/>
      <c r="CD350" s="473"/>
      <c r="CE350" s="475"/>
      <c r="CF350" s="475"/>
      <c r="CG350" s="475"/>
      <c r="CH350" s="475"/>
      <c r="CI350" s="473"/>
      <c r="CJ350" s="473"/>
      <c r="CK350" s="475"/>
      <c r="CL350" s="475"/>
      <c r="CM350" s="475"/>
      <c r="CN350" s="360"/>
      <c r="CO350" s="346"/>
      <c r="CP350" s="346">
        <f t="shared" si="368"/>
        <v>1.25</v>
      </c>
    </row>
    <row r="351" spans="1:94" s="344" customFormat="1" ht="16.5" hidden="1" thickBot="1" x14ac:dyDescent="0.3">
      <c r="A351" s="342"/>
      <c r="V351" s="346"/>
      <c r="AA351" s="347"/>
      <c r="AB351" s="347"/>
      <c r="AD351" s="347"/>
      <c r="AE351" s="348"/>
      <c r="AH351" s="349"/>
      <c r="AI351" s="349"/>
      <c r="AK351" s="347"/>
      <c r="AR351" s="347"/>
      <c r="AV351" s="347"/>
      <c r="AX351" s="347"/>
      <c r="BB351" s="347"/>
      <c r="BC351" s="347"/>
      <c r="BF351" s="535">
        <f t="shared" si="370"/>
        <v>3</v>
      </c>
      <c r="BH351" s="364"/>
      <c r="BI351" s="518" t="s">
        <v>781</v>
      </c>
      <c r="BJ351" s="505" t="s">
        <v>765</v>
      </c>
      <c r="BK351" s="511">
        <v>0.12</v>
      </c>
      <c r="BL351" s="505" t="s">
        <v>764</v>
      </c>
      <c r="BM351" s="504">
        <v>0.42</v>
      </c>
      <c r="BN351" s="504">
        <f>1/0.8</f>
        <v>1.25</v>
      </c>
      <c r="BO351" s="503" t="s">
        <v>417</v>
      </c>
      <c r="BP351" s="473"/>
      <c r="BQ351" s="345"/>
      <c r="BR351" s="345"/>
      <c r="BS351" s="473"/>
      <c r="BT351" s="473"/>
      <c r="BU351" s="473"/>
      <c r="BV351" s="475"/>
      <c r="BW351" s="473"/>
      <c r="BX351" s="511"/>
      <c r="BY351" s="505"/>
      <c r="BZ351" s="475"/>
      <c r="CA351" s="475"/>
      <c r="CB351" s="475"/>
      <c r="CC351" s="473"/>
      <c r="CD351" s="473"/>
      <c r="CE351" s="475"/>
      <c r="CF351" s="475"/>
      <c r="CG351" s="475"/>
      <c r="CH351" s="475"/>
      <c r="CI351" s="473"/>
      <c r="CJ351" s="473"/>
      <c r="CK351" s="475"/>
      <c r="CL351" s="475"/>
      <c r="CM351" s="475"/>
      <c r="CN351" s="360"/>
      <c r="CO351" s="346"/>
      <c r="CP351" s="346">
        <f t="shared" si="368"/>
        <v>1.25</v>
      </c>
    </row>
    <row r="352" spans="1:94" s="344" customFormat="1" ht="16.5" hidden="1" thickBot="1" x14ac:dyDescent="0.3">
      <c r="A352" s="342"/>
      <c r="V352" s="346"/>
      <c r="AA352" s="347"/>
      <c r="AB352" s="347"/>
      <c r="AD352" s="347"/>
      <c r="AE352" s="348"/>
      <c r="AH352" s="349"/>
      <c r="AI352" s="349"/>
      <c r="AK352" s="347"/>
      <c r="AR352" s="347"/>
      <c r="AU352" s="549"/>
      <c r="AV352" s="347"/>
      <c r="AX352" s="347"/>
      <c r="BB352" s="347"/>
      <c r="BC352" s="347"/>
      <c r="BF352" s="535">
        <f t="shared" si="370"/>
        <v>12</v>
      </c>
      <c r="BH352" s="364"/>
      <c r="BI352" s="518" t="s">
        <v>782</v>
      </c>
      <c r="BJ352" s="505" t="s">
        <v>765</v>
      </c>
      <c r="BK352" s="511">
        <v>0.48</v>
      </c>
      <c r="BL352" s="505" t="s">
        <v>764</v>
      </c>
      <c r="BM352" s="504">
        <v>0.42</v>
      </c>
      <c r="BN352" s="504">
        <f>0.3/0.2</f>
        <v>1.4999999999999998</v>
      </c>
      <c r="BO352" s="503" t="s">
        <v>417</v>
      </c>
      <c r="BP352" s="473"/>
      <c r="BQ352" s="345"/>
      <c r="BR352" s="345"/>
      <c r="BS352" s="473"/>
      <c r="BT352" s="473"/>
      <c r="BU352" s="473"/>
      <c r="BV352" s="475"/>
      <c r="BW352" s="473"/>
      <c r="BX352" s="511"/>
      <c r="BY352" s="505"/>
      <c r="BZ352" s="475"/>
      <c r="CA352" s="475"/>
      <c r="CB352" s="475"/>
      <c r="CC352" s="473"/>
      <c r="CD352" s="473"/>
      <c r="CE352" s="475"/>
      <c r="CF352" s="475"/>
      <c r="CG352" s="475"/>
      <c r="CH352" s="475"/>
      <c r="CI352" s="473"/>
      <c r="CJ352" s="473"/>
      <c r="CK352" s="475"/>
      <c r="CL352" s="475"/>
      <c r="CM352" s="475"/>
      <c r="CN352" s="360"/>
      <c r="CO352" s="346"/>
      <c r="CP352" s="346">
        <f t="shared" si="368"/>
        <v>1.4999999999999998</v>
      </c>
    </row>
    <row r="353" spans="1:94" s="344" customFormat="1" ht="16.5" hidden="1" thickBot="1" x14ac:dyDescent="0.3">
      <c r="A353" s="342"/>
      <c r="V353" s="346"/>
      <c r="AA353" s="347"/>
      <c r="AB353" s="347"/>
      <c r="AD353" s="347"/>
      <c r="AE353" s="348"/>
      <c r="AH353" s="349"/>
      <c r="AI353" s="349"/>
      <c r="AK353" s="347"/>
      <c r="AR353" s="347"/>
      <c r="AV353" s="347"/>
      <c r="AX353" s="347"/>
      <c r="BB353" s="347"/>
      <c r="BC353" s="347"/>
      <c r="BF353" s="535">
        <f t="shared" si="370"/>
        <v>7.5</v>
      </c>
      <c r="BH353" s="364"/>
      <c r="BI353" s="518" t="s">
        <v>783</v>
      </c>
      <c r="BJ353" s="505" t="s">
        <v>765</v>
      </c>
      <c r="BK353" s="511">
        <v>0.3</v>
      </c>
      <c r="BL353" s="505" t="s">
        <v>764</v>
      </c>
      <c r="BM353" s="504">
        <v>0.3</v>
      </c>
      <c r="BN353" s="504">
        <f>1/0.8</f>
        <v>1.25</v>
      </c>
      <c r="BO353" s="503" t="s">
        <v>417</v>
      </c>
      <c r="BP353" s="473"/>
      <c r="BQ353" s="345"/>
      <c r="BR353" s="345"/>
      <c r="BS353" s="473"/>
      <c r="BT353" s="473"/>
      <c r="BU353" s="473"/>
      <c r="BV353" s="475"/>
      <c r="BW353" s="473"/>
      <c r="BX353" s="511"/>
      <c r="BY353" s="505"/>
      <c r="BZ353" s="475"/>
      <c r="CA353" s="475"/>
      <c r="CB353" s="475"/>
      <c r="CC353" s="473"/>
      <c r="CD353" s="473"/>
      <c r="CE353" s="475"/>
      <c r="CF353" s="475"/>
      <c r="CG353" s="475"/>
      <c r="CH353" s="475"/>
      <c r="CI353" s="473"/>
      <c r="CJ353" s="473"/>
      <c r="CK353" s="475"/>
      <c r="CL353" s="475"/>
      <c r="CM353" s="475"/>
      <c r="CN353" s="360"/>
      <c r="CO353" s="346"/>
      <c r="CP353" s="346">
        <f t="shared" si="368"/>
        <v>1.25</v>
      </c>
    </row>
    <row r="354" spans="1:94" s="343" customFormat="1" ht="16.5" hidden="1" thickBot="1" x14ac:dyDescent="0.3">
      <c r="A354" s="398"/>
      <c r="V354" s="534"/>
      <c r="AA354" s="535"/>
      <c r="AB354" s="535"/>
      <c r="AD354" s="535"/>
      <c r="AE354" s="536"/>
      <c r="AH354" s="537"/>
      <c r="AI354" s="537"/>
      <c r="AK354" s="535"/>
      <c r="AR354" s="535"/>
      <c r="BD354" s="535"/>
      <c r="BF354" s="535"/>
      <c r="BH354" s="569" t="s">
        <v>486</v>
      </c>
      <c r="BI354" s="588" t="s">
        <v>766</v>
      </c>
      <c r="BJ354" s="505" t="s">
        <v>627</v>
      </c>
      <c r="BK354" s="511">
        <v>0.2</v>
      </c>
      <c r="BL354" s="505" t="s">
        <v>610</v>
      </c>
      <c r="BM354" s="504">
        <v>0.05</v>
      </c>
      <c r="BN354" s="504">
        <v>0.39</v>
      </c>
      <c r="BO354" s="503" t="s">
        <v>417</v>
      </c>
      <c r="BP354" s="540"/>
      <c r="BS354" s="540"/>
      <c r="BT354" s="540"/>
      <c r="BU354" s="540"/>
      <c r="BV354" s="541"/>
      <c r="BW354" s="540"/>
      <c r="BX354" s="539">
        <f>0.25*0.9*25</f>
        <v>5.625</v>
      </c>
      <c r="BY354" s="538" t="s">
        <v>457</v>
      </c>
      <c r="BZ354" s="541"/>
      <c r="CA354" s="541"/>
      <c r="CB354" s="541"/>
      <c r="CC354" s="540"/>
      <c r="CD354" s="540"/>
      <c r="CE354" s="541"/>
      <c r="CF354" s="541"/>
      <c r="CG354" s="541"/>
      <c r="CH354" s="541"/>
      <c r="CI354" s="540"/>
      <c r="CJ354" s="540"/>
      <c r="CK354" s="541"/>
      <c r="CL354" s="541"/>
      <c r="CM354" s="541"/>
      <c r="CN354" s="541"/>
      <c r="CO354" s="346">
        <v>0.05</v>
      </c>
      <c r="CP354" s="346">
        <f t="shared" si="368"/>
        <v>0.39</v>
      </c>
    </row>
    <row r="355" spans="1:94" s="343" customFormat="1" ht="16.5" hidden="1" thickBot="1" x14ac:dyDescent="0.3">
      <c r="A355" s="398"/>
      <c r="V355" s="534"/>
      <c r="AA355" s="535"/>
      <c r="AB355" s="535"/>
      <c r="AD355" s="535"/>
      <c r="AE355" s="536"/>
      <c r="AH355" s="537"/>
      <c r="AI355" s="537"/>
      <c r="AK355" s="535"/>
      <c r="AR355" s="535"/>
      <c r="BD355" s="535"/>
      <c r="BF355" s="535"/>
      <c r="BH355" s="569" t="s">
        <v>486</v>
      </c>
      <c r="BI355" s="588" t="s">
        <v>784</v>
      </c>
      <c r="BJ355" s="505" t="s">
        <v>765</v>
      </c>
      <c r="BK355" s="511">
        <v>0.48</v>
      </c>
      <c r="BL355" s="505" t="s">
        <v>764</v>
      </c>
      <c r="BM355" s="504">
        <v>0.05</v>
      </c>
      <c r="BN355" s="504">
        <v>0.32</v>
      </c>
      <c r="BO355" s="503" t="s">
        <v>417</v>
      </c>
      <c r="BP355" s="540"/>
      <c r="BS355" s="540"/>
      <c r="BT355" s="540"/>
      <c r="BU355" s="540"/>
      <c r="BV355" s="541"/>
      <c r="BW355" s="540"/>
      <c r="BX355" s="539">
        <f>0.25*0.9*25</f>
        <v>5.625</v>
      </c>
      <c r="BY355" s="538" t="s">
        <v>457</v>
      </c>
      <c r="BZ355" s="541"/>
      <c r="CA355" s="541"/>
      <c r="CB355" s="541"/>
      <c r="CC355" s="540"/>
      <c r="CD355" s="540"/>
      <c r="CE355" s="541"/>
      <c r="CF355" s="541"/>
      <c r="CG355" s="541"/>
      <c r="CH355" s="541"/>
      <c r="CI355" s="540"/>
      <c r="CJ355" s="540"/>
      <c r="CK355" s="541"/>
      <c r="CL355" s="541"/>
      <c r="CM355" s="541"/>
      <c r="CN355" s="541"/>
      <c r="CO355" s="346">
        <v>0.05</v>
      </c>
      <c r="CP355" s="346">
        <f t="shared" si="368"/>
        <v>0.32</v>
      </c>
    </row>
    <row r="356" spans="1:94" s="343" customFormat="1" ht="16.5" hidden="1" thickBot="1" x14ac:dyDescent="0.3">
      <c r="A356" s="398"/>
      <c r="V356" s="534"/>
      <c r="AA356" s="535"/>
      <c r="AB356" s="535"/>
      <c r="AD356" s="535"/>
      <c r="AE356" s="536"/>
      <c r="AH356" s="537"/>
      <c r="AI356" s="537"/>
      <c r="AK356" s="535"/>
      <c r="AR356" s="535"/>
      <c r="BF356" s="343" t="s">
        <v>696</v>
      </c>
      <c r="BG356" s="536">
        <f>AV371</f>
        <v>5.497666666666666E-2</v>
      </c>
      <c r="BH356" s="569" t="s">
        <v>186</v>
      </c>
      <c r="BI356" s="518" t="s">
        <v>844</v>
      </c>
      <c r="BJ356" s="505" t="s">
        <v>510</v>
      </c>
      <c r="BK356" s="570">
        <f>AV371</f>
        <v>5.497666666666666E-2</v>
      </c>
      <c r="BL356" s="505" t="s">
        <v>623</v>
      </c>
      <c r="BM356" s="504">
        <v>0.05</v>
      </c>
      <c r="BN356" s="504">
        <v>0.3</v>
      </c>
      <c r="BO356" s="503" t="s">
        <v>417</v>
      </c>
      <c r="BP356" s="540"/>
      <c r="BS356" s="540"/>
      <c r="BT356" s="540"/>
      <c r="BU356" s="540"/>
      <c r="BV356" s="541"/>
      <c r="BW356" s="540"/>
      <c r="BX356" s="539"/>
      <c r="BY356" s="538"/>
      <c r="BZ356" s="541"/>
      <c r="CA356" s="541"/>
      <c r="CB356" s="541"/>
      <c r="CC356" s="540"/>
      <c r="CD356" s="540"/>
      <c r="CE356" s="541"/>
      <c r="CF356" s="541"/>
      <c r="CG356" s="541"/>
      <c r="CH356" s="541"/>
      <c r="CI356" s="540"/>
      <c r="CJ356" s="540"/>
      <c r="CK356" s="541"/>
      <c r="CL356" s="541"/>
      <c r="CM356" s="541"/>
      <c r="CN356" s="541"/>
      <c r="CO356" s="346">
        <v>0.28999999999999998</v>
      </c>
      <c r="CP356" s="346">
        <f t="shared" si="368"/>
        <v>0.3</v>
      </c>
    </row>
    <row r="357" spans="1:94" s="343" customFormat="1" ht="16.5" hidden="1" thickBot="1" x14ac:dyDescent="0.3">
      <c r="A357" s="398"/>
      <c r="V357" s="534"/>
      <c r="AA357" s="535"/>
      <c r="AB357" s="535"/>
      <c r="AD357" s="535"/>
      <c r="AE357" s="536"/>
      <c r="AH357" s="537"/>
      <c r="AI357" s="537"/>
      <c r="AK357" s="535"/>
      <c r="AR357" s="535"/>
      <c r="BG357" s="536"/>
      <c r="BH357" s="569"/>
      <c r="BI357" s="518" t="s">
        <v>845</v>
      </c>
      <c r="BJ357" s="505" t="s">
        <v>510</v>
      </c>
      <c r="BK357" s="570">
        <f>AW371</f>
        <v>2.748833333333333E-2</v>
      </c>
      <c r="BL357" s="505" t="s">
        <v>623</v>
      </c>
      <c r="BM357" s="504">
        <v>0.05</v>
      </c>
      <c r="BN357" s="504">
        <v>0.3</v>
      </c>
      <c r="BO357" s="503" t="s">
        <v>417</v>
      </c>
      <c r="BP357" s="540"/>
      <c r="BS357" s="540"/>
      <c r="BT357" s="540"/>
      <c r="BU357" s="540"/>
      <c r="BV357" s="541"/>
      <c r="BW357" s="540"/>
      <c r="BX357" s="539"/>
      <c r="BY357" s="538"/>
      <c r="BZ357" s="541"/>
      <c r="CA357" s="541"/>
      <c r="CB357" s="541"/>
      <c r="CC357" s="540"/>
      <c r="CD357" s="540"/>
      <c r="CE357" s="541"/>
      <c r="CF357" s="541"/>
      <c r="CG357" s="541"/>
      <c r="CH357" s="541"/>
      <c r="CI357" s="540"/>
      <c r="CJ357" s="540"/>
      <c r="CK357" s="541"/>
      <c r="CL357" s="541"/>
      <c r="CM357" s="541"/>
      <c r="CN357" s="541"/>
      <c r="CO357" s="346"/>
      <c r="CP357" s="346">
        <f t="shared" si="368"/>
        <v>0.3</v>
      </c>
    </row>
    <row r="358" spans="1:94" s="343" customFormat="1" ht="16.5" hidden="1" thickBot="1" x14ac:dyDescent="0.3">
      <c r="A358" s="398"/>
      <c r="V358" s="534"/>
      <c r="AA358" s="535"/>
      <c r="AB358" s="535"/>
      <c r="AD358" s="535"/>
      <c r="AE358" s="536"/>
      <c r="AH358" s="537"/>
      <c r="AI358" s="537"/>
      <c r="AK358" s="535"/>
      <c r="AR358" s="535"/>
      <c r="BG358" s="536"/>
      <c r="BH358" s="569"/>
      <c r="BI358" s="518" t="s">
        <v>846</v>
      </c>
      <c r="BJ358" s="505" t="s">
        <v>510</v>
      </c>
      <c r="BK358" s="570">
        <f>AX371</f>
        <v>3.9583199999999999E-2</v>
      </c>
      <c r="BL358" s="505" t="s">
        <v>623</v>
      </c>
      <c r="BM358" s="504">
        <v>0.05</v>
      </c>
      <c r="BN358" s="504">
        <v>0.3</v>
      </c>
      <c r="BO358" s="503" t="s">
        <v>417</v>
      </c>
      <c r="BP358" s="540"/>
      <c r="BS358" s="540"/>
      <c r="BT358" s="540"/>
      <c r="BU358" s="540"/>
      <c r="BV358" s="541"/>
      <c r="BW358" s="540"/>
      <c r="BX358" s="539"/>
      <c r="BY358" s="538"/>
      <c r="BZ358" s="541"/>
      <c r="CA358" s="541"/>
      <c r="CB358" s="541"/>
      <c r="CC358" s="540"/>
      <c r="CD358" s="540"/>
      <c r="CE358" s="541"/>
      <c r="CF358" s="541"/>
      <c r="CG358" s="541"/>
      <c r="CH358" s="541"/>
      <c r="CI358" s="540"/>
      <c r="CJ358" s="540"/>
      <c r="CK358" s="541"/>
      <c r="CL358" s="541"/>
      <c r="CM358" s="541"/>
      <c r="CN358" s="541"/>
      <c r="CO358" s="346"/>
      <c r="CP358" s="346">
        <f t="shared" si="368"/>
        <v>0.3</v>
      </c>
    </row>
    <row r="359" spans="1:94" s="343" customFormat="1" ht="16.5" hidden="1" thickBot="1" x14ac:dyDescent="0.3">
      <c r="A359" s="398"/>
      <c r="V359" s="534"/>
      <c r="AA359" s="535"/>
      <c r="AB359" s="535"/>
      <c r="AD359" s="535"/>
      <c r="AE359" s="536"/>
      <c r="AH359" s="537"/>
      <c r="AI359" s="537"/>
      <c r="AK359" s="535"/>
      <c r="AR359" s="535"/>
      <c r="BG359" s="536"/>
      <c r="BH359" s="569"/>
      <c r="BI359" s="518" t="s">
        <v>847</v>
      </c>
      <c r="BJ359" s="505" t="s">
        <v>510</v>
      </c>
      <c r="BK359" s="570">
        <f>AY371</f>
        <v>1.9791599999999999E-2</v>
      </c>
      <c r="BL359" s="505" t="s">
        <v>623</v>
      </c>
      <c r="BM359" s="504">
        <v>0.05</v>
      </c>
      <c r="BN359" s="504">
        <v>0.3</v>
      </c>
      <c r="BO359" s="503" t="s">
        <v>417</v>
      </c>
      <c r="BP359" s="540"/>
      <c r="BS359" s="540"/>
      <c r="BT359" s="540"/>
      <c r="BU359" s="540"/>
      <c r="BV359" s="541"/>
      <c r="BW359" s="540"/>
      <c r="BX359" s="539"/>
      <c r="BY359" s="538"/>
      <c r="BZ359" s="541"/>
      <c r="CA359" s="541"/>
      <c r="CB359" s="541"/>
      <c r="CC359" s="540"/>
      <c r="CD359" s="540"/>
      <c r="CE359" s="541"/>
      <c r="CF359" s="541"/>
      <c r="CG359" s="541"/>
      <c r="CH359" s="541"/>
      <c r="CI359" s="540"/>
      <c r="CJ359" s="540"/>
      <c r="CK359" s="541"/>
      <c r="CL359" s="541"/>
      <c r="CM359" s="541"/>
      <c r="CN359" s="541"/>
      <c r="CO359" s="346"/>
      <c r="CP359" s="346">
        <f t="shared" si="368"/>
        <v>0.3</v>
      </c>
    </row>
    <row r="360" spans="1:94" s="343" customFormat="1" ht="16.5" hidden="1" thickBot="1" x14ac:dyDescent="0.3">
      <c r="A360" s="398"/>
      <c r="V360" s="534"/>
      <c r="AA360" s="535"/>
      <c r="AB360" s="535"/>
      <c r="AD360" s="535"/>
      <c r="AE360" s="536"/>
      <c r="AH360" s="537"/>
      <c r="AI360" s="537"/>
      <c r="AK360" s="535"/>
      <c r="AR360" s="535"/>
      <c r="BG360" s="536"/>
      <c r="BH360" s="569"/>
      <c r="BI360" s="518" t="s">
        <v>848</v>
      </c>
      <c r="BJ360" s="505" t="s">
        <v>510</v>
      </c>
      <c r="BK360" s="570">
        <f>AZ371</f>
        <v>2.9687399999999996E-2</v>
      </c>
      <c r="BL360" s="505" t="s">
        <v>623</v>
      </c>
      <c r="BM360" s="504">
        <v>0.05</v>
      </c>
      <c r="BN360" s="504">
        <v>0.3</v>
      </c>
      <c r="BO360" s="503" t="s">
        <v>417</v>
      </c>
      <c r="BP360" s="540"/>
      <c r="BS360" s="540"/>
      <c r="BT360" s="540"/>
      <c r="BU360" s="540"/>
      <c r="BV360" s="541"/>
      <c r="BW360" s="540"/>
      <c r="BX360" s="539"/>
      <c r="BY360" s="538"/>
      <c r="BZ360" s="541"/>
      <c r="CA360" s="541"/>
      <c r="CB360" s="541"/>
      <c r="CC360" s="540"/>
      <c r="CD360" s="540"/>
      <c r="CE360" s="541"/>
      <c r="CF360" s="541"/>
      <c r="CG360" s="541"/>
      <c r="CH360" s="541"/>
      <c r="CI360" s="540"/>
      <c r="CJ360" s="540"/>
      <c r="CK360" s="541"/>
      <c r="CL360" s="541"/>
      <c r="CM360" s="541"/>
      <c r="CN360" s="541"/>
      <c r="CO360" s="346"/>
      <c r="CP360" s="346">
        <f t="shared" si="368"/>
        <v>0.3</v>
      </c>
    </row>
    <row r="361" spans="1:94" s="343" customFormat="1" ht="16.5" hidden="1" thickBot="1" x14ac:dyDescent="0.3">
      <c r="A361" s="398"/>
      <c r="V361" s="534"/>
      <c r="AA361" s="535"/>
      <c r="AB361" s="535"/>
      <c r="AD361" s="535"/>
      <c r="AE361" s="536"/>
      <c r="AH361" s="537"/>
      <c r="AI361" s="537"/>
      <c r="AK361" s="535"/>
      <c r="AR361" s="535"/>
      <c r="BG361" s="536"/>
      <c r="BH361" s="569"/>
      <c r="BI361" s="588" t="s">
        <v>785</v>
      </c>
      <c r="BJ361" s="505" t="s">
        <v>510</v>
      </c>
      <c r="BK361" s="570">
        <f>AV372</f>
        <v>1.6666666666666666E-2</v>
      </c>
      <c r="BL361" s="505" t="s">
        <v>623</v>
      </c>
      <c r="BM361" s="504">
        <v>0.05</v>
      </c>
      <c r="BN361" s="504">
        <v>0.3</v>
      </c>
      <c r="BO361" s="503" t="s">
        <v>417</v>
      </c>
      <c r="BP361" s="540"/>
      <c r="BS361" s="540"/>
      <c r="BT361" s="540"/>
      <c r="BU361" s="540"/>
      <c r="BV361" s="541"/>
      <c r="BW361" s="540"/>
      <c r="BX361" s="539"/>
      <c r="BY361" s="538"/>
      <c r="BZ361" s="541"/>
      <c r="CA361" s="541"/>
      <c r="CB361" s="541"/>
      <c r="CC361" s="540"/>
      <c r="CD361" s="540"/>
      <c r="CE361" s="541"/>
      <c r="CF361" s="541"/>
      <c r="CG361" s="541"/>
      <c r="CH361" s="541"/>
      <c r="CI361" s="540"/>
      <c r="CJ361" s="540"/>
      <c r="CK361" s="541"/>
      <c r="CL361" s="541"/>
      <c r="CM361" s="541"/>
      <c r="CN361" s="541"/>
      <c r="CO361" s="346"/>
      <c r="CP361" s="346">
        <f t="shared" si="368"/>
        <v>0.3</v>
      </c>
    </row>
    <row r="362" spans="1:94" s="343" customFormat="1" ht="16.5" hidden="1" thickBot="1" x14ac:dyDescent="0.3">
      <c r="A362" s="398"/>
      <c r="V362" s="534"/>
      <c r="AA362" s="535"/>
      <c r="AB362" s="535"/>
      <c r="AD362" s="535"/>
      <c r="AE362" s="536"/>
      <c r="AH362" s="537"/>
      <c r="AI362" s="537"/>
      <c r="AK362" s="535"/>
      <c r="AR362" s="535"/>
      <c r="BG362" s="536"/>
      <c r="BH362" s="569"/>
      <c r="BI362" s="518" t="s">
        <v>849</v>
      </c>
      <c r="BJ362" s="505" t="s">
        <v>510</v>
      </c>
      <c r="BK362" s="570">
        <f>AV373</f>
        <v>4.9999999999999996E-2</v>
      </c>
      <c r="BL362" s="505" t="s">
        <v>623</v>
      </c>
      <c r="BM362" s="504">
        <v>0.05</v>
      </c>
      <c r="BN362" s="504">
        <v>0.3</v>
      </c>
      <c r="BO362" s="503" t="s">
        <v>417</v>
      </c>
      <c r="BP362" s="540"/>
      <c r="BS362" s="540"/>
      <c r="BT362" s="540"/>
      <c r="BU362" s="540"/>
      <c r="BV362" s="541"/>
      <c r="BW362" s="540"/>
      <c r="BX362" s="539"/>
      <c r="BY362" s="538"/>
      <c r="BZ362" s="541"/>
      <c r="CA362" s="541"/>
      <c r="CB362" s="541"/>
      <c r="CC362" s="540"/>
      <c r="CD362" s="540"/>
      <c r="CE362" s="541"/>
      <c r="CF362" s="541"/>
      <c r="CG362" s="541"/>
      <c r="CH362" s="541"/>
      <c r="CI362" s="540"/>
      <c r="CJ362" s="540"/>
      <c r="CK362" s="541"/>
      <c r="CL362" s="541"/>
      <c r="CM362" s="541"/>
      <c r="CN362" s="541"/>
      <c r="CO362" s="346"/>
      <c r="CP362" s="346">
        <f t="shared" si="368"/>
        <v>0.3</v>
      </c>
    </row>
    <row r="363" spans="1:94" s="343" customFormat="1" ht="16.5" hidden="1" thickBot="1" x14ac:dyDescent="0.3">
      <c r="A363" s="398"/>
      <c r="V363" s="534"/>
      <c r="AA363" s="535"/>
      <c r="AB363" s="535"/>
      <c r="AD363" s="535"/>
      <c r="AE363" s="536"/>
      <c r="AH363" s="537"/>
      <c r="AI363" s="537"/>
      <c r="AK363" s="535"/>
      <c r="AR363" s="535"/>
      <c r="AV363" s="343">
        <f>(0.449*0.15)+(0.171*0.4)+(0.047*0.43)+(0.026*0.24)+(0.007*0.39)</f>
        <v>0.16492999999999999</v>
      </c>
      <c r="BG363" s="536"/>
      <c r="BH363" s="569"/>
      <c r="BI363" s="518" t="s">
        <v>850</v>
      </c>
      <c r="BJ363" s="505" t="s">
        <v>510</v>
      </c>
      <c r="BK363" s="570">
        <f>AV373</f>
        <v>4.9999999999999996E-2</v>
      </c>
      <c r="BL363" s="505" t="s">
        <v>623</v>
      </c>
      <c r="BM363" s="504">
        <v>0.05</v>
      </c>
      <c r="BN363" s="504">
        <v>0.3</v>
      </c>
      <c r="BO363" s="503" t="s">
        <v>417</v>
      </c>
      <c r="BP363" s="540"/>
      <c r="BS363" s="540"/>
      <c r="BT363" s="540"/>
      <c r="BU363" s="540"/>
      <c r="BV363" s="541"/>
      <c r="BW363" s="540"/>
      <c r="BX363" s="539"/>
      <c r="BY363" s="538"/>
      <c r="BZ363" s="541"/>
      <c r="CA363" s="541"/>
      <c r="CB363" s="541"/>
      <c r="CC363" s="540"/>
      <c r="CD363" s="540"/>
      <c r="CE363" s="541"/>
      <c r="CF363" s="541"/>
      <c r="CG363" s="541"/>
      <c r="CH363" s="541"/>
      <c r="CI363" s="540"/>
      <c r="CJ363" s="540"/>
      <c r="CK363" s="541"/>
      <c r="CL363" s="541"/>
      <c r="CM363" s="541"/>
      <c r="CN363" s="541"/>
      <c r="CO363" s="346"/>
      <c r="CP363" s="346">
        <f t="shared" si="368"/>
        <v>0.3</v>
      </c>
    </row>
    <row r="364" spans="1:94" s="343" customFormat="1" ht="16.5" hidden="1" thickBot="1" x14ac:dyDescent="0.3">
      <c r="A364" s="398"/>
      <c r="V364" s="534"/>
      <c r="AA364" s="535"/>
      <c r="AB364" s="535"/>
      <c r="AD364" s="535"/>
      <c r="AE364" s="536"/>
      <c r="AH364" s="537"/>
      <c r="AI364" s="537"/>
      <c r="AK364" s="535"/>
      <c r="AR364" s="535"/>
      <c r="BG364" s="536"/>
      <c r="BH364" s="569"/>
      <c r="BI364" s="518" t="s">
        <v>851</v>
      </c>
      <c r="BJ364" s="505" t="s">
        <v>510</v>
      </c>
      <c r="BK364" s="570">
        <f t="shared" ref="BK364:BK369" si="372">AV375</f>
        <v>7.9999999999999988E-2</v>
      </c>
      <c r="BL364" s="505" t="s">
        <v>623</v>
      </c>
      <c r="BM364" s="504">
        <v>0.05</v>
      </c>
      <c r="BN364" s="504">
        <v>0.3</v>
      </c>
      <c r="BO364" s="503" t="s">
        <v>417</v>
      </c>
      <c r="BP364" s="540"/>
      <c r="BS364" s="540"/>
      <c r="BT364" s="540"/>
      <c r="BU364" s="540"/>
      <c r="BV364" s="541"/>
      <c r="BW364" s="540"/>
      <c r="BX364" s="539"/>
      <c r="BY364" s="538"/>
      <c r="BZ364" s="541"/>
      <c r="CA364" s="541"/>
      <c r="CB364" s="541"/>
      <c r="CC364" s="540"/>
      <c r="CD364" s="540"/>
      <c r="CE364" s="541"/>
      <c r="CF364" s="541"/>
      <c r="CG364" s="541"/>
      <c r="CH364" s="541"/>
      <c r="CI364" s="540"/>
      <c r="CJ364" s="540"/>
      <c r="CK364" s="541"/>
      <c r="CL364" s="541"/>
      <c r="CM364" s="541"/>
      <c r="CN364" s="541"/>
      <c r="CO364" s="346"/>
      <c r="CP364" s="346">
        <f t="shared" si="368"/>
        <v>0.3</v>
      </c>
    </row>
    <row r="365" spans="1:94" s="343" customFormat="1" ht="16.5" hidden="1" thickBot="1" x14ac:dyDescent="0.3">
      <c r="A365" s="398"/>
      <c r="V365" s="534"/>
      <c r="AA365" s="535"/>
      <c r="AB365" s="535"/>
      <c r="AD365" s="535"/>
      <c r="AE365" s="536"/>
      <c r="AH365" s="537"/>
      <c r="AI365" s="537"/>
      <c r="AK365" s="535"/>
      <c r="AR365" s="535"/>
      <c r="BG365" s="536"/>
      <c r="BH365" s="569"/>
      <c r="BI365" s="518" t="s">
        <v>852</v>
      </c>
      <c r="BJ365" s="505" t="s">
        <v>510</v>
      </c>
      <c r="BK365" s="570">
        <f t="shared" si="372"/>
        <v>0.14333333333333331</v>
      </c>
      <c r="BL365" s="505" t="s">
        <v>623</v>
      </c>
      <c r="BM365" s="504">
        <v>0.05</v>
      </c>
      <c r="BN365" s="504">
        <v>0.3</v>
      </c>
      <c r="BO365" s="503" t="s">
        <v>417</v>
      </c>
      <c r="BP365" s="540"/>
      <c r="BS365" s="540"/>
      <c r="BT365" s="540"/>
      <c r="BU365" s="540"/>
      <c r="BV365" s="541"/>
      <c r="BW365" s="540"/>
      <c r="BX365" s="539"/>
      <c r="BY365" s="538"/>
      <c r="BZ365" s="541"/>
      <c r="CA365" s="541"/>
      <c r="CB365" s="541"/>
      <c r="CC365" s="540"/>
      <c r="CD365" s="540"/>
      <c r="CE365" s="541"/>
      <c r="CF365" s="541"/>
      <c r="CG365" s="541"/>
      <c r="CH365" s="541"/>
      <c r="CI365" s="540"/>
      <c r="CJ365" s="540"/>
      <c r="CK365" s="541"/>
      <c r="CL365" s="541"/>
      <c r="CM365" s="541"/>
      <c r="CN365" s="541"/>
      <c r="CO365" s="346"/>
      <c r="CP365" s="346">
        <f t="shared" si="368"/>
        <v>0.3</v>
      </c>
    </row>
    <row r="366" spans="1:94" s="343" customFormat="1" ht="16.5" hidden="1" thickBot="1" x14ac:dyDescent="0.3">
      <c r="A366" s="398"/>
      <c r="V366" s="534"/>
      <c r="AA366" s="535"/>
      <c r="AB366" s="535"/>
      <c r="AD366" s="535"/>
      <c r="AE366" s="536"/>
      <c r="AH366" s="537"/>
      <c r="AI366" s="537"/>
      <c r="AK366" s="535"/>
      <c r="AR366" s="535"/>
      <c r="BG366" s="536"/>
      <c r="BH366" s="569"/>
      <c r="BI366" s="518" t="s">
        <v>853</v>
      </c>
      <c r="BJ366" s="505" t="s">
        <v>510</v>
      </c>
      <c r="BK366" s="570">
        <f t="shared" si="372"/>
        <v>0.13333333333333333</v>
      </c>
      <c r="BL366" s="505" t="s">
        <v>623</v>
      </c>
      <c r="BM366" s="504">
        <v>0.05</v>
      </c>
      <c r="BN366" s="504">
        <v>0.3</v>
      </c>
      <c r="BO366" s="503" t="s">
        <v>417</v>
      </c>
      <c r="BP366" s="540"/>
      <c r="BS366" s="540"/>
      <c r="BT366" s="540"/>
      <c r="BU366" s="540"/>
      <c r="BV366" s="541"/>
      <c r="BW366" s="540"/>
      <c r="BX366" s="539"/>
      <c r="BY366" s="538"/>
      <c r="BZ366" s="541"/>
      <c r="CA366" s="541"/>
      <c r="CB366" s="541"/>
      <c r="CC366" s="540"/>
      <c r="CD366" s="540"/>
      <c r="CE366" s="541"/>
      <c r="CF366" s="541"/>
      <c r="CG366" s="541"/>
      <c r="CH366" s="541"/>
      <c r="CI366" s="540"/>
      <c r="CJ366" s="540"/>
      <c r="CK366" s="541"/>
      <c r="CL366" s="541"/>
      <c r="CM366" s="541"/>
      <c r="CN366" s="541"/>
      <c r="CO366" s="346"/>
      <c r="CP366" s="346">
        <f t="shared" si="368"/>
        <v>0.3</v>
      </c>
    </row>
    <row r="367" spans="1:94" s="343" customFormat="1" ht="16.5" hidden="1" thickBot="1" x14ac:dyDescent="0.3">
      <c r="A367" s="398"/>
      <c r="V367" s="534"/>
      <c r="AA367" s="535"/>
      <c r="AB367" s="535"/>
      <c r="AD367" s="535"/>
      <c r="AE367" s="536"/>
      <c r="AH367" s="537"/>
      <c r="AI367" s="537"/>
      <c r="AK367" s="535"/>
      <c r="AR367" s="535"/>
      <c r="BG367" s="536"/>
      <c r="BH367" s="569"/>
      <c r="BI367" s="518" t="s">
        <v>854</v>
      </c>
      <c r="BJ367" s="505" t="s">
        <v>510</v>
      </c>
      <c r="BK367" s="570">
        <f t="shared" si="372"/>
        <v>0.13</v>
      </c>
      <c r="BL367" s="505" t="s">
        <v>623</v>
      </c>
      <c r="BM367" s="504">
        <v>0.05</v>
      </c>
      <c r="BN367" s="504">
        <v>0.3</v>
      </c>
      <c r="BO367" s="503" t="s">
        <v>417</v>
      </c>
      <c r="BP367" s="540"/>
      <c r="BS367" s="540"/>
      <c r="BT367" s="540"/>
      <c r="BU367" s="540"/>
      <c r="BV367" s="541"/>
      <c r="BW367" s="540"/>
      <c r="BX367" s="539"/>
      <c r="BY367" s="538"/>
      <c r="BZ367" s="541"/>
      <c r="CA367" s="541"/>
      <c r="CB367" s="541"/>
      <c r="CC367" s="540"/>
      <c r="CD367" s="540"/>
      <c r="CE367" s="541"/>
      <c r="CF367" s="541"/>
      <c r="CG367" s="541"/>
      <c r="CH367" s="541"/>
      <c r="CI367" s="540"/>
      <c r="CJ367" s="540"/>
      <c r="CK367" s="541"/>
      <c r="CL367" s="541"/>
      <c r="CM367" s="541"/>
      <c r="CN367" s="541"/>
      <c r="CO367" s="346"/>
      <c r="CP367" s="346">
        <f t="shared" si="368"/>
        <v>0.3</v>
      </c>
    </row>
    <row r="368" spans="1:94" s="343" customFormat="1" ht="16.5" hidden="1" thickBot="1" x14ac:dyDescent="0.3">
      <c r="A368" s="398"/>
      <c r="V368" s="534"/>
      <c r="AA368" s="535"/>
      <c r="AB368" s="535"/>
      <c r="AD368" s="535"/>
      <c r="AE368" s="536"/>
      <c r="AH368" s="537"/>
      <c r="AI368" s="537"/>
      <c r="AK368" s="535"/>
      <c r="AR368" s="535"/>
      <c r="BG368" s="536"/>
      <c r="BH368" s="569"/>
      <c r="BI368" s="518" t="s">
        <v>855</v>
      </c>
      <c r="BJ368" s="505" t="s">
        <v>510</v>
      </c>
      <c r="BK368" s="570">
        <f t="shared" si="372"/>
        <v>1.3333333333333332E-2</v>
      </c>
      <c r="BL368" s="505" t="s">
        <v>623</v>
      </c>
      <c r="BM368" s="504">
        <v>0.05</v>
      </c>
      <c r="BN368" s="504">
        <v>0.3</v>
      </c>
      <c r="BO368" s="503" t="s">
        <v>417</v>
      </c>
      <c r="BP368" s="540"/>
      <c r="BS368" s="540"/>
      <c r="BT368" s="540"/>
      <c r="BU368" s="540"/>
      <c r="BV368" s="541"/>
      <c r="BW368" s="540"/>
      <c r="BX368" s="539"/>
      <c r="BY368" s="538"/>
      <c r="BZ368" s="541"/>
      <c r="CA368" s="541"/>
      <c r="CB368" s="541"/>
      <c r="CC368" s="540"/>
      <c r="CD368" s="540"/>
      <c r="CE368" s="541"/>
      <c r="CF368" s="541"/>
      <c r="CG368" s="541"/>
      <c r="CH368" s="541"/>
      <c r="CI368" s="540"/>
      <c r="CJ368" s="540"/>
      <c r="CK368" s="541"/>
      <c r="CL368" s="541"/>
      <c r="CM368" s="541"/>
      <c r="CN368" s="541"/>
      <c r="CO368" s="346"/>
      <c r="CP368" s="346">
        <f t="shared" si="368"/>
        <v>0.3</v>
      </c>
    </row>
    <row r="369" spans="1:110" s="343" customFormat="1" ht="16.5" hidden="1" thickBot="1" x14ac:dyDescent="0.3">
      <c r="A369" s="398"/>
      <c r="V369" s="534"/>
      <c r="AA369" s="535"/>
      <c r="AB369" s="535"/>
      <c r="AD369" s="535"/>
      <c r="AE369" s="536"/>
      <c r="AH369" s="537"/>
      <c r="AI369" s="537"/>
      <c r="AK369" s="535"/>
      <c r="AR369" s="535"/>
      <c r="AV369" s="556" t="s">
        <v>703</v>
      </c>
      <c r="BF369" s="343" t="s">
        <v>676</v>
      </c>
      <c r="BG369" s="536">
        <f>AW371</f>
        <v>2.748833333333333E-2</v>
      </c>
      <c r="BH369" s="569"/>
      <c r="BI369" s="518" t="s">
        <v>786</v>
      </c>
      <c r="BJ369" s="505" t="s">
        <v>510</v>
      </c>
      <c r="BK369" s="570">
        <f t="shared" si="372"/>
        <v>3.3333333333333331E-3</v>
      </c>
      <c r="BL369" s="505" t="s">
        <v>623</v>
      </c>
      <c r="BM369" s="504">
        <v>0.05</v>
      </c>
      <c r="BN369" s="504">
        <v>0.3</v>
      </c>
      <c r="BO369" s="503" t="s">
        <v>417</v>
      </c>
      <c r="BP369" s="540"/>
      <c r="BS369" s="540"/>
      <c r="BT369" s="540"/>
      <c r="BU369" s="540"/>
      <c r="BV369" s="541"/>
      <c r="BW369" s="540"/>
      <c r="BX369" s="539"/>
      <c r="BY369" s="538"/>
      <c r="BZ369" s="541"/>
      <c r="CA369" s="541"/>
      <c r="CB369" s="541"/>
      <c r="CC369" s="540"/>
      <c r="CD369" s="540"/>
      <c r="CE369" s="541"/>
      <c r="CF369" s="541"/>
      <c r="CG369" s="541"/>
      <c r="CH369" s="541"/>
      <c r="CI369" s="540"/>
      <c r="CJ369" s="540"/>
      <c r="CK369" s="541"/>
      <c r="CL369" s="541"/>
      <c r="CM369" s="541"/>
      <c r="CN369" s="541"/>
      <c r="CO369" s="346"/>
      <c r="CP369" s="346">
        <f t="shared" si="368"/>
        <v>0.3</v>
      </c>
    </row>
    <row r="370" spans="1:110" s="344" customFormat="1" ht="29.25" hidden="1" thickBot="1" x14ac:dyDescent="0.3">
      <c r="A370" s="342"/>
      <c r="V370" s="346"/>
      <c r="AA370" s="347"/>
      <c r="AB370" s="347"/>
      <c r="AD370" s="347"/>
      <c r="AE370" s="348"/>
      <c r="AH370" s="349"/>
      <c r="AI370" s="349"/>
      <c r="AK370" s="347"/>
      <c r="AR370" s="347"/>
      <c r="AT370" s="543"/>
      <c r="AU370" s="544" t="s">
        <v>683</v>
      </c>
      <c r="AV370" s="543" t="s">
        <v>695</v>
      </c>
      <c r="AW370" s="543" t="s">
        <v>678</v>
      </c>
      <c r="AX370" s="543" t="s">
        <v>760</v>
      </c>
      <c r="AY370" s="543" t="s">
        <v>679</v>
      </c>
      <c r="AZ370" s="543" t="s">
        <v>682</v>
      </c>
      <c r="BA370" s="545" t="s">
        <v>221</v>
      </c>
      <c r="BB370" s="546" t="s">
        <v>702</v>
      </c>
      <c r="BC370" s="546" t="s">
        <v>224</v>
      </c>
      <c r="BF370" s="343" t="s">
        <v>681</v>
      </c>
      <c r="BG370" s="536">
        <f>AX371</f>
        <v>3.9583199999999999E-2</v>
      </c>
      <c r="BH370" s="364" t="s">
        <v>186</v>
      </c>
      <c r="BI370" s="518" t="s">
        <v>769</v>
      </c>
      <c r="BJ370" s="505" t="s">
        <v>675</v>
      </c>
      <c r="BK370" s="511">
        <v>5.6000000000000004E-7</v>
      </c>
      <c r="BL370" s="505" t="s">
        <v>623</v>
      </c>
      <c r="BM370" s="504">
        <v>0.1</v>
      </c>
      <c r="BN370" s="504">
        <v>1</v>
      </c>
      <c r="BO370" s="503" t="s">
        <v>417</v>
      </c>
      <c r="BP370" s="505" t="s">
        <v>675</v>
      </c>
      <c r="BQ370" s="511">
        <v>9.7999999999999993E-6</v>
      </c>
      <c r="BR370" s="501" t="s">
        <v>624</v>
      </c>
      <c r="BS370" s="504">
        <v>0.1</v>
      </c>
      <c r="BT370" s="504">
        <v>1</v>
      </c>
      <c r="BU370" s="503" t="s">
        <v>417</v>
      </c>
      <c r="BV370" s="505" t="s">
        <v>675</v>
      </c>
      <c r="BW370" s="511">
        <v>0.14000000000000001</v>
      </c>
      <c r="BX370" s="501" t="s">
        <v>767</v>
      </c>
      <c r="BY370" s="504">
        <v>0.1</v>
      </c>
      <c r="BZ370" s="504">
        <v>1</v>
      </c>
      <c r="CA370" s="503" t="s">
        <v>417</v>
      </c>
      <c r="CB370" s="475"/>
      <c r="CC370" s="473"/>
      <c r="CD370" s="473"/>
      <c r="CE370" s="475"/>
      <c r="CF370" s="475"/>
      <c r="CG370" s="475"/>
      <c r="CH370" s="475"/>
      <c r="CI370" s="473"/>
      <c r="CJ370" s="473"/>
      <c r="CK370" s="475"/>
      <c r="CL370" s="475"/>
      <c r="CM370" s="475"/>
      <c r="CN370" s="360"/>
      <c r="CO370" s="346">
        <v>0.4</v>
      </c>
      <c r="CP370" s="346">
        <f t="shared" si="368"/>
        <v>1</v>
      </c>
    </row>
    <row r="371" spans="1:110" s="344" customFormat="1" ht="29.25" hidden="1" thickBot="1" x14ac:dyDescent="0.3">
      <c r="A371" s="342"/>
      <c r="V371" s="346"/>
      <c r="AA371" s="347"/>
      <c r="AB371" s="347"/>
      <c r="AD371" s="347"/>
      <c r="AE371" s="348"/>
      <c r="AH371" s="349"/>
      <c r="AI371" s="349"/>
      <c r="AK371" s="347"/>
      <c r="AR371" s="347"/>
      <c r="AT371" s="543" t="s">
        <v>685</v>
      </c>
      <c r="AU371" s="542" t="s">
        <v>697</v>
      </c>
      <c r="AV371" s="537">
        <f>((((0.449*0.15)+(0.171*0.4)+(0.047*0.43)+(0.026*0.24)+(0.007*0.39))*0.5*1)*0.5*(16/12))*(1-0)</f>
        <v>5.497666666666666E-2</v>
      </c>
      <c r="AW371" s="537">
        <f>((((0.449*0.15)+(0.171*0.4)+(0.047*0.43)+(0.026*0.24)+(0.007*0.39))*0.5*0.5)*0.5*(16/12))*(1-0)</f>
        <v>2.748833333333333E-2</v>
      </c>
      <c r="AX371" s="537">
        <f>((((0.449*0.15)+(0.171*0.4)+(0.047*0.43)+(0.026*0.24)+(0.007*0.39))*0.5*0.8)*0.5*(16/12))*(1-0.1)</f>
        <v>3.9583199999999999E-2</v>
      </c>
      <c r="AY371" s="537">
        <f>((((0.449*0.15)+(0.171*0.4)+(0.047*0.43)+(0.026*0.24)+(0.007*0.39))*0.5*0.4)*0.5*(16/12))*(1-0.1)</f>
        <v>1.9791599999999999E-2</v>
      </c>
      <c r="AZ371" s="537">
        <f>((((0.449*0.15)+(0.171*0.4)+(0.047*0.43)+(0.026*0.24)+(0.007*0.39))*0.5*0.6)*0.5*(16/12))*(1-0.1)</f>
        <v>2.9687399999999996E-2</v>
      </c>
      <c r="BA371" s="547">
        <f t="shared" ref="BA371:BA380" si="373">AVERAGE(AV371:AZ371)</f>
        <v>3.430544E-2</v>
      </c>
      <c r="BB371" s="547">
        <f t="shared" ref="BB371:BB380" si="374">STDEV(AV371:AZ371)</f>
        <v>1.3542573156662487E-2</v>
      </c>
      <c r="BC371" s="548">
        <f>1-((BA371-((BB371*2.78)/(SQRT(5))))/BA371)</f>
        <v>0.49079258210126564</v>
      </c>
      <c r="BF371" s="343" t="s">
        <v>680</v>
      </c>
      <c r="BG371" s="536">
        <f>AY371</f>
        <v>1.9791599999999999E-2</v>
      </c>
      <c r="BH371" s="364" t="s">
        <v>186</v>
      </c>
      <c r="BI371" s="518" t="s">
        <v>768</v>
      </c>
      <c r="BJ371" s="505" t="s">
        <v>675</v>
      </c>
      <c r="BK371" s="511">
        <v>2.3699999999999999E-4</v>
      </c>
      <c r="BL371" s="505" t="s">
        <v>623</v>
      </c>
      <c r="BM371" s="504">
        <v>0.1</v>
      </c>
      <c r="BN371" s="504">
        <v>1</v>
      </c>
      <c r="BO371" s="503" t="s">
        <v>417</v>
      </c>
      <c r="BP371" s="505" t="s">
        <v>675</v>
      </c>
      <c r="BQ371" s="511">
        <v>6.0000000000000002E-5</v>
      </c>
      <c r="BR371" s="501" t="s">
        <v>624</v>
      </c>
      <c r="BS371" s="504">
        <v>0.1</v>
      </c>
      <c r="BT371" s="504">
        <v>1</v>
      </c>
      <c r="BU371" s="503" t="s">
        <v>417</v>
      </c>
      <c r="BV371" s="505" t="s">
        <v>675</v>
      </c>
      <c r="BW371" s="511">
        <v>0.23</v>
      </c>
      <c r="BX371" s="501" t="s">
        <v>767</v>
      </c>
      <c r="BY371" s="504">
        <v>0.1</v>
      </c>
      <c r="BZ371" s="504">
        <v>1</v>
      </c>
      <c r="CA371" s="503" t="s">
        <v>417</v>
      </c>
      <c r="CB371" s="475"/>
      <c r="CC371" s="473"/>
      <c r="CD371" s="473"/>
      <c r="CE371" s="475"/>
      <c r="CF371" s="475"/>
      <c r="CG371" s="475"/>
      <c r="CH371" s="475"/>
      <c r="CI371" s="473"/>
      <c r="CJ371" s="473"/>
      <c r="CK371" s="475"/>
      <c r="CL371" s="475"/>
      <c r="CM371" s="475"/>
      <c r="CN371" s="360"/>
      <c r="CO371" s="346">
        <v>0.4</v>
      </c>
      <c r="CP371" s="346">
        <f t="shared" si="368"/>
        <v>1</v>
      </c>
    </row>
    <row r="372" spans="1:110" s="344" customFormat="1" ht="29.25" hidden="1" thickBot="1" x14ac:dyDescent="0.3">
      <c r="A372" s="342"/>
      <c r="V372" s="346"/>
      <c r="AA372" s="347"/>
      <c r="AB372" s="347"/>
      <c r="AD372" s="347"/>
      <c r="AE372" s="348"/>
      <c r="AH372" s="349"/>
      <c r="AI372" s="349"/>
      <c r="AK372" s="347"/>
      <c r="AR372" s="347"/>
      <c r="AT372" s="543" t="s">
        <v>761</v>
      </c>
      <c r="AU372" s="542">
        <v>0.05</v>
      </c>
      <c r="AV372" s="537">
        <f>((AU372*0.5*1)*0.5*(16/12))*(1-0)</f>
        <v>1.6666666666666666E-2</v>
      </c>
      <c r="AW372" s="537">
        <f>((AU372*0.5*0.5)*0.5*(16/12))*(1-0)</f>
        <v>8.3333333333333332E-3</v>
      </c>
      <c r="AX372" s="537">
        <f>((AU372*0.5*0.8)*0.5*(16/12))*(1-0.1)</f>
        <v>1.2000000000000002E-2</v>
      </c>
      <c r="AY372" s="537">
        <f t="shared" ref="AY372:AY380" si="375">((AU372*0.5*0.4)*0.5*(16/12))*(1-0.1)</f>
        <v>6.000000000000001E-3</v>
      </c>
      <c r="AZ372" s="537">
        <f t="shared" ref="AZ372:AZ380" si="376">((AU372*0.5*0.6)*0.5*(16/12))*(1-0.1)</f>
        <v>8.9999999999999993E-3</v>
      </c>
      <c r="BA372" s="547">
        <f t="shared" si="373"/>
        <v>1.0400000000000001E-2</v>
      </c>
      <c r="BB372" s="547">
        <f t="shared" si="374"/>
        <v>4.1055517967205765E-3</v>
      </c>
      <c r="BC372" s="548">
        <f>1-((BA372-((BB372*2.78)/(SQRT(5))))/BA372)</f>
        <v>0.49079258210126586</v>
      </c>
      <c r="BF372" s="343" t="s">
        <v>677</v>
      </c>
      <c r="BG372" s="536">
        <f>AZ371</f>
        <v>2.9687399999999996E-2</v>
      </c>
      <c r="BH372" s="364" t="s">
        <v>186</v>
      </c>
      <c r="BI372" s="518" t="s">
        <v>770</v>
      </c>
      <c r="BJ372" s="505" t="s">
        <v>675</v>
      </c>
      <c r="BK372" s="511">
        <v>6.4999999999999997E-3</v>
      </c>
      <c r="BL372" s="505" t="s">
        <v>623</v>
      </c>
      <c r="BM372" s="504">
        <v>0.1</v>
      </c>
      <c r="BN372" s="504">
        <v>1</v>
      </c>
      <c r="BO372" s="503" t="s">
        <v>417</v>
      </c>
      <c r="BP372" s="505" t="s">
        <v>675</v>
      </c>
      <c r="BQ372" s="511">
        <v>1.4999999999999999E-4</v>
      </c>
      <c r="BR372" s="501" t="s">
        <v>624</v>
      </c>
      <c r="BS372" s="504">
        <v>0.1</v>
      </c>
      <c r="BT372" s="504">
        <v>1</v>
      </c>
      <c r="BU372" s="503" t="s">
        <v>417</v>
      </c>
      <c r="BV372" s="505" t="s">
        <v>675</v>
      </c>
      <c r="BW372" s="511">
        <v>1.38</v>
      </c>
      <c r="BX372" s="501" t="s">
        <v>767</v>
      </c>
      <c r="BY372" s="504">
        <v>0.1</v>
      </c>
      <c r="BZ372" s="504">
        <v>1</v>
      </c>
      <c r="CA372" s="503" t="s">
        <v>417</v>
      </c>
      <c r="CB372" s="475"/>
      <c r="CC372" s="473"/>
      <c r="CD372" s="473"/>
      <c r="CE372" s="475"/>
      <c r="CF372" s="475"/>
      <c r="CG372" s="475"/>
      <c r="CH372" s="475"/>
      <c r="CI372" s="473"/>
      <c r="CJ372" s="473"/>
      <c r="CK372" s="475"/>
      <c r="CL372" s="475"/>
      <c r="CM372" s="475"/>
      <c r="CN372" s="360"/>
      <c r="CO372" s="346">
        <v>0.4</v>
      </c>
      <c r="CP372" s="346">
        <f t="shared" si="368"/>
        <v>1</v>
      </c>
    </row>
    <row r="373" spans="1:110" s="344" customFormat="1" ht="29.25" hidden="1" thickBot="1" x14ac:dyDescent="0.3">
      <c r="A373" s="342"/>
      <c r="V373" s="346"/>
      <c r="AA373" s="347"/>
      <c r="AB373" s="347"/>
      <c r="AD373" s="347"/>
      <c r="AE373" s="348"/>
      <c r="AH373" s="349"/>
      <c r="AI373" s="349"/>
      <c r="AK373" s="347"/>
      <c r="AR373" s="347"/>
      <c r="AT373" s="543" t="s">
        <v>684</v>
      </c>
      <c r="AU373" s="542">
        <v>0.15</v>
      </c>
      <c r="AV373" s="537">
        <f>((AU373*0.5*1)*0.5*(16/12))*(1-0)</f>
        <v>4.9999999999999996E-2</v>
      </c>
      <c r="AW373" s="537">
        <f>((AU373*0.5*0.5)*0.5*(16/12))*(1-0)</f>
        <v>2.4999999999999998E-2</v>
      </c>
      <c r="AX373" s="537">
        <f>((AU373*0.5*0.8)*0.5*(16/12))*(1-0.1)</f>
        <v>3.5999999999999997E-2</v>
      </c>
      <c r="AY373" s="537">
        <f t="shared" si="375"/>
        <v>1.7999999999999999E-2</v>
      </c>
      <c r="AZ373" s="537">
        <f t="shared" si="376"/>
        <v>2.7E-2</v>
      </c>
      <c r="BA373" s="547">
        <f t="shared" si="373"/>
        <v>3.1199999999999995E-2</v>
      </c>
      <c r="BB373" s="547">
        <f t="shared" si="374"/>
        <v>1.2316655390161741E-2</v>
      </c>
      <c r="BC373" s="548">
        <f t="shared" ref="BC373:BC380" si="377">1-((BA373-((BB373*2.78)/(SQRT(5))))/BA373)</f>
        <v>0.49079258210126642</v>
      </c>
      <c r="BF373" s="536"/>
      <c r="BG373" s="536"/>
      <c r="BH373" s="364" t="s">
        <v>186</v>
      </c>
      <c r="BI373" s="518" t="s">
        <v>771</v>
      </c>
      <c r="BJ373" s="505" t="s">
        <v>675</v>
      </c>
      <c r="BK373" s="511">
        <v>5.6000000000000004E-7</v>
      </c>
      <c r="BL373" s="505" t="s">
        <v>623</v>
      </c>
      <c r="BM373" s="504">
        <v>0.1</v>
      </c>
      <c r="BN373" s="504">
        <v>1</v>
      </c>
      <c r="BO373" s="503" t="s">
        <v>417</v>
      </c>
      <c r="BP373" s="505" t="s">
        <v>675</v>
      </c>
      <c r="BQ373" s="511">
        <v>1E-4</v>
      </c>
      <c r="BR373" s="501" t="s">
        <v>624</v>
      </c>
      <c r="BS373" s="504">
        <v>0.1</v>
      </c>
      <c r="BT373" s="504">
        <v>1</v>
      </c>
      <c r="BU373" s="503" t="s">
        <v>417</v>
      </c>
      <c r="BV373" s="505" t="s">
        <v>675</v>
      </c>
      <c r="BW373" s="511">
        <v>0.56999999999999995</v>
      </c>
      <c r="BX373" s="501" t="s">
        <v>767</v>
      </c>
      <c r="BY373" s="504">
        <v>0.1</v>
      </c>
      <c r="BZ373" s="504">
        <v>1</v>
      </c>
      <c r="CA373" s="503" t="s">
        <v>417</v>
      </c>
      <c r="CB373" s="475"/>
      <c r="CC373" s="473"/>
      <c r="CD373" s="473"/>
      <c r="CE373" s="475"/>
      <c r="CF373" s="475"/>
      <c r="CG373" s="475"/>
      <c r="CH373" s="475"/>
      <c r="CI373" s="473"/>
      <c r="CJ373" s="473"/>
      <c r="CK373" s="475"/>
      <c r="CL373" s="475"/>
      <c r="CM373" s="475"/>
      <c r="CN373" s="360"/>
      <c r="CO373" s="346">
        <v>0.4</v>
      </c>
      <c r="CP373" s="346">
        <f t="shared" si="368"/>
        <v>1</v>
      </c>
    </row>
    <row r="374" spans="1:110" s="344" customFormat="1" ht="29.25" hidden="1" thickBot="1" x14ac:dyDescent="0.3">
      <c r="A374" s="342"/>
      <c r="V374" s="346"/>
      <c r="AA374" s="347"/>
      <c r="AB374" s="347"/>
      <c r="AD374" s="347"/>
      <c r="AE374" s="348"/>
      <c r="AH374" s="349"/>
      <c r="AI374" s="349"/>
      <c r="AK374" s="347"/>
      <c r="AR374" s="347"/>
      <c r="AT374" s="543" t="s">
        <v>687</v>
      </c>
      <c r="AU374" s="542">
        <v>0.15</v>
      </c>
      <c r="AV374" s="537">
        <f t="shared" ref="AV374:AV380" si="378">((AU374*0.5*1)*0.5*(16/12))*(1-0)</f>
        <v>4.9999999999999996E-2</v>
      </c>
      <c r="AW374" s="537">
        <f t="shared" ref="AW374:AW380" si="379">((AU374*0.5*0.5)*0.5*(16/12))*(1-0)</f>
        <v>2.4999999999999998E-2</v>
      </c>
      <c r="AX374" s="537">
        <f t="shared" ref="AX374:AX380" si="380">((AU374*0.5*0.8)*0.5*(16/12))*(1-0.1)</f>
        <v>3.5999999999999997E-2</v>
      </c>
      <c r="AY374" s="537">
        <f t="shared" si="375"/>
        <v>1.7999999999999999E-2</v>
      </c>
      <c r="AZ374" s="537">
        <f t="shared" si="376"/>
        <v>2.7E-2</v>
      </c>
      <c r="BA374" s="547">
        <f t="shared" si="373"/>
        <v>3.1199999999999995E-2</v>
      </c>
      <c r="BB374" s="547">
        <f t="shared" si="374"/>
        <v>1.2316655390161741E-2</v>
      </c>
      <c r="BC374" s="548">
        <f t="shared" si="377"/>
        <v>0.49079258210126642</v>
      </c>
      <c r="BE374" s="536"/>
      <c r="BF374" s="536"/>
      <c r="BH374" s="364" t="s">
        <v>186</v>
      </c>
      <c r="BI374" s="518" t="s">
        <v>787</v>
      </c>
      <c r="BJ374" s="505" t="s">
        <v>675</v>
      </c>
      <c r="BK374" s="511">
        <v>5.6000000000000004E-7</v>
      </c>
      <c r="BL374" s="505" t="s">
        <v>623</v>
      </c>
      <c r="BM374" s="504">
        <v>0.1</v>
      </c>
      <c r="BN374" s="504">
        <v>1</v>
      </c>
      <c r="BO374" s="503" t="s">
        <v>417</v>
      </c>
      <c r="BP374" s="505" t="s">
        <v>675</v>
      </c>
      <c r="BQ374" s="511">
        <v>4.2000000000000002E-4</v>
      </c>
      <c r="BR374" s="501" t="s">
        <v>624</v>
      </c>
      <c r="BS374" s="504">
        <v>0.1</v>
      </c>
      <c r="BT374" s="504">
        <v>1</v>
      </c>
      <c r="BU374" s="503" t="s">
        <v>417</v>
      </c>
      <c r="BV374" s="505" t="s">
        <v>675</v>
      </c>
      <c r="BW374" s="511">
        <v>0.17</v>
      </c>
      <c r="BX374" s="501" t="s">
        <v>767</v>
      </c>
      <c r="BY374" s="504">
        <v>0.1</v>
      </c>
      <c r="BZ374" s="504">
        <v>1</v>
      </c>
      <c r="CA374" s="503" t="s">
        <v>417</v>
      </c>
      <c r="CB374" s="475"/>
      <c r="CC374" s="473"/>
      <c r="CD374" s="473"/>
      <c r="CE374" s="475"/>
      <c r="CF374" s="475"/>
      <c r="CG374" s="475"/>
      <c r="CH374" s="475"/>
      <c r="CI374" s="473"/>
      <c r="CJ374" s="473"/>
      <c r="CK374" s="475"/>
      <c r="CL374" s="475"/>
      <c r="CM374" s="475"/>
      <c r="CN374" s="360"/>
      <c r="CO374" s="346">
        <v>0.4</v>
      </c>
      <c r="CP374" s="346">
        <f t="shared" si="368"/>
        <v>1</v>
      </c>
    </row>
    <row r="375" spans="1:110" s="344" customFormat="1" ht="29.25" hidden="1" thickBot="1" x14ac:dyDescent="0.3">
      <c r="A375" s="342"/>
      <c r="V375" s="346"/>
      <c r="AA375" s="347"/>
      <c r="AB375" s="347"/>
      <c r="AD375" s="347"/>
      <c r="AE375" s="348"/>
      <c r="AH375" s="349"/>
      <c r="AI375" s="349"/>
      <c r="AK375" s="347"/>
      <c r="AR375" s="347"/>
      <c r="AT375" s="543" t="s">
        <v>686</v>
      </c>
      <c r="AU375" s="542">
        <v>0.24</v>
      </c>
      <c r="AV375" s="537">
        <f t="shared" si="378"/>
        <v>7.9999999999999988E-2</v>
      </c>
      <c r="AW375" s="537">
        <f t="shared" si="379"/>
        <v>3.9999999999999994E-2</v>
      </c>
      <c r="AX375" s="537">
        <f t="shared" si="380"/>
        <v>5.7600000000000005E-2</v>
      </c>
      <c r="AY375" s="537">
        <f t="shared" si="375"/>
        <v>2.8800000000000003E-2</v>
      </c>
      <c r="AZ375" s="537">
        <f t="shared" si="376"/>
        <v>4.3199999999999995E-2</v>
      </c>
      <c r="BA375" s="547">
        <f t="shared" si="373"/>
        <v>4.9919999999999992E-2</v>
      </c>
      <c r="BB375" s="547">
        <f t="shared" si="374"/>
        <v>1.9706648624258784E-2</v>
      </c>
      <c r="BC375" s="548">
        <f t="shared" si="377"/>
        <v>0.49079258210126631</v>
      </c>
      <c r="BE375" s="536"/>
      <c r="BF375" s="536"/>
      <c r="BH375" s="364" t="s">
        <v>186</v>
      </c>
      <c r="BI375" s="518" t="s">
        <v>788</v>
      </c>
      <c r="BJ375" s="505" t="s">
        <v>675</v>
      </c>
      <c r="BK375" s="511">
        <v>9.7000000000000003E-6</v>
      </c>
      <c r="BL375" s="505" t="s">
        <v>623</v>
      </c>
      <c r="BM375" s="504">
        <v>0.1</v>
      </c>
      <c r="BN375" s="504">
        <v>1</v>
      </c>
      <c r="BO375" s="503" t="s">
        <v>417</v>
      </c>
      <c r="BP375" s="505" t="s">
        <v>675</v>
      </c>
      <c r="BQ375" s="511">
        <v>8.9999999999999998E-4</v>
      </c>
      <c r="BR375" s="501" t="s">
        <v>624</v>
      </c>
      <c r="BS375" s="504">
        <v>0.1</v>
      </c>
      <c r="BT375" s="504">
        <v>1</v>
      </c>
      <c r="BU375" s="503" t="s">
        <v>417</v>
      </c>
      <c r="BV375" s="505" t="s">
        <v>675</v>
      </c>
      <c r="BW375" s="511">
        <v>0.57999999999999996</v>
      </c>
      <c r="BX375" s="501" t="s">
        <v>767</v>
      </c>
      <c r="BY375" s="504">
        <v>0.1</v>
      </c>
      <c r="BZ375" s="504">
        <v>1</v>
      </c>
      <c r="CA375" s="503" t="s">
        <v>417</v>
      </c>
      <c r="CB375" s="475"/>
      <c r="CC375" s="473"/>
      <c r="CD375" s="473"/>
      <c r="CE375" s="475"/>
      <c r="CF375" s="475"/>
      <c r="CG375" s="475"/>
      <c r="CH375" s="475"/>
      <c r="CI375" s="473"/>
      <c r="CJ375" s="473"/>
      <c r="CK375" s="475"/>
      <c r="CL375" s="475"/>
      <c r="CM375" s="475"/>
      <c r="CN375" s="360"/>
      <c r="CO375" s="346">
        <v>0.4</v>
      </c>
      <c r="CP375" s="346">
        <f t="shared" si="368"/>
        <v>1</v>
      </c>
    </row>
    <row r="376" spans="1:110" s="344" customFormat="1" ht="29.25" hidden="1" thickBot="1" x14ac:dyDescent="0.3">
      <c r="A376" s="342"/>
      <c r="V376" s="346"/>
      <c r="AA376" s="347"/>
      <c r="AB376" s="347"/>
      <c r="AD376" s="347"/>
      <c r="AE376" s="348"/>
      <c r="AH376" s="349"/>
      <c r="AI376" s="349"/>
      <c r="AK376" s="347"/>
      <c r="AR376" s="347"/>
      <c r="AT376" s="543" t="s">
        <v>688</v>
      </c>
      <c r="AU376" s="542">
        <v>0.43</v>
      </c>
      <c r="AV376" s="537">
        <f t="shared" si="378"/>
        <v>0.14333333333333331</v>
      </c>
      <c r="AW376" s="537">
        <f t="shared" si="379"/>
        <v>7.1666666666666656E-2</v>
      </c>
      <c r="AX376" s="537">
        <f t="shared" si="380"/>
        <v>0.1032</v>
      </c>
      <c r="AY376" s="537">
        <f t="shared" si="375"/>
        <v>5.16E-2</v>
      </c>
      <c r="AZ376" s="537">
        <f t="shared" si="376"/>
        <v>7.7399999999999997E-2</v>
      </c>
      <c r="BA376" s="547">
        <f t="shared" si="373"/>
        <v>8.9439999999999992E-2</v>
      </c>
      <c r="BB376" s="547">
        <f t="shared" si="374"/>
        <v>3.5307745451796956E-2</v>
      </c>
      <c r="BC376" s="548">
        <f t="shared" si="377"/>
        <v>0.49079258210126586</v>
      </c>
      <c r="BE376" s="536"/>
      <c r="BF376" s="536"/>
      <c r="BH376" s="364" t="s">
        <v>186</v>
      </c>
      <c r="BI376" s="518" t="s">
        <v>772</v>
      </c>
      <c r="BJ376" s="505" t="s">
        <v>675</v>
      </c>
      <c r="BK376" s="511">
        <v>9.7000000000000003E-6</v>
      </c>
      <c r="BL376" s="505" t="s">
        <v>623</v>
      </c>
      <c r="BM376" s="504">
        <v>0.1</v>
      </c>
      <c r="BN376" s="504">
        <v>1</v>
      </c>
      <c r="BO376" s="503" t="s">
        <v>417</v>
      </c>
      <c r="BP376" s="505" t="s">
        <v>675</v>
      </c>
      <c r="BQ376" s="511">
        <v>4.4999999999999999E-4</v>
      </c>
      <c r="BR376" s="501" t="s">
        <v>624</v>
      </c>
      <c r="BS376" s="504">
        <v>0.1</v>
      </c>
      <c r="BT376" s="504">
        <v>1</v>
      </c>
      <c r="BU376" s="503" t="s">
        <v>417</v>
      </c>
      <c r="BV376" s="505" t="s">
        <v>675</v>
      </c>
      <c r="BW376" s="511">
        <v>1.47</v>
      </c>
      <c r="BX376" s="501" t="s">
        <v>767</v>
      </c>
      <c r="BY376" s="504">
        <v>0.1</v>
      </c>
      <c r="BZ376" s="504">
        <v>1</v>
      </c>
      <c r="CA376" s="503" t="s">
        <v>417</v>
      </c>
      <c r="CB376" s="475"/>
      <c r="CC376" s="473"/>
      <c r="CD376" s="473"/>
      <c r="CE376" s="475"/>
      <c r="CF376" s="475"/>
      <c r="CG376" s="475"/>
      <c r="CH376" s="475"/>
      <c r="CI376" s="473"/>
      <c r="CJ376" s="473"/>
      <c r="CK376" s="475"/>
      <c r="CL376" s="475"/>
      <c r="CM376" s="475"/>
      <c r="CN376" s="360"/>
      <c r="CO376" s="346">
        <v>0.4</v>
      </c>
      <c r="CP376" s="346">
        <f t="shared" si="368"/>
        <v>1</v>
      </c>
    </row>
    <row r="377" spans="1:110" s="344" customFormat="1" hidden="1" x14ac:dyDescent="0.25">
      <c r="A377" s="342"/>
      <c r="V377" s="346"/>
      <c r="AA377" s="347"/>
      <c r="AB377" s="347"/>
      <c r="AD377" s="347"/>
      <c r="AE377" s="348"/>
      <c r="AH377" s="349"/>
      <c r="AI377" s="349"/>
      <c r="AK377" s="347"/>
      <c r="AR377" s="347"/>
      <c r="AT377" s="543" t="s">
        <v>689</v>
      </c>
      <c r="AU377" s="542">
        <v>0.4</v>
      </c>
      <c r="AV377" s="537">
        <f t="shared" si="378"/>
        <v>0.13333333333333333</v>
      </c>
      <c r="AW377" s="537">
        <f t="shared" si="379"/>
        <v>6.6666666666666666E-2</v>
      </c>
      <c r="AX377" s="537">
        <f t="shared" si="380"/>
        <v>9.6000000000000016E-2</v>
      </c>
      <c r="AY377" s="537">
        <f t="shared" si="375"/>
        <v>4.8000000000000008E-2</v>
      </c>
      <c r="AZ377" s="537">
        <f t="shared" si="376"/>
        <v>7.1999999999999995E-2</v>
      </c>
      <c r="BA377" s="547">
        <f t="shared" si="373"/>
        <v>8.320000000000001E-2</v>
      </c>
      <c r="BB377" s="547">
        <f t="shared" si="374"/>
        <v>3.2844414373764612E-2</v>
      </c>
      <c r="BC377" s="548">
        <f t="shared" si="377"/>
        <v>0.49079258210126586</v>
      </c>
      <c r="BE377" s="536"/>
      <c r="BF377" s="536"/>
      <c r="BH377" s="342"/>
      <c r="BI377" s="345"/>
      <c r="BJ377" s="473"/>
      <c r="BK377" s="473"/>
      <c r="BL377" s="473"/>
      <c r="BM377" s="463"/>
      <c r="BN377" s="463"/>
      <c r="BO377" s="463"/>
      <c r="BP377" s="473"/>
      <c r="BQ377" s="473"/>
      <c r="BR377" s="473"/>
      <c r="BS377" s="473"/>
      <c r="BT377" s="473"/>
      <c r="BU377" s="473"/>
      <c r="BV377" s="475"/>
      <c r="BW377" s="473"/>
      <c r="BX377" s="473"/>
      <c r="BY377" s="475"/>
      <c r="BZ377" s="475"/>
      <c r="CA377" s="475"/>
      <c r="CB377" s="475"/>
      <c r="CC377" s="473"/>
      <c r="CD377" s="473"/>
      <c r="CE377" s="475"/>
      <c r="CF377" s="475"/>
      <c r="CG377" s="475"/>
      <c r="CH377" s="475"/>
      <c r="CI377" s="473"/>
      <c r="CJ377" s="473"/>
      <c r="CK377" s="475"/>
      <c r="CL377" s="475"/>
      <c r="CM377" s="475"/>
      <c r="CN377" s="360"/>
      <c r="CO377" s="346"/>
      <c r="CP377" s="346">
        <f t="shared" si="368"/>
        <v>0</v>
      </c>
    </row>
    <row r="378" spans="1:110" s="344" customFormat="1" ht="18.75" hidden="1" thickBot="1" x14ac:dyDescent="0.3">
      <c r="A378" s="342"/>
      <c r="V378" s="346"/>
      <c r="AA378" s="347"/>
      <c r="AB378" s="347"/>
      <c r="AD378" s="347"/>
      <c r="AE378" s="348"/>
      <c r="AH378" s="349"/>
      <c r="AI378" s="349"/>
      <c r="AK378" s="347"/>
      <c r="AR378" s="347"/>
      <c r="AT378" s="543" t="s">
        <v>690</v>
      </c>
      <c r="AU378" s="542">
        <v>0.39</v>
      </c>
      <c r="AV378" s="537">
        <f t="shared" si="378"/>
        <v>0.13</v>
      </c>
      <c r="AW378" s="537">
        <f t="shared" si="379"/>
        <v>6.5000000000000002E-2</v>
      </c>
      <c r="AX378" s="537">
        <f t="shared" si="380"/>
        <v>9.3600000000000017E-2</v>
      </c>
      <c r="AY378" s="537">
        <f t="shared" si="375"/>
        <v>4.6800000000000008E-2</v>
      </c>
      <c r="AZ378" s="537">
        <f t="shared" si="376"/>
        <v>7.0199999999999985E-2</v>
      </c>
      <c r="BA378" s="547">
        <f t="shared" si="373"/>
        <v>8.1119999999999998E-2</v>
      </c>
      <c r="BB378" s="547">
        <f t="shared" si="374"/>
        <v>3.2023304014420516E-2</v>
      </c>
      <c r="BC378" s="548">
        <f t="shared" si="377"/>
        <v>0.49079258210126619</v>
      </c>
      <c r="BE378" s="535"/>
      <c r="BH378" s="342"/>
      <c r="BI378" s="345"/>
      <c r="BJ378" s="473"/>
      <c r="BK378" s="473"/>
      <c r="BL378" s="473"/>
      <c r="BM378" s="463"/>
      <c r="BN378" s="463"/>
      <c r="BO378" s="463"/>
      <c r="BP378" s="473"/>
      <c r="BQ378" s="473"/>
      <c r="BR378" s="473"/>
      <c r="BS378" s="473"/>
      <c r="BT378" s="473"/>
      <c r="BU378" s="473"/>
      <c r="BV378" s="475"/>
      <c r="BW378" s="473"/>
      <c r="BX378" s="473"/>
      <c r="BY378" s="475"/>
      <c r="BZ378" s="475"/>
      <c r="CA378" s="475"/>
      <c r="CB378" s="345"/>
      <c r="CC378" s="345"/>
      <c r="CD378" s="345"/>
      <c r="CE378" s="345"/>
      <c r="CF378" s="345"/>
      <c r="CG378" s="345"/>
      <c r="CH378" s="345"/>
      <c r="CI378" s="345"/>
      <c r="CJ378" s="345"/>
      <c r="CK378" s="345"/>
      <c r="CL378" s="345"/>
      <c r="CM378" s="345"/>
      <c r="CO378" s="346"/>
      <c r="CP378" s="346">
        <f t="shared" si="368"/>
        <v>0</v>
      </c>
      <c r="CZ378" s="360" t="s">
        <v>562</v>
      </c>
      <c r="DA378" s="360" t="s">
        <v>563</v>
      </c>
      <c r="DC378" s="360" t="s">
        <v>574</v>
      </c>
      <c r="DD378" s="360"/>
      <c r="DE378" s="360"/>
      <c r="DF378" s="360"/>
    </row>
    <row r="379" spans="1:110" s="344" customFormat="1" ht="33" hidden="1" customHeight="1" x14ac:dyDescent="0.25">
      <c r="A379" s="342"/>
      <c r="V379" s="346"/>
      <c r="AA379" s="347"/>
      <c r="AB379" s="347"/>
      <c r="AD379" s="347"/>
      <c r="AE379" s="348"/>
      <c r="AH379" s="349"/>
      <c r="AI379" s="349"/>
      <c r="AK379" s="347"/>
      <c r="AR379" s="347"/>
      <c r="AT379" s="543" t="s">
        <v>698</v>
      </c>
      <c r="AU379" s="542">
        <v>0.04</v>
      </c>
      <c r="AV379" s="537">
        <f t="shared" si="378"/>
        <v>1.3333333333333332E-2</v>
      </c>
      <c r="AW379" s="537">
        <f t="shared" si="379"/>
        <v>6.6666666666666662E-3</v>
      </c>
      <c r="AX379" s="537">
        <f t="shared" si="380"/>
        <v>9.5999999999999992E-3</v>
      </c>
      <c r="AY379" s="537">
        <f t="shared" si="375"/>
        <v>4.7999999999999996E-3</v>
      </c>
      <c r="AZ379" s="537">
        <f t="shared" si="376"/>
        <v>7.2000000000000007E-3</v>
      </c>
      <c r="BA379" s="547">
        <f t="shared" si="373"/>
        <v>8.3199999999999975E-3</v>
      </c>
      <c r="BB379" s="547">
        <f t="shared" si="374"/>
        <v>3.2844414373764635E-3</v>
      </c>
      <c r="BC379" s="548">
        <f t="shared" si="377"/>
        <v>0.49079258210126642</v>
      </c>
      <c r="BE379" s="347"/>
      <c r="BH379" s="342"/>
      <c r="BI379" s="733" t="s">
        <v>512</v>
      </c>
      <c r="BJ379" s="733" t="s">
        <v>412</v>
      </c>
      <c r="BK379" s="733" t="s">
        <v>438</v>
      </c>
      <c r="BL379" s="498"/>
      <c r="BM379" s="733" t="s">
        <v>392</v>
      </c>
      <c r="BN379" s="733" t="s">
        <v>392</v>
      </c>
      <c r="BO379" s="733" t="s">
        <v>399</v>
      </c>
      <c r="BP379" s="473"/>
      <c r="BQ379" s="473"/>
      <c r="BR379" s="473"/>
      <c r="BS379" s="473"/>
      <c r="BT379" s="473"/>
      <c r="BU379" s="473"/>
      <c r="BV379" s="475"/>
      <c r="BW379" s="473"/>
      <c r="BX379" s="473"/>
      <c r="BY379" s="475"/>
      <c r="BZ379" s="475"/>
      <c r="CA379" s="475"/>
      <c r="CB379" s="345"/>
      <c r="CC379" s="345"/>
      <c r="CD379" s="345"/>
      <c r="CE379" s="345"/>
      <c r="CF379" s="345"/>
      <c r="CG379" s="345"/>
      <c r="CH379" s="345"/>
      <c r="CI379" s="345"/>
      <c r="CJ379" s="345"/>
      <c r="CK379" s="345"/>
      <c r="CL379" s="345"/>
      <c r="CM379" s="345"/>
      <c r="CO379" s="346"/>
      <c r="CP379" s="346" t="str">
        <f t="shared" si="368"/>
        <v>Incertidumbre (+/- %)</v>
      </c>
      <c r="CX379" s="344">
        <v>0</v>
      </c>
      <c r="CZ379" s="360" t="s">
        <v>188</v>
      </c>
      <c r="DA379" s="360" t="s">
        <v>187</v>
      </c>
      <c r="DC379" s="360" t="s">
        <v>187</v>
      </c>
      <c r="DD379" s="360"/>
      <c r="DE379" s="360"/>
      <c r="DF379" s="360"/>
    </row>
    <row r="380" spans="1:110" s="344" customFormat="1" ht="15.75" hidden="1" thickBot="1" x14ac:dyDescent="0.3">
      <c r="A380" s="342"/>
      <c r="V380" s="346"/>
      <c r="AA380" s="347"/>
      <c r="AB380" s="347"/>
      <c r="AD380" s="347"/>
      <c r="AE380" s="348"/>
      <c r="AH380" s="349"/>
      <c r="AI380" s="349"/>
      <c r="AK380" s="347"/>
      <c r="AR380" s="347"/>
      <c r="AT380" s="543" t="s">
        <v>691</v>
      </c>
      <c r="AU380" s="542">
        <v>0.01</v>
      </c>
      <c r="AV380" s="537">
        <f t="shared" si="378"/>
        <v>3.3333333333333331E-3</v>
      </c>
      <c r="AW380" s="537">
        <f t="shared" si="379"/>
        <v>1.6666666666666666E-3</v>
      </c>
      <c r="AX380" s="537">
        <f t="shared" si="380"/>
        <v>2.3999999999999998E-3</v>
      </c>
      <c r="AY380" s="537">
        <f t="shared" si="375"/>
        <v>1.1999999999999999E-3</v>
      </c>
      <c r="AZ380" s="537">
        <f t="shared" si="376"/>
        <v>1.8000000000000002E-3</v>
      </c>
      <c r="BA380" s="547">
        <f t="shared" si="373"/>
        <v>2.0799999999999994E-3</v>
      </c>
      <c r="BB380" s="547">
        <f t="shared" si="374"/>
        <v>8.2111035934411534E-4</v>
      </c>
      <c r="BC380" s="548">
        <f t="shared" si="377"/>
        <v>0.49079258210126597</v>
      </c>
      <c r="BE380" s="347"/>
      <c r="BH380" s="342"/>
      <c r="BI380" s="734"/>
      <c r="BJ380" s="734"/>
      <c r="BK380" s="734"/>
      <c r="BL380" s="499" t="s">
        <v>410</v>
      </c>
      <c r="BM380" s="734"/>
      <c r="BN380" s="734"/>
      <c r="BO380" s="734"/>
      <c r="BP380" s="473"/>
      <c r="BQ380" s="473"/>
      <c r="BR380" s="473"/>
      <c r="BS380" s="473"/>
      <c r="BT380" s="473"/>
      <c r="BU380" s="473"/>
      <c r="BV380" s="475"/>
      <c r="BW380" s="473"/>
      <c r="BX380" s="473"/>
      <c r="BY380" s="475"/>
      <c r="BZ380" s="475"/>
      <c r="CA380" s="475"/>
      <c r="CB380" s="345"/>
      <c r="CC380" s="345"/>
      <c r="CD380" s="345"/>
      <c r="CE380" s="345"/>
      <c r="CF380" s="345"/>
      <c r="CG380" s="345"/>
      <c r="CH380" s="345"/>
      <c r="CI380" s="345"/>
      <c r="CJ380" s="345"/>
      <c r="CK380" s="345"/>
      <c r="CL380" s="345"/>
      <c r="CM380" s="345"/>
      <c r="CO380" s="346"/>
      <c r="CP380" s="346">
        <f t="shared" si="368"/>
        <v>0</v>
      </c>
      <c r="CX380" s="344">
        <v>0</v>
      </c>
      <c r="CZ380" s="360">
        <v>0</v>
      </c>
      <c r="DA380" s="360">
        <v>0</v>
      </c>
      <c r="DC380" s="360">
        <v>0</v>
      </c>
      <c r="DD380" s="360"/>
      <c r="DE380" s="360"/>
      <c r="DF380" s="360"/>
    </row>
    <row r="381" spans="1:110" s="344" customFormat="1" ht="39" hidden="1" customHeight="1" thickBot="1" x14ac:dyDescent="0.3">
      <c r="A381" s="342"/>
      <c r="V381" s="346"/>
      <c r="AA381" s="347"/>
      <c r="AB381" s="347"/>
      <c r="AD381" s="347"/>
      <c r="AE381" s="348"/>
      <c r="AH381" s="349"/>
      <c r="AI381" s="349"/>
      <c r="AK381" s="347"/>
      <c r="AR381" s="347"/>
      <c r="AT381" s="343"/>
      <c r="AU381" s="549" t="s">
        <v>221</v>
      </c>
      <c r="AV381" s="550">
        <f>AVERAGE(AV371:AV380)</f>
        <v>6.749766666666665E-2</v>
      </c>
      <c r="AW381" s="550">
        <f>AVERAGE(AW371:AW380)</f>
        <v>3.3748833333333325E-2</v>
      </c>
      <c r="AX381" s="550">
        <f>AVERAGE(AX371:AX380)</f>
        <v>4.8598320000000007E-2</v>
      </c>
      <c r="AY381" s="550">
        <f>AVERAGE(AY371:AY380)</f>
        <v>2.4299160000000004E-2</v>
      </c>
      <c r="AZ381" s="550">
        <f>AVERAGE(AZ371:AZ380)</f>
        <v>3.6448739999999993E-2</v>
      </c>
      <c r="BB381" s="347"/>
      <c r="BC381" s="347"/>
      <c r="BE381" s="347"/>
      <c r="BH381" s="364" t="s">
        <v>137</v>
      </c>
      <c r="BI381" s="586" t="s">
        <v>699</v>
      </c>
      <c r="BJ381" s="505" t="s">
        <v>189</v>
      </c>
      <c r="BK381" s="511">
        <v>84.62</v>
      </c>
      <c r="BL381" s="505" t="s">
        <v>611</v>
      </c>
      <c r="BM381" s="504">
        <v>0.2</v>
      </c>
      <c r="BN381" s="504">
        <v>0.5</v>
      </c>
      <c r="BO381" s="503" t="s">
        <v>661</v>
      </c>
      <c r="BP381" s="473"/>
      <c r="BQ381" s="511">
        <v>1425</v>
      </c>
      <c r="BR381" s="505" t="s">
        <v>612</v>
      </c>
      <c r="BS381" s="473"/>
      <c r="BT381" s="473"/>
      <c r="BU381" s="473"/>
      <c r="BV381" s="475"/>
      <c r="BW381" s="473"/>
      <c r="BX381" s="473"/>
      <c r="BY381" s="475"/>
      <c r="BZ381" s="475"/>
      <c r="CA381" s="475"/>
      <c r="CB381" s="345"/>
      <c r="CC381" s="345"/>
      <c r="CD381" s="345"/>
      <c r="CE381" s="345"/>
      <c r="CF381" s="345"/>
      <c r="CG381" s="345"/>
      <c r="CH381" s="345"/>
      <c r="CI381" s="345"/>
      <c r="CJ381" s="345"/>
      <c r="CK381" s="345"/>
      <c r="CL381" s="345"/>
      <c r="CM381" s="345"/>
      <c r="CO381" s="346">
        <v>0.2</v>
      </c>
      <c r="CP381" s="346">
        <f t="shared" si="368"/>
        <v>0.5</v>
      </c>
      <c r="CW381" s="344" t="s">
        <v>137</v>
      </c>
      <c r="CX381" s="344" t="s">
        <v>140</v>
      </c>
      <c r="CY381" s="344" t="s">
        <v>189</v>
      </c>
      <c r="CZ381" s="360">
        <v>57</v>
      </c>
      <c r="DA381" s="386">
        <f>+CZ381*21</f>
        <v>1197</v>
      </c>
      <c r="DB381" s="360" t="s">
        <v>560</v>
      </c>
      <c r="DC381" s="360">
        <f t="shared" ref="DC381:DC397" si="381">+CZ381*25</f>
        <v>1425</v>
      </c>
      <c r="DD381" s="360"/>
      <c r="DE381" s="360"/>
      <c r="DF381" s="360"/>
    </row>
    <row r="382" spans="1:110" s="344" customFormat="1" ht="39" hidden="1" customHeight="1" thickBot="1" x14ac:dyDescent="0.3">
      <c r="A382" s="342"/>
      <c r="V382" s="346"/>
      <c r="AA382" s="347"/>
      <c r="AB382" s="347"/>
      <c r="AD382" s="347"/>
      <c r="AE382" s="348"/>
      <c r="AH382" s="349"/>
      <c r="AI382" s="349"/>
      <c r="AK382" s="347"/>
      <c r="AR382" s="347"/>
      <c r="AT382" s="343"/>
      <c r="AU382" s="549" t="s">
        <v>702</v>
      </c>
      <c r="AV382" s="549">
        <f>STDEV(AV371:AV380)</f>
        <v>5.2230230403710561E-2</v>
      </c>
      <c r="AW382" s="549">
        <f>STDEV(AW371:AW380)</f>
        <v>2.611511520185528E-2</v>
      </c>
      <c r="AX382" s="549">
        <f>STDEV(AX371:AX380)</f>
        <v>3.7605765890671605E-2</v>
      </c>
      <c r="AY382" s="549">
        <f>STDEV(AY371:AY380)</f>
        <v>1.8802882945335803E-2</v>
      </c>
      <c r="AZ382" s="549">
        <f>STDEV(AZ371:AZ380)</f>
        <v>2.8204324418003707E-2</v>
      </c>
      <c r="BB382" s="347"/>
      <c r="BC382" s="347"/>
      <c r="BE382" s="347"/>
      <c r="BH382" s="364"/>
      <c r="BI382" s="586" t="s">
        <v>700</v>
      </c>
      <c r="BJ382" s="505" t="s">
        <v>189</v>
      </c>
      <c r="BK382" s="511">
        <v>60.44</v>
      </c>
      <c r="BL382" s="505" t="s">
        <v>611</v>
      </c>
      <c r="BM382" s="504">
        <v>0.2</v>
      </c>
      <c r="BN382" s="504">
        <v>0.5</v>
      </c>
      <c r="BO382" s="503" t="s">
        <v>661</v>
      </c>
      <c r="BP382" s="473"/>
      <c r="BQ382" s="511"/>
      <c r="BR382" s="505"/>
      <c r="BS382" s="473"/>
      <c r="BT382" s="473"/>
      <c r="BU382" s="473"/>
      <c r="BV382" s="475"/>
      <c r="BW382" s="473"/>
      <c r="BX382" s="473"/>
      <c r="BY382" s="475"/>
      <c r="BZ382" s="475"/>
      <c r="CA382" s="475"/>
      <c r="CB382" s="345"/>
      <c r="CC382" s="345"/>
      <c r="CD382" s="345"/>
      <c r="CE382" s="345"/>
      <c r="CF382" s="345"/>
      <c r="CG382" s="345"/>
      <c r="CH382" s="345"/>
      <c r="CI382" s="345"/>
      <c r="CJ382" s="345"/>
      <c r="CK382" s="345"/>
      <c r="CL382" s="345"/>
      <c r="CM382" s="345"/>
      <c r="CO382" s="346"/>
      <c r="CP382" s="346">
        <f t="shared" si="368"/>
        <v>0.5</v>
      </c>
      <c r="CZ382" s="360"/>
      <c r="DA382" s="386"/>
      <c r="DB382" s="360"/>
      <c r="DC382" s="360"/>
      <c r="DD382" s="360"/>
      <c r="DE382" s="360"/>
      <c r="DF382" s="360"/>
    </row>
    <row r="383" spans="1:110" s="344" customFormat="1" ht="39" hidden="1" customHeight="1" thickBot="1" x14ac:dyDescent="0.3">
      <c r="A383" s="342"/>
      <c r="V383" s="346"/>
      <c r="AA383" s="347"/>
      <c r="AB383" s="347"/>
      <c r="AD383" s="347"/>
      <c r="AE383" s="348"/>
      <c r="AH383" s="349"/>
      <c r="AI383" s="349"/>
      <c r="AK383" s="347"/>
      <c r="AR383" s="347"/>
      <c r="AU383" s="549" t="s">
        <v>206</v>
      </c>
      <c r="AV383" s="549">
        <f>BJ538</f>
        <v>2.31</v>
      </c>
      <c r="AW383" s="551">
        <f>AV383</f>
        <v>2.31</v>
      </c>
      <c r="AX383" s="551">
        <f>AW383</f>
        <v>2.31</v>
      </c>
      <c r="AY383" s="551">
        <f>AX383</f>
        <v>2.31</v>
      </c>
      <c r="AZ383" s="551">
        <f>AY383</f>
        <v>2.31</v>
      </c>
      <c r="BB383" s="347"/>
      <c r="BC383" s="347"/>
      <c r="BE383" s="347"/>
      <c r="BH383" s="364"/>
      <c r="BI383" s="586" t="s">
        <v>701</v>
      </c>
      <c r="BJ383" s="505" t="s">
        <v>189</v>
      </c>
      <c r="BK383" s="511">
        <v>53.05</v>
      </c>
      <c r="BL383" s="505" t="s">
        <v>611</v>
      </c>
      <c r="BM383" s="504">
        <v>0.2</v>
      </c>
      <c r="BN383" s="504">
        <v>0.5</v>
      </c>
      <c r="BO383" s="503" t="s">
        <v>661</v>
      </c>
      <c r="BP383" s="473"/>
      <c r="BQ383" s="511"/>
      <c r="BR383" s="505"/>
      <c r="BS383" s="473"/>
      <c r="BT383" s="473"/>
      <c r="BU383" s="473"/>
      <c r="BV383" s="475"/>
      <c r="BW383" s="473"/>
      <c r="BX383" s="473"/>
      <c r="BY383" s="475"/>
      <c r="BZ383" s="475"/>
      <c r="CA383" s="475"/>
      <c r="CB383" s="345"/>
      <c r="CC383" s="345"/>
      <c r="CD383" s="345"/>
      <c r="CE383" s="345"/>
      <c r="CF383" s="345"/>
      <c r="CG383" s="345"/>
      <c r="CH383" s="345"/>
      <c r="CI383" s="345"/>
      <c r="CJ383" s="345"/>
      <c r="CK383" s="345"/>
      <c r="CL383" s="345"/>
      <c r="CM383" s="345"/>
      <c r="CO383" s="346"/>
      <c r="CP383" s="346">
        <f t="shared" si="368"/>
        <v>0.5</v>
      </c>
      <c r="CZ383" s="360"/>
      <c r="DA383" s="386"/>
      <c r="DB383" s="360"/>
      <c r="DC383" s="360"/>
      <c r="DD383" s="360"/>
      <c r="DE383" s="360"/>
      <c r="DF383" s="360"/>
    </row>
    <row r="384" spans="1:110" s="344" customFormat="1" ht="15" hidden="1" customHeight="1" thickBot="1" x14ac:dyDescent="0.3">
      <c r="A384" s="342"/>
      <c r="V384" s="346"/>
      <c r="AA384" s="347"/>
      <c r="AB384" s="347"/>
      <c r="AD384" s="347"/>
      <c r="AE384" s="348"/>
      <c r="AH384" s="349"/>
      <c r="AI384" s="349"/>
      <c r="AK384" s="347"/>
      <c r="AR384" s="347"/>
      <c r="AU384" s="549" t="s">
        <v>224</v>
      </c>
      <c r="AV384" s="548">
        <f>1-((AV381-((AV382*AV383)/(SQRT(9))))/AV381)</f>
        <v>0.59583211386354795</v>
      </c>
      <c r="AW384" s="548">
        <f>1-((AW381-((AW382*AW383)/(SQRT(9))))/AW381)</f>
        <v>0.59583211386354795</v>
      </c>
      <c r="AX384" s="548">
        <f>1-((AX381-((AX382*AX383)/(SQRT(9))))/AX381)</f>
        <v>0.59583211386354773</v>
      </c>
      <c r="AY384" s="548">
        <f>1-((AY381-((AY382*AY383)/(SQRT(9))))/AY381)</f>
        <v>0.59583211386354773</v>
      </c>
      <c r="AZ384" s="548">
        <f>1-((AZ381-((AZ382*AZ383)/(SQRT(9))))/AZ381)</f>
        <v>0.59583211386354806</v>
      </c>
      <c r="BB384" s="347"/>
      <c r="BC384" s="347"/>
      <c r="BE384" s="347"/>
      <c r="BH384" s="364"/>
      <c r="BI384" s="586" t="s">
        <v>662</v>
      </c>
      <c r="BJ384" s="505" t="s">
        <v>189</v>
      </c>
      <c r="BK384" s="511">
        <v>57.53</v>
      </c>
      <c r="BL384" s="505" t="s">
        <v>611</v>
      </c>
      <c r="BM384" s="504">
        <v>0.2</v>
      </c>
      <c r="BN384" s="504">
        <v>0.5</v>
      </c>
      <c r="BO384" s="503" t="s">
        <v>661</v>
      </c>
      <c r="BP384" s="473"/>
      <c r="BQ384" s="511"/>
      <c r="BR384" s="505"/>
      <c r="BS384" s="473"/>
      <c r="BT384" s="473"/>
      <c r="BU384" s="473"/>
      <c r="BV384" s="475"/>
      <c r="BW384" s="473"/>
      <c r="BX384" s="473"/>
      <c r="BY384" s="475"/>
      <c r="BZ384" s="475"/>
      <c r="CA384" s="475"/>
      <c r="CB384" s="345"/>
      <c r="CC384" s="345"/>
      <c r="CD384" s="345"/>
      <c r="CE384" s="345"/>
      <c r="CF384" s="345"/>
      <c r="CG384" s="345"/>
      <c r="CH384" s="345"/>
      <c r="CI384" s="345"/>
      <c r="CJ384" s="345"/>
      <c r="CK384" s="345"/>
      <c r="CL384" s="345"/>
      <c r="CM384" s="345"/>
      <c r="CO384" s="346"/>
      <c r="CP384" s="346">
        <f t="shared" si="368"/>
        <v>0.5</v>
      </c>
      <c r="CZ384" s="360"/>
      <c r="DA384" s="386"/>
      <c r="DB384" s="360"/>
      <c r="DC384" s="360"/>
      <c r="DD384" s="360"/>
      <c r="DE384" s="360"/>
      <c r="DF384" s="360"/>
    </row>
    <row r="385" spans="1:114" s="344" customFormat="1" ht="15" hidden="1" customHeight="1" thickBot="1" x14ac:dyDescent="0.3">
      <c r="A385" s="342"/>
      <c r="V385" s="346"/>
      <c r="AA385" s="347"/>
      <c r="AB385" s="347"/>
      <c r="AD385" s="347"/>
      <c r="AE385" s="348"/>
      <c r="AH385" s="349"/>
      <c r="AI385" s="349"/>
      <c r="AK385" s="347"/>
      <c r="AR385" s="347"/>
      <c r="AV385" s="347"/>
      <c r="AX385" s="347"/>
      <c r="BB385" s="347"/>
      <c r="BC385" s="347"/>
      <c r="BE385" s="347"/>
      <c r="BH385" s="364"/>
      <c r="BI385" s="586" t="s">
        <v>663</v>
      </c>
      <c r="BJ385" s="505" t="s">
        <v>189</v>
      </c>
      <c r="BK385" s="511">
        <v>20.14</v>
      </c>
      <c r="BL385" s="505" t="s">
        <v>611</v>
      </c>
      <c r="BM385" s="504">
        <v>0.2</v>
      </c>
      <c r="BN385" s="504">
        <v>0.5</v>
      </c>
      <c r="BO385" s="503" t="s">
        <v>661</v>
      </c>
      <c r="BP385" s="473"/>
      <c r="BQ385" s="511"/>
      <c r="BR385" s="505"/>
      <c r="BS385" s="473"/>
      <c r="BT385" s="473"/>
      <c r="BU385" s="473"/>
      <c r="BV385" s="475"/>
      <c r="BW385" s="473"/>
      <c r="BX385" s="473"/>
      <c r="BY385" s="475"/>
      <c r="BZ385" s="475"/>
      <c r="CA385" s="475"/>
      <c r="CB385" s="345"/>
      <c r="CC385" s="345"/>
      <c r="CD385" s="345"/>
      <c r="CE385" s="345"/>
      <c r="CF385" s="345"/>
      <c r="CG385" s="345"/>
      <c r="CH385" s="345"/>
      <c r="CI385" s="345"/>
      <c r="CJ385" s="345"/>
      <c r="CK385" s="345"/>
      <c r="CL385" s="345"/>
      <c r="CM385" s="345"/>
      <c r="CO385" s="346"/>
      <c r="CP385" s="346">
        <f t="shared" si="368"/>
        <v>0.5</v>
      </c>
      <c r="CZ385" s="360"/>
      <c r="DA385" s="386"/>
      <c r="DB385" s="360"/>
      <c r="DC385" s="360"/>
      <c r="DD385" s="360"/>
      <c r="DE385" s="360"/>
      <c r="DF385" s="360"/>
    </row>
    <row r="386" spans="1:114" s="344" customFormat="1" ht="15" hidden="1" customHeight="1" thickBot="1" x14ac:dyDescent="0.3">
      <c r="A386" s="342"/>
      <c r="V386" s="346"/>
      <c r="AA386" s="347"/>
      <c r="AB386" s="347"/>
      <c r="AD386" s="347"/>
      <c r="AE386" s="348"/>
      <c r="AH386" s="349"/>
      <c r="AI386" s="349"/>
      <c r="AK386" s="347"/>
      <c r="AR386" s="347"/>
      <c r="AV386" s="347"/>
      <c r="AX386" s="347"/>
      <c r="BB386" s="347"/>
      <c r="BC386" s="347"/>
      <c r="BE386" s="347"/>
      <c r="BH386" s="364"/>
      <c r="BI386" s="586" t="s">
        <v>664</v>
      </c>
      <c r="BJ386" s="505" t="s">
        <v>189</v>
      </c>
      <c r="BK386" s="511">
        <v>30.91</v>
      </c>
      <c r="BL386" s="505" t="s">
        <v>611</v>
      </c>
      <c r="BM386" s="504">
        <v>0.2</v>
      </c>
      <c r="BN386" s="504">
        <v>0.5</v>
      </c>
      <c r="BO386" s="503" t="s">
        <v>661</v>
      </c>
      <c r="BP386" s="473"/>
      <c r="BQ386" s="511"/>
      <c r="BR386" s="505"/>
      <c r="BS386" s="473"/>
      <c r="BT386" s="473"/>
      <c r="BU386" s="473"/>
      <c r="BV386" s="475"/>
      <c r="BW386" s="473"/>
      <c r="BX386" s="473"/>
      <c r="BY386" s="475"/>
      <c r="BZ386" s="475"/>
      <c r="CA386" s="475"/>
      <c r="CB386" s="345"/>
      <c r="CC386" s="345"/>
      <c r="CD386" s="345"/>
      <c r="CE386" s="345"/>
      <c r="CF386" s="345"/>
      <c r="CG386" s="345"/>
      <c r="CH386" s="345"/>
      <c r="CI386" s="345"/>
      <c r="CJ386" s="345"/>
      <c r="CK386" s="345"/>
      <c r="CL386" s="345"/>
      <c r="CM386" s="345"/>
      <c r="CO386" s="346"/>
      <c r="CP386" s="346">
        <f t="shared" si="368"/>
        <v>0.5</v>
      </c>
      <c r="CZ386" s="360"/>
      <c r="DA386" s="386"/>
      <c r="DB386" s="360"/>
      <c r="DC386" s="360"/>
      <c r="DD386" s="360"/>
      <c r="DE386" s="360"/>
      <c r="DF386" s="360"/>
    </row>
    <row r="387" spans="1:114" s="344" customFormat="1" ht="15" hidden="1" customHeight="1" thickBot="1" x14ac:dyDescent="0.3">
      <c r="A387" s="342"/>
      <c r="V387" s="346"/>
      <c r="AA387" s="347"/>
      <c r="AB387" s="347"/>
      <c r="AD387" s="347"/>
      <c r="AE387" s="348"/>
      <c r="AH387" s="349"/>
      <c r="AI387" s="349"/>
      <c r="AK387" s="347"/>
      <c r="AR387" s="347"/>
      <c r="AV387" s="347"/>
      <c r="AX387" s="347"/>
      <c r="BB387" s="347"/>
      <c r="BC387" s="347"/>
      <c r="BE387" s="347"/>
      <c r="BH387" s="364"/>
      <c r="BI387" s="586" t="s">
        <v>665</v>
      </c>
      <c r="BJ387" s="505" t="s">
        <v>189</v>
      </c>
      <c r="BK387" s="511">
        <v>36.97</v>
      </c>
      <c r="BL387" s="505" t="s">
        <v>611</v>
      </c>
      <c r="BM387" s="504">
        <v>0.2</v>
      </c>
      <c r="BN387" s="504">
        <v>0.5</v>
      </c>
      <c r="BO387" s="503" t="s">
        <v>661</v>
      </c>
      <c r="BP387" s="473"/>
      <c r="BQ387" s="511"/>
      <c r="BR387" s="505"/>
      <c r="BS387" s="473"/>
      <c r="BT387" s="473"/>
      <c r="BU387" s="473"/>
      <c r="BV387" s="475"/>
      <c r="BW387" s="473"/>
      <c r="BX387" s="473"/>
      <c r="BY387" s="475"/>
      <c r="BZ387" s="475"/>
      <c r="CA387" s="475"/>
      <c r="CB387" s="345"/>
      <c r="CC387" s="345"/>
      <c r="CD387" s="345"/>
      <c r="CE387" s="345"/>
      <c r="CF387" s="345"/>
      <c r="CG387" s="345"/>
      <c r="CH387" s="345"/>
      <c r="CI387" s="345"/>
      <c r="CJ387" s="345"/>
      <c r="CK387" s="345"/>
      <c r="CL387" s="345"/>
      <c r="CM387" s="345"/>
      <c r="CO387" s="346"/>
      <c r="CP387" s="346">
        <f t="shared" si="368"/>
        <v>0.5</v>
      </c>
      <c r="CZ387" s="360"/>
      <c r="DA387" s="386"/>
      <c r="DB387" s="360"/>
      <c r="DC387" s="360"/>
      <c r="DD387" s="360"/>
      <c r="DE387" s="360"/>
      <c r="DF387" s="360"/>
    </row>
    <row r="388" spans="1:114" s="344" customFormat="1" ht="15" hidden="1" customHeight="1" thickBot="1" x14ac:dyDescent="0.3">
      <c r="A388" s="342"/>
      <c r="V388" s="346"/>
      <c r="AA388" s="347"/>
      <c r="AB388" s="347"/>
      <c r="AD388" s="347"/>
      <c r="AE388" s="348"/>
      <c r="AH388" s="349"/>
      <c r="AI388" s="349"/>
      <c r="AK388" s="347"/>
      <c r="AR388" s="347"/>
      <c r="AV388" s="347"/>
      <c r="AX388" s="347"/>
      <c r="BB388" s="347"/>
      <c r="BC388" s="347"/>
      <c r="BE388" s="347"/>
      <c r="BH388" s="364"/>
      <c r="BI388" s="586" t="s">
        <v>140</v>
      </c>
      <c r="BJ388" s="505" t="s">
        <v>189</v>
      </c>
      <c r="BK388" s="511">
        <v>63</v>
      </c>
      <c r="BL388" s="505" t="s">
        <v>611</v>
      </c>
      <c r="BM388" s="504">
        <v>0.3</v>
      </c>
      <c r="BN388" s="504">
        <v>0.5</v>
      </c>
      <c r="BO388" s="503" t="s">
        <v>417</v>
      </c>
      <c r="BP388" s="473"/>
      <c r="BQ388" s="511"/>
      <c r="BR388" s="505"/>
      <c r="BS388" s="473"/>
      <c r="BT388" s="473"/>
      <c r="BU388" s="473"/>
      <c r="BV388" s="475"/>
      <c r="BW388" s="473"/>
      <c r="BX388" s="473"/>
      <c r="BY388" s="475"/>
      <c r="BZ388" s="475"/>
      <c r="CA388" s="475"/>
      <c r="CB388" s="345"/>
      <c r="CC388" s="345"/>
      <c r="CD388" s="345"/>
      <c r="CE388" s="345"/>
      <c r="CF388" s="345"/>
      <c r="CG388" s="345"/>
      <c r="CH388" s="345"/>
      <c r="CI388" s="345"/>
      <c r="CJ388" s="345"/>
      <c r="CK388" s="345"/>
      <c r="CL388" s="345"/>
      <c r="CM388" s="345"/>
      <c r="CO388" s="346"/>
      <c r="CP388" s="346">
        <f t="shared" si="368"/>
        <v>0.5</v>
      </c>
      <c r="CZ388" s="360"/>
      <c r="DA388" s="386"/>
      <c r="DB388" s="360"/>
      <c r="DC388" s="360"/>
      <c r="DD388" s="360"/>
      <c r="DE388" s="360"/>
      <c r="DF388" s="360"/>
    </row>
    <row r="389" spans="1:114" s="344" customFormat="1" ht="15" hidden="1" customHeight="1" thickBot="1" x14ac:dyDescent="0.3">
      <c r="A389" s="342"/>
      <c r="V389" s="346"/>
      <c r="AA389" s="347"/>
      <c r="AB389" s="347"/>
      <c r="AD389" s="347"/>
      <c r="AE389" s="348"/>
      <c r="AH389" s="349"/>
      <c r="AI389" s="349"/>
      <c r="AK389" s="347"/>
      <c r="AR389" s="347"/>
      <c r="AV389" s="347"/>
      <c r="AX389" s="347"/>
      <c r="BB389" s="347"/>
      <c r="BC389" s="347"/>
      <c r="BE389" s="347"/>
      <c r="BH389" s="364"/>
      <c r="BI389" s="586" t="s">
        <v>142</v>
      </c>
      <c r="BJ389" s="505" t="s">
        <v>189</v>
      </c>
      <c r="BK389" s="511">
        <v>56</v>
      </c>
      <c r="BL389" s="505" t="s">
        <v>611</v>
      </c>
      <c r="BM389" s="504">
        <v>0.3</v>
      </c>
      <c r="BN389" s="504">
        <v>0.5</v>
      </c>
      <c r="BO389" s="503" t="s">
        <v>417</v>
      </c>
      <c r="BP389" s="473"/>
      <c r="BQ389" s="511">
        <v>1225</v>
      </c>
      <c r="BR389" s="505" t="s">
        <v>612</v>
      </c>
      <c r="BS389" s="473"/>
      <c r="BT389" s="473"/>
      <c r="BU389" s="473"/>
      <c r="BV389" s="475"/>
      <c r="BW389" s="473"/>
      <c r="BX389" s="473"/>
      <c r="BY389" s="475"/>
      <c r="BZ389" s="475"/>
      <c r="CA389" s="475"/>
      <c r="CB389" s="345"/>
      <c r="CC389" s="345"/>
      <c r="CD389" s="345"/>
      <c r="CE389" s="345"/>
      <c r="CF389" s="345"/>
      <c r="CG389" s="345"/>
      <c r="CH389" s="345"/>
      <c r="CI389" s="345"/>
      <c r="CJ389" s="345"/>
      <c r="CK389" s="345"/>
      <c r="CL389" s="345"/>
      <c r="CM389" s="345"/>
      <c r="CO389" s="346">
        <v>0.2</v>
      </c>
      <c r="CP389" s="346">
        <f t="shared" si="368"/>
        <v>0.5</v>
      </c>
      <c r="CX389" s="344" t="s">
        <v>142</v>
      </c>
      <c r="CY389" s="344" t="s">
        <v>189</v>
      </c>
      <c r="CZ389" s="360">
        <v>49</v>
      </c>
      <c r="DA389" s="386">
        <f t="shared" ref="DA389:DA397" si="382">+CZ389*21</f>
        <v>1029</v>
      </c>
      <c r="DB389" s="360" t="s">
        <v>560</v>
      </c>
      <c r="DC389" s="360">
        <f t="shared" si="381"/>
        <v>1225</v>
      </c>
      <c r="DD389" s="360"/>
      <c r="DE389" s="360"/>
      <c r="DF389" s="360"/>
    </row>
    <row r="390" spans="1:114" s="344" customFormat="1" ht="15" hidden="1" customHeight="1" thickBot="1" x14ac:dyDescent="0.3">
      <c r="A390" s="342"/>
      <c r="V390" s="346"/>
      <c r="AA390" s="347"/>
      <c r="AB390" s="347"/>
      <c r="AD390" s="347"/>
      <c r="AE390" s="348"/>
      <c r="AH390" s="349"/>
      <c r="AI390" s="349"/>
      <c r="AK390" s="347"/>
      <c r="AR390" s="347"/>
      <c r="AV390" s="347"/>
      <c r="AX390" s="347"/>
      <c r="BB390" s="347"/>
      <c r="BC390" s="347"/>
      <c r="BE390" s="347"/>
      <c r="BH390" s="364"/>
      <c r="BI390" s="586" t="s">
        <v>139</v>
      </c>
      <c r="BJ390" s="505" t="s">
        <v>189</v>
      </c>
      <c r="BK390" s="511">
        <v>55</v>
      </c>
      <c r="BL390" s="505" t="s">
        <v>611</v>
      </c>
      <c r="BM390" s="504">
        <v>0.3</v>
      </c>
      <c r="BN390" s="504">
        <v>0.5</v>
      </c>
      <c r="BO390" s="503" t="s">
        <v>417</v>
      </c>
      <c r="BP390" s="473"/>
      <c r="BQ390" s="511">
        <v>1375</v>
      </c>
      <c r="BR390" s="505" t="s">
        <v>612</v>
      </c>
      <c r="BS390" s="473"/>
      <c r="BT390" s="473"/>
      <c r="BU390" s="473"/>
      <c r="BV390" s="475"/>
      <c r="BW390" s="473"/>
      <c r="BX390" s="473"/>
      <c r="BY390" s="475"/>
      <c r="BZ390" s="475"/>
      <c r="CA390" s="475"/>
      <c r="CB390" s="345"/>
      <c r="CC390" s="345"/>
      <c r="CD390" s="345"/>
      <c r="CE390" s="345"/>
      <c r="CF390" s="345"/>
      <c r="CG390" s="345"/>
      <c r="CH390" s="345"/>
      <c r="CI390" s="345"/>
      <c r="CJ390" s="345"/>
      <c r="CK390" s="345"/>
      <c r="CL390" s="345"/>
      <c r="CM390" s="345"/>
      <c r="CO390" s="346">
        <v>0.2</v>
      </c>
      <c r="CP390" s="346">
        <f t="shared" si="368"/>
        <v>0.5</v>
      </c>
      <c r="CX390" s="344" t="s">
        <v>139</v>
      </c>
      <c r="CY390" s="344" t="s">
        <v>189</v>
      </c>
      <c r="CZ390" s="360">
        <v>55</v>
      </c>
      <c r="DA390" s="386">
        <f t="shared" si="382"/>
        <v>1155</v>
      </c>
      <c r="DB390" s="360" t="s">
        <v>560</v>
      </c>
      <c r="DC390" s="360">
        <f t="shared" si="381"/>
        <v>1375</v>
      </c>
      <c r="DD390" s="360"/>
      <c r="DE390" s="360"/>
      <c r="DF390" s="360"/>
    </row>
    <row r="391" spans="1:114" s="344" customFormat="1" ht="15" hidden="1" customHeight="1" thickBot="1" x14ac:dyDescent="0.3">
      <c r="A391" s="342"/>
      <c r="V391" s="346"/>
      <c r="AA391" s="347"/>
      <c r="AB391" s="347"/>
      <c r="AD391" s="347"/>
      <c r="AE391" s="348"/>
      <c r="AH391" s="349"/>
      <c r="AI391" s="349"/>
      <c r="AK391" s="347"/>
      <c r="AR391" s="347"/>
      <c r="AV391" s="347"/>
      <c r="AX391" s="347"/>
      <c r="BB391" s="347"/>
      <c r="BC391" s="347"/>
      <c r="BE391" s="347"/>
      <c r="BH391" s="364"/>
      <c r="BI391" s="586" t="s">
        <v>190</v>
      </c>
      <c r="BJ391" s="505" t="s">
        <v>189</v>
      </c>
      <c r="BK391" s="511">
        <v>5</v>
      </c>
      <c r="BL391" s="505" t="s">
        <v>611</v>
      </c>
      <c r="BM391" s="504">
        <v>0.3</v>
      </c>
      <c r="BN391" s="504">
        <v>0.5</v>
      </c>
      <c r="BO391" s="503" t="s">
        <v>417</v>
      </c>
      <c r="BP391" s="473"/>
      <c r="BQ391" s="511">
        <v>125</v>
      </c>
      <c r="BR391" s="505" t="s">
        <v>612</v>
      </c>
      <c r="BS391" s="473"/>
      <c r="BT391" s="473"/>
      <c r="BU391" s="473"/>
      <c r="BV391" s="475"/>
      <c r="BW391" s="473"/>
      <c r="BX391" s="473"/>
      <c r="BY391" s="475"/>
      <c r="BZ391" s="475"/>
      <c r="CA391" s="475"/>
      <c r="CB391" s="345"/>
      <c r="CC391" s="345"/>
      <c r="CD391" s="345"/>
      <c r="CE391" s="345"/>
      <c r="CF391" s="345"/>
      <c r="CG391" s="345"/>
      <c r="CH391" s="345"/>
      <c r="CI391" s="345"/>
      <c r="CJ391" s="345"/>
      <c r="CK391" s="345"/>
      <c r="CL391" s="345"/>
      <c r="CM391" s="345"/>
      <c r="CO391" s="346">
        <v>0.2</v>
      </c>
      <c r="CP391" s="346">
        <f t="shared" si="368"/>
        <v>0.5</v>
      </c>
      <c r="CX391" s="344" t="s">
        <v>190</v>
      </c>
      <c r="CY391" s="344" t="s">
        <v>189</v>
      </c>
      <c r="CZ391" s="360">
        <v>5</v>
      </c>
      <c r="DA391" s="386">
        <f t="shared" si="382"/>
        <v>105</v>
      </c>
      <c r="DB391" s="360" t="s">
        <v>560</v>
      </c>
      <c r="DC391" s="360">
        <f t="shared" si="381"/>
        <v>125</v>
      </c>
      <c r="DD391" s="360"/>
      <c r="DE391" s="360"/>
      <c r="DF391" s="360"/>
    </row>
    <row r="392" spans="1:114" s="344" customFormat="1" ht="15" hidden="1" customHeight="1" thickBot="1" x14ac:dyDescent="0.3">
      <c r="A392" s="342"/>
      <c r="V392" s="346"/>
      <c r="AA392" s="347"/>
      <c r="AB392" s="347"/>
      <c r="AD392" s="347"/>
      <c r="AE392" s="348"/>
      <c r="AH392" s="349"/>
      <c r="AI392" s="349"/>
      <c r="AK392" s="347"/>
      <c r="AR392" s="347"/>
      <c r="AV392" s="347"/>
      <c r="AX392" s="347"/>
      <c r="BB392" s="347"/>
      <c r="BC392" s="347"/>
      <c r="BE392" s="347"/>
      <c r="BH392" s="364"/>
      <c r="BI392" s="586" t="s">
        <v>138</v>
      </c>
      <c r="BJ392" s="505" t="s">
        <v>189</v>
      </c>
      <c r="BK392" s="511">
        <v>5</v>
      </c>
      <c r="BL392" s="505" t="s">
        <v>611</v>
      </c>
      <c r="BM392" s="504">
        <v>0.3</v>
      </c>
      <c r="BN392" s="504">
        <v>0.5</v>
      </c>
      <c r="BO392" s="503" t="s">
        <v>417</v>
      </c>
      <c r="BP392" s="473"/>
      <c r="BQ392" s="511">
        <v>125</v>
      </c>
      <c r="BR392" s="505" t="s">
        <v>612</v>
      </c>
      <c r="BS392" s="473"/>
      <c r="BT392" s="473"/>
      <c r="BU392" s="473"/>
      <c r="BV392" s="475"/>
      <c r="BW392" s="473"/>
      <c r="BX392" s="473"/>
      <c r="BY392" s="475"/>
      <c r="BZ392" s="475"/>
      <c r="CA392" s="475"/>
      <c r="CB392" s="345"/>
      <c r="CC392" s="345"/>
      <c r="CD392" s="345"/>
      <c r="CE392" s="345"/>
      <c r="CF392" s="345"/>
      <c r="CG392" s="345"/>
      <c r="CH392" s="345"/>
      <c r="CI392" s="345"/>
      <c r="CJ392" s="345"/>
      <c r="CK392" s="345"/>
      <c r="CL392" s="345"/>
      <c r="CM392" s="345"/>
      <c r="CO392" s="346">
        <v>0.2</v>
      </c>
      <c r="CP392" s="346">
        <f t="shared" si="368"/>
        <v>0.5</v>
      </c>
      <c r="CX392" s="344" t="s">
        <v>138</v>
      </c>
      <c r="CY392" s="344" t="s">
        <v>189</v>
      </c>
      <c r="CZ392" s="360">
        <v>5</v>
      </c>
      <c r="DA392" s="386">
        <f t="shared" si="382"/>
        <v>105</v>
      </c>
      <c r="DB392" s="360" t="s">
        <v>560</v>
      </c>
      <c r="DC392" s="360">
        <f t="shared" si="381"/>
        <v>125</v>
      </c>
      <c r="DD392" s="360"/>
      <c r="DE392" s="360"/>
      <c r="DF392" s="360"/>
    </row>
    <row r="393" spans="1:114" s="344" customFormat="1" ht="15" hidden="1" customHeight="1" thickBot="1" x14ac:dyDescent="0.3">
      <c r="A393" s="342"/>
      <c r="V393" s="346"/>
      <c r="AA393" s="347"/>
      <c r="AB393" s="347"/>
      <c r="AD393" s="347"/>
      <c r="AE393" s="348"/>
      <c r="AH393" s="349"/>
      <c r="AI393" s="349"/>
      <c r="AK393" s="347"/>
      <c r="AR393" s="347"/>
      <c r="AV393" s="347"/>
      <c r="AX393" s="347"/>
      <c r="BB393" s="347"/>
      <c r="BC393" s="347"/>
      <c r="BE393" s="347"/>
      <c r="BH393" s="364"/>
      <c r="BI393" s="586" t="s">
        <v>143</v>
      </c>
      <c r="BJ393" s="505" t="s">
        <v>189</v>
      </c>
      <c r="BK393" s="511">
        <v>18</v>
      </c>
      <c r="BL393" s="505" t="s">
        <v>611</v>
      </c>
      <c r="BM393" s="504">
        <v>0.3</v>
      </c>
      <c r="BN393" s="504">
        <v>0.5</v>
      </c>
      <c r="BO393" s="503" t="s">
        <v>417</v>
      </c>
      <c r="BP393" s="473"/>
      <c r="BQ393" s="511">
        <v>450</v>
      </c>
      <c r="BR393" s="505" t="s">
        <v>612</v>
      </c>
      <c r="BS393" s="473"/>
      <c r="BT393" s="473"/>
      <c r="BU393" s="473"/>
      <c r="BV393" s="475"/>
      <c r="BW393" s="473"/>
      <c r="BX393" s="473"/>
      <c r="BY393" s="475"/>
      <c r="BZ393" s="475"/>
      <c r="CA393" s="475"/>
      <c r="CB393" s="345"/>
      <c r="CC393" s="345"/>
      <c r="CD393" s="345"/>
      <c r="CE393" s="345"/>
      <c r="CF393" s="345"/>
      <c r="CG393" s="345"/>
      <c r="CH393" s="345"/>
      <c r="CI393" s="345"/>
      <c r="CJ393" s="345"/>
      <c r="CK393" s="345"/>
      <c r="CL393" s="345"/>
      <c r="CM393" s="345"/>
      <c r="CO393" s="346">
        <v>0.2</v>
      </c>
      <c r="CP393" s="346">
        <f t="shared" ref="CP393:CP456" si="383">BN393</f>
        <v>0.5</v>
      </c>
      <c r="CX393" s="344" t="s">
        <v>143</v>
      </c>
      <c r="CY393" s="344" t="s">
        <v>189</v>
      </c>
      <c r="CZ393" s="360">
        <v>18</v>
      </c>
      <c r="DA393" s="386">
        <f t="shared" si="382"/>
        <v>378</v>
      </c>
      <c r="DB393" s="360" t="s">
        <v>560</v>
      </c>
      <c r="DC393" s="360">
        <f t="shared" si="381"/>
        <v>450</v>
      </c>
      <c r="DD393" s="360"/>
      <c r="DE393" s="360"/>
      <c r="DF393" s="360"/>
    </row>
    <row r="394" spans="1:114" s="344" customFormat="1" ht="15" hidden="1" customHeight="1" thickBot="1" x14ac:dyDescent="0.3">
      <c r="A394" s="342"/>
      <c r="V394" s="346"/>
      <c r="AA394" s="347"/>
      <c r="AB394" s="347"/>
      <c r="AD394" s="347"/>
      <c r="AE394" s="348"/>
      <c r="AH394" s="349"/>
      <c r="AI394" s="349"/>
      <c r="AK394" s="347"/>
      <c r="AR394" s="347"/>
      <c r="AV394" s="347"/>
      <c r="AX394" s="347"/>
      <c r="BB394" s="347"/>
      <c r="BC394" s="347"/>
      <c r="BE394" s="347"/>
      <c r="BH394" s="364"/>
      <c r="BI394" s="586" t="s">
        <v>144</v>
      </c>
      <c r="BJ394" s="505" t="s">
        <v>189</v>
      </c>
      <c r="BK394" s="511">
        <f>BQ394/25</f>
        <v>10</v>
      </c>
      <c r="BL394" s="505" t="s">
        <v>611</v>
      </c>
      <c r="BM394" s="504">
        <v>0.3</v>
      </c>
      <c r="BN394" s="504">
        <v>0.5</v>
      </c>
      <c r="BO394" s="503" t="s">
        <v>417</v>
      </c>
      <c r="BP394" s="473"/>
      <c r="BQ394" s="511">
        <v>250</v>
      </c>
      <c r="BR394" s="505" t="s">
        <v>612</v>
      </c>
      <c r="BS394" s="473"/>
      <c r="BT394" s="473"/>
      <c r="BU394" s="473"/>
      <c r="BV394" s="475"/>
      <c r="BW394" s="473"/>
      <c r="BX394" s="473"/>
      <c r="BY394" s="475"/>
      <c r="BZ394" s="475"/>
      <c r="CA394" s="475"/>
      <c r="CB394" s="345"/>
      <c r="CC394" s="345"/>
      <c r="CD394" s="345"/>
      <c r="CE394" s="345"/>
      <c r="CF394" s="345"/>
      <c r="CG394" s="345"/>
      <c r="CH394" s="345"/>
      <c r="CI394" s="345"/>
      <c r="CJ394" s="345"/>
      <c r="CK394" s="345"/>
      <c r="CL394" s="345"/>
      <c r="CM394" s="345"/>
      <c r="CO394" s="346">
        <v>0.2</v>
      </c>
      <c r="CP394" s="346">
        <f t="shared" si="383"/>
        <v>0.5</v>
      </c>
      <c r="CX394" s="344" t="s">
        <v>144</v>
      </c>
      <c r="CY394" s="344" t="s">
        <v>189</v>
      </c>
      <c r="CZ394" s="360">
        <v>10</v>
      </c>
      <c r="DA394" s="386">
        <f t="shared" si="382"/>
        <v>210</v>
      </c>
      <c r="DB394" s="360" t="s">
        <v>560</v>
      </c>
      <c r="DC394" s="360">
        <f t="shared" si="381"/>
        <v>250</v>
      </c>
      <c r="DD394" s="360"/>
      <c r="DE394" s="360"/>
      <c r="DF394" s="360"/>
    </row>
    <row r="395" spans="1:114" s="344" customFormat="1" ht="15" hidden="1" customHeight="1" thickBot="1" x14ac:dyDescent="0.3">
      <c r="A395" s="342"/>
      <c r="V395" s="346"/>
      <c r="AA395" s="347"/>
      <c r="AB395" s="347"/>
      <c r="AD395" s="347"/>
      <c r="AE395" s="348"/>
      <c r="AH395" s="349"/>
      <c r="AI395" s="349"/>
      <c r="AK395" s="347"/>
      <c r="AR395" s="347"/>
      <c r="AV395" s="347"/>
      <c r="AX395" s="347"/>
      <c r="BB395" s="347"/>
      <c r="BC395" s="347"/>
      <c r="BE395" s="347"/>
      <c r="BH395" s="364"/>
      <c r="BI395" s="586" t="s">
        <v>191</v>
      </c>
      <c r="BJ395" s="505" t="s">
        <v>189</v>
      </c>
      <c r="BK395" s="511">
        <f>BQ395/25</f>
        <v>1</v>
      </c>
      <c r="BL395" s="505" t="s">
        <v>611</v>
      </c>
      <c r="BM395" s="504">
        <v>0.3</v>
      </c>
      <c r="BN395" s="504">
        <v>0.5</v>
      </c>
      <c r="BO395" s="503" t="s">
        <v>417</v>
      </c>
      <c r="BP395" s="473"/>
      <c r="BQ395" s="511">
        <v>25</v>
      </c>
      <c r="BR395" s="505" t="s">
        <v>612</v>
      </c>
      <c r="BS395" s="473"/>
      <c r="BT395" s="473"/>
      <c r="BU395" s="473"/>
      <c r="BV395" s="475"/>
      <c r="BW395" s="473"/>
      <c r="BX395" s="473"/>
      <c r="BY395" s="475"/>
      <c r="BZ395" s="475"/>
      <c r="CA395" s="475"/>
      <c r="CB395" s="345"/>
      <c r="CC395" s="345"/>
      <c r="CD395" s="345"/>
      <c r="CE395" s="345"/>
      <c r="CF395" s="345"/>
      <c r="CG395" s="345"/>
      <c r="CH395" s="345"/>
      <c r="CI395" s="345"/>
      <c r="CJ395" s="345"/>
      <c r="CK395" s="345"/>
      <c r="CL395" s="345"/>
      <c r="CM395" s="345"/>
      <c r="CO395" s="346"/>
      <c r="CP395" s="346">
        <f t="shared" si="383"/>
        <v>0.5</v>
      </c>
      <c r="CZ395" s="360"/>
      <c r="DA395" s="386"/>
      <c r="DB395" s="360"/>
      <c r="DC395" s="360"/>
      <c r="DD395" s="360"/>
      <c r="DE395" s="360"/>
      <c r="DF395" s="360"/>
    </row>
    <row r="396" spans="1:114" s="344" customFormat="1" ht="15" hidden="1" customHeight="1" thickBot="1" x14ac:dyDescent="0.3">
      <c r="A396" s="342"/>
      <c r="V396" s="346"/>
      <c r="AA396" s="347"/>
      <c r="AB396" s="347"/>
      <c r="AD396" s="347"/>
      <c r="AE396" s="348"/>
      <c r="AH396" s="349"/>
      <c r="AI396" s="349"/>
      <c r="AK396" s="347"/>
      <c r="AR396" s="347"/>
      <c r="AV396" s="347"/>
      <c r="AX396" s="347"/>
      <c r="BB396" s="347"/>
      <c r="BC396" s="347"/>
      <c r="BE396" s="347"/>
      <c r="BH396" s="364"/>
      <c r="BI396" s="586" t="s">
        <v>666</v>
      </c>
      <c r="BJ396" s="505" t="s">
        <v>189</v>
      </c>
      <c r="BK396" s="511">
        <v>5.4199999999999998E-2</v>
      </c>
      <c r="BL396" s="505" t="s">
        <v>611</v>
      </c>
      <c r="BM396" s="504">
        <v>0.3</v>
      </c>
      <c r="BN396" s="504">
        <v>0.5</v>
      </c>
      <c r="BO396" s="503" t="s">
        <v>417</v>
      </c>
      <c r="BP396" s="473"/>
      <c r="BQ396" s="511">
        <f>BK396*25</f>
        <v>1.355</v>
      </c>
      <c r="BR396" s="505" t="s">
        <v>612</v>
      </c>
      <c r="BS396" s="473"/>
      <c r="BT396" s="473"/>
      <c r="BU396" s="473"/>
      <c r="BV396" s="475"/>
      <c r="BW396" s="473"/>
      <c r="BX396" s="473"/>
      <c r="BY396" s="475"/>
      <c r="BZ396" s="475"/>
      <c r="CA396" s="475"/>
      <c r="CB396" s="345"/>
      <c r="CC396" s="345"/>
      <c r="CD396" s="345"/>
      <c r="CE396" s="345"/>
      <c r="CF396" s="345"/>
      <c r="CG396" s="345"/>
      <c r="CH396" s="345"/>
      <c r="CI396" s="345"/>
      <c r="CJ396" s="345"/>
      <c r="CK396" s="345"/>
      <c r="CL396" s="345"/>
      <c r="CM396" s="345"/>
      <c r="CO396" s="346"/>
      <c r="CP396" s="346">
        <f t="shared" si="383"/>
        <v>0.5</v>
      </c>
      <c r="CZ396" s="360"/>
      <c r="DA396" s="386"/>
      <c r="DB396" s="360"/>
      <c r="DC396" s="360"/>
      <c r="DD396" s="360"/>
      <c r="DE396" s="360"/>
      <c r="DF396" s="360"/>
    </row>
    <row r="397" spans="1:114" s="344" customFormat="1" ht="15" hidden="1" customHeight="1" thickBot="1" x14ac:dyDescent="0.3">
      <c r="A397" s="342"/>
      <c r="V397" s="346"/>
      <c r="AA397" s="347"/>
      <c r="AB397" s="347"/>
      <c r="AD397" s="347"/>
      <c r="AE397" s="348"/>
      <c r="AH397" s="349"/>
      <c r="AI397" s="349"/>
      <c r="AK397" s="347"/>
      <c r="AR397" s="347"/>
      <c r="AV397" s="347"/>
      <c r="AX397" s="347"/>
      <c r="BB397" s="347"/>
      <c r="BC397" s="347"/>
      <c r="BE397" s="347"/>
      <c r="BH397" s="364"/>
      <c r="BI397" s="586" t="s">
        <v>667</v>
      </c>
      <c r="BJ397" s="505" t="s">
        <v>189</v>
      </c>
      <c r="BK397" s="511">
        <v>9.522E-5</v>
      </c>
      <c r="BL397" s="505" t="s">
        <v>611</v>
      </c>
      <c r="BM397" s="504">
        <v>0.3</v>
      </c>
      <c r="BN397" s="504">
        <v>0.5</v>
      </c>
      <c r="BO397" s="503" t="s">
        <v>668</v>
      </c>
      <c r="BP397" s="473"/>
      <c r="BQ397" s="511">
        <f>BK397*25</f>
        <v>2.3804999999999998E-3</v>
      </c>
      <c r="BR397" s="505" t="s">
        <v>612</v>
      </c>
      <c r="BS397" s="473"/>
      <c r="BT397" s="473"/>
      <c r="BU397" s="473"/>
      <c r="BV397" s="473"/>
      <c r="BW397" s="473"/>
      <c r="BX397" s="473"/>
      <c r="BY397" s="473"/>
      <c r="BZ397" s="473"/>
      <c r="CA397" s="473"/>
      <c r="CB397" s="475"/>
      <c r="CC397" s="473"/>
      <c r="CD397" s="473"/>
      <c r="CE397" s="475"/>
      <c r="CF397" s="475"/>
      <c r="CG397" s="475"/>
      <c r="CH397" s="475"/>
      <c r="CI397" s="473"/>
      <c r="CJ397" s="473"/>
      <c r="CK397" s="475"/>
      <c r="CL397" s="475"/>
      <c r="CM397" s="475"/>
      <c r="CN397" s="360"/>
      <c r="CO397" s="346">
        <v>0.2</v>
      </c>
      <c r="CP397" s="346">
        <f t="shared" si="383"/>
        <v>0.5</v>
      </c>
      <c r="CX397" s="344" t="s">
        <v>191</v>
      </c>
      <c r="CY397" s="344" t="s">
        <v>189</v>
      </c>
      <c r="CZ397" s="360">
        <v>1</v>
      </c>
      <c r="DA397" s="386">
        <f t="shared" si="382"/>
        <v>21</v>
      </c>
      <c r="DB397" s="360" t="s">
        <v>560</v>
      </c>
      <c r="DC397" s="360">
        <f t="shared" si="381"/>
        <v>25</v>
      </c>
      <c r="DD397" s="360"/>
      <c r="DE397" s="360"/>
      <c r="DF397" s="360"/>
    </row>
    <row r="398" spans="1:114" s="344" customFormat="1" hidden="1" x14ac:dyDescent="0.25">
      <c r="A398" s="342"/>
      <c r="V398" s="346"/>
      <c r="AA398" s="347"/>
      <c r="AB398" s="347"/>
      <c r="AD398" s="347"/>
      <c r="AE398" s="348"/>
      <c r="AH398" s="349"/>
      <c r="AI398" s="349"/>
      <c r="AK398" s="347"/>
      <c r="AR398" s="347"/>
      <c r="AV398" s="347"/>
      <c r="AX398" s="347"/>
      <c r="BB398" s="347"/>
      <c r="BC398" s="347"/>
      <c r="BE398" s="347"/>
      <c r="BH398" s="342"/>
      <c r="BI398" s="345"/>
      <c r="BJ398" s="473"/>
      <c r="BK398" s="473"/>
      <c r="BL398" s="473"/>
      <c r="BM398" s="463"/>
      <c r="BN398" s="463"/>
      <c r="BO398" s="463"/>
      <c r="BP398" s="473"/>
      <c r="BQ398" s="473"/>
      <c r="BR398" s="473"/>
      <c r="BS398" s="473"/>
      <c r="BT398" s="473"/>
      <c r="BU398" s="473"/>
      <c r="BV398" s="473"/>
      <c r="BW398" s="473"/>
      <c r="BX398" s="473"/>
      <c r="BY398" s="473"/>
      <c r="BZ398" s="473"/>
      <c r="CA398" s="473"/>
      <c r="CB398" s="475"/>
      <c r="CC398" s="473"/>
      <c r="CD398" s="473"/>
      <c r="CE398" s="475"/>
      <c r="CF398" s="475"/>
      <c r="CG398" s="475"/>
      <c r="CH398" s="475"/>
      <c r="CI398" s="473"/>
      <c r="CJ398" s="473"/>
      <c r="CK398" s="475"/>
      <c r="CL398" s="475"/>
      <c r="CM398" s="475"/>
      <c r="CN398" s="360"/>
      <c r="CO398" s="346"/>
      <c r="CP398" s="346">
        <f t="shared" si="383"/>
        <v>0</v>
      </c>
      <c r="CX398" s="344">
        <v>0</v>
      </c>
      <c r="CY398" s="344">
        <v>0</v>
      </c>
      <c r="CZ398" s="360">
        <v>0</v>
      </c>
      <c r="DA398" s="344">
        <v>0</v>
      </c>
      <c r="DC398" s="360">
        <f>+CZ423*25</f>
        <v>1050</v>
      </c>
      <c r="DD398" s="360"/>
      <c r="DE398" s="360"/>
      <c r="DF398" s="360"/>
    </row>
    <row r="399" spans="1:114" s="344" customFormat="1" ht="15.75" hidden="1" customHeight="1" thickBot="1" x14ac:dyDescent="0.3">
      <c r="A399" s="342"/>
      <c r="V399" s="346"/>
      <c r="AA399" s="347"/>
      <c r="AB399" s="347"/>
      <c r="AD399" s="347"/>
      <c r="AE399" s="348"/>
      <c r="AH399" s="349"/>
      <c r="AI399" s="349"/>
      <c r="AK399" s="347"/>
      <c r="AR399" s="347"/>
      <c r="AV399" s="347"/>
      <c r="AX399" s="347"/>
      <c r="BB399" s="347"/>
      <c r="BC399" s="347"/>
      <c r="BE399" s="347"/>
      <c r="BH399" s="342"/>
      <c r="BI399" s="345"/>
      <c r="BJ399" s="473"/>
      <c r="BK399" s="473"/>
      <c r="BL399" s="473"/>
      <c r="BM399" s="463"/>
      <c r="BN399" s="463"/>
      <c r="BO399" s="463"/>
      <c r="BP399" s="473"/>
      <c r="BQ399" s="473"/>
      <c r="BR399" s="473"/>
      <c r="BS399" s="473"/>
      <c r="BT399" s="473"/>
      <c r="BU399" s="473"/>
      <c r="BV399" s="473"/>
      <c r="BW399" s="473"/>
      <c r="BX399" s="473"/>
      <c r="BY399" s="473"/>
      <c r="BZ399" s="473"/>
      <c r="CA399" s="473"/>
      <c r="CB399" s="475"/>
      <c r="CC399" s="473"/>
      <c r="CD399" s="473"/>
      <c r="CE399" s="475"/>
      <c r="CF399" s="475"/>
      <c r="CG399" s="475"/>
      <c r="CH399" s="475"/>
      <c r="CI399" s="473"/>
      <c r="CJ399" s="473"/>
      <c r="CK399" s="475"/>
      <c r="CL399" s="475"/>
      <c r="CM399" s="475"/>
      <c r="CN399" s="360"/>
      <c r="CO399" s="346"/>
      <c r="CP399" s="346">
        <f t="shared" si="383"/>
        <v>0</v>
      </c>
      <c r="CZ399" s="360"/>
      <c r="DC399" s="360"/>
      <c r="DD399" s="360"/>
      <c r="DE399" s="360"/>
      <c r="DF399" s="360"/>
    </row>
    <row r="400" spans="1:114" s="344" customFormat="1" ht="15.75" hidden="1" thickBot="1" x14ac:dyDescent="0.3">
      <c r="A400" s="342"/>
      <c r="S400" s="564" t="s">
        <v>757</v>
      </c>
      <c r="V400" s="346"/>
      <c r="AA400" s="347"/>
      <c r="AB400" s="347"/>
      <c r="AD400" s="347"/>
      <c r="AF400" s="347"/>
      <c r="AI400" s="558" t="s">
        <v>754</v>
      </c>
      <c r="AJ400" s="558"/>
      <c r="AK400" s="558"/>
      <c r="AL400" s="558"/>
      <c r="AM400" s="558"/>
      <c r="AO400" s="558"/>
      <c r="AP400" s="558"/>
      <c r="AQ400" s="558"/>
      <c r="AR400" s="558"/>
      <c r="AS400" s="558"/>
      <c r="AT400" s="558"/>
      <c r="AU400" s="558"/>
      <c r="AV400" s="558"/>
      <c r="AW400" s="558"/>
      <c r="AX400" s="558"/>
      <c r="AY400" s="558"/>
      <c r="AZ400" s="558"/>
      <c r="BA400" s="558"/>
      <c r="BB400" s="558"/>
      <c r="BC400" s="558"/>
      <c r="BD400" s="558"/>
      <c r="BH400" s="342"/>
      <c r="BI400" s="345"/>
      <c r="BJ400" s="473"/>
      <c r="BK400" s="735" t="s">
        <v>195</v>
      </c>
      <c r="BL400" s="736"/>
      <c r="BM400" s="736"/>
      <c r="BN400" s="736"/>
      <c r="BO400" s="737"/>
      <c r="BP400" s="735" t="s">
        <v>199</v>
      </c>
      <c r="BQ400" s="736"/>
      <c r="BR400" s="736"/>
      <c r="BS400" s="736"/>
      <c r="BT400" s="737"/>
      <c r="BU400" s="473"/>
      <c r="BV400" s="473"/>
      <c r="BW400" s="473"/>
      <c r="BX400" s="473"/>
      <c r="BY400" s="473"/>
      <c r="BZ400" s="473"/>
      <c r="CA400" s="473"/>
      <c r="CB400" s="475"/>
      <c r="CC400" s="473"/>
      <c r="CD400" s="473"/>
      <c r="CE400" s="475"/>
      <c r="CF400" s="475"/>
      <c r="CG400" s="475"/>
      <c r="CH400" s="475"/>
      <c r="CI400" s="473"/>
      <c r="CJ400" s="473"/>
      <c r="CK400" s="475"/>
      <c r="CL400" s="475"/>
      <c r="CM400" s="475"/>
      <c r="CN400" s="360"/>
      <c r="CO400" s="346"/>
      <c r="CP400" s="346">
        <f t="shared" si="383"/>
        <v>0</v>
      </c>
      <c r="CX400" s="365" t="s">
        <v>295</v>
      </c>
      <c r="CY400" s="757" t="s">
        <v>564</v>
      </c>
      <c r="CZ400" s="757" t="s">
        <v>565</v>
      </c>
      <c r="DA400" s="757"/>
      <c r="DB400" s="758" t="s">
        <v>299</v>
      </c>
      <c r="DC400" s="757" t="s">
        <v>300</v>
      </c>
      <c r="DD400" s="757" t="s">
        <v>302</v>
      </c>
      <c r="DE400" s="757" t="s">
        <v>575</v>
      </c>
      <c r="DF400" s="757" t="s">
        <v>576</v>
      </c>
      <c r="DG400" s="757" t="s">
        <v>565</v>
      </c>
      <c r="DH400" s="757"/>
      <c r="DI400" s="757" t="s">
        <v>577</v>
      </c>
      <c r="DJ400" s="757"/>
    </row>
    <row r="401" spans="1:116" s="344" customFormat="1" ht="21.75" hidden="1" customHeight="1" x14ac:dyDescent="0.25">
      <c r="A401" s="342"/>
      <c r="S401" s="563">
        <v>0</v>
      </c>
      <c r="T401" s="563">
        <v>0</v>
      </c>
      <c r="U401" s="563">
        <v>5.0000000000000001E-3</v>
      </c>
      <c r="V401" s="563">
        <v>0.02</v>
      </c>
      <c r="W401" s="563">
        <v>5.0000000000000001E-3</v>
      </c>
      <c r="X401" s="563">
        <v>0</v>
      </c>
      <c r="Y401" s="563">
        <v>0.01</v>
      </c>
      <c r="Z401" s="563">
        <v>7.0000000000000007E-2</v>
      </c>
      <c r="AA401" s="565">
        <v>0</v>
      </c>
      <c r="AB401" s="565">
        <v>0</v>
      </c>
      <c r="AC401" s="563">
        <v>6.0000000000000001E-3</v>
      </c>
      <c r="AD401" s="565"/>
      <c r="AE401" s="563">
        <v>0.1</v>
      </c>
      <c r="AF401" s="565">
        <v>0.01</v>
      </c>
      <c r="AG401" s="563">
        <v>0.01</v>
      </c>
      <c r="AH401" s="343"/>
      <c r="AI401" s="756" t="s">
        <v>755</v>
      </c>
      <c r="AJ401" s="756"/>
      <c r="AK401" s="756"/>
      <c r="AL401" s="756"/>
      <c r="AM401" s="756"/>
      <c r="AN401" s="558" t="s">
        <v>753</v>
      </c>
      <c r="AO401" s="558"/>
      <c r="AP401" s="558"/>
      <c r="AQ401" s="558"/>
      <c r="AR401" s="558"/>
      <c r="AS401" s="558"/>
      <c r="AT401" s="558"/>
      <c r="AU401" s="558"/>
      <c r="AV401" s="558"/>
      <c r="AW401" s="558"/>
      <c r="AX401" s="558"/>
      <c r="AY401" s="558"/>
      <c r="AZ401" s="558"/>
      <c r="BA401" s="558"/>
      <c r="BB401" s="558"/>
      <c r="BC401" s="558"/>
      <c r="BD401" s="558"/>
      <c r="BH401" s="342"/>
      <c r="BI401" s="733" t="s">
        <v>141</v>
      </c>
      <c r="BJ401" s="498"/>
      <c r="BK401" s="733" t="s">
        <v>439</v>
      </c>
      <c r="BL401" s="498"/>
      <c r="BM401" s="733" t="s">
        <v>392</v>
      </c>
      <c r="BN401" s="733" t="s">
        <v>392</v>
      </c>
      <c r="BO401" s="733" t="s">
        <v>399</v>
      </c>
      <c r="BP401" s="733" t="s">
        <v>440</v>
      </c>
      <c r="BQ401" s="498"/>
      <c r="BR401" s="733" t="s">
        <v>392</v>
      </c>
      <c r="BS401" s="733" t="s">
        <v>392</v>
      </c>
      <c r="BT401" s="733" t="s">
        <v>399</v>
      </c>
      <c r="BU401" s="473"/>
      <c r="BV401" s="473"/>
      <c r="BW401" s="473"/>
      <c r="BX401" s="473"/>
      <c r="BY401" s="473"/>
      <c r="BZ401" s="473"/>
      <c r="CA401" s="473"/>
      <c r="CB401" s="475"/>
      <c r="CC401" s="473"/>
      <c r="CD401" s="473"/>
      <c r="CE401" s="475"/>
      <c r="CF401" s="475"/>
      <c r="CG401" s="475"/>
      <c r="CH401" s="475"/>
      <c r="CI401" s="473"/>
      <c r="CJ401" s="473"/>
      <c r="CK401" s="475"/>
      <c r="CL401" s="475"/>
      <c r="CM401" s="475"/>
      <c r="CN401" s="360"/>
      <c r="CO401" s="346"/>
      <c r="CP401" s="346" t="str">
        <f t="shared" si="383"/>
        <v>Incertidumbre (+/- %)</v>
      </c>
      <c r="CX401" s="365"/>
      <c r="CY401" s="757"/>
      <c r="CZ401" s="392">
        <v>1995</v>
      </c>
      <c r="DA401" s="365">
        <v>2007</v>
      </c>
      <c r="DB401" s="758"/>
      <c r="DC401" s="757"/>
      <c r="DD401" s="757"/>
      <c r="DE401" s="757"/>
      <c r="DF401" s="757"/>
      <c r="DG401" s="365">
        <v>1995</v>
      </c>
      <c r="DH401" s="365">
        <v>2007</v>
      </c>
      <c r="DI401" s="365">
        <v>1995</v>
      </c>
      <c r="DJ401" s="365">
        <v>2007</v>
      </c>
    </row>
    <row r="402" spans="1:116" s="344" customFormat="1" ht="34.5" hidden="1" customHeight="1" thickBot="1" x14ac:dyDescent="0.3">
      <c r="Q402" s="562" t="s">
        <v>756</v>
      </c>
      <c r="R402" s="562" t="s">
        <v>758</v>
      </c>
      <c r="S402" s="562" t="s">
        <v>731</v>
      </c>
      <c r="T402" s="562" t="s">
        <v>732</v>
      </c>
      <c r="U402" s="562" t="s">
        <v>729</v>
      </c>
      <c r="V402" s="562" t="s">
        <v>730</v>
      </c>
      <c r="W402" s="562" t="s">
        <v>728</v>
      </c>
      <c r="X402" s="562" t="s">
        <v>727</v>
      </c>
      <c r="Y402" s="562" t="s">
        <v>736</v>
      </c>
      <c r="Z402" s="562" t="s">
        <v>737</v>
      </c>
      <c r="AA402" s="562" t="s">
        <v>743</v>
      </c>
      <c r="AB402" s="562" t="s">
        <v>733</v>
      </c>
      <c r="AC402" s="562" t="s">
        <v>738</v>
      </c>
      <c r="AD402" s="563"/>
      <c r="AE402" s="562" t="s">
        <v>739</v>
      </c>
      <c r="AF402" s="562" t="s">
        <v>734</v>
      </c>
      <c r="AG402" s="562" t="s">
        <v>735</v>
      </c>
      <c r="AH402" s="562" t="s">
        <v>759</v>
      </c>
      <c r="AI402" s="559" t="s">
        <v>712</v>
      </c>
      <c r="AJ402" s="559" t="s">
        <v>726</v>
      </c>
      <c r="AK402" s="345"/>
      <c r="AL402" s="559" t="s">
        <v>713</v>
      </c>
      <c r="AM402" s="559" t="s">
        <v>725</v>
      </c>
      <c r="AN402" s="561" t="s">
        <v>742</v>
      </c>
      <c r="AO402" s="561" t="s">
        <v>741</v>
      </c>
      <c r="AP402" s="560" t="s">
        <v>731</v>
      </c>
      <c r="AQ402" s="560" t="s">
        <v>732</v>
      </c>
      <c r="AS402" s="560" t="s">
        <v>729</v>
      </c>
      <c r="AT402" s="560" t="s">
        <v>730</v>
      </c>
      <c r="AU402" s="560" t="s">
        <v>728</v>
      </c>
      <c r="AV402" s="560" t="s">
        <v>727</v>
      </c>
      <c r="AW402" s="560" t="s">
        <v>736</v>
      </c>
      <c r="AY402" s="560" t="s">
        <v>737</v>
      </c>
      <c r="AZ402" s="560" t="s">
        <v>743</v>
      </c>
      <c r="BA402" s="560" t="s">
        <v>733</v>
      </c>
      <c r="BB402" s="560" t="s">
        <v>738</v>
      </c>
      <c r="BC402" s="560" t="s">
        <v>739</v>
      </c>
      <c r="BD402" s="560" t="s">
        <v>734</v>
      </c>
      <c r="BE402" s="560" t="s">
        <v>735</v>
      </c>
      <c r="BH402" s="342"/>
      <c r="BI402" s="734"/>
      <c r="BJ402" s="499" t="s">
        <v>412</v>
      </c>
      <c r="BK402" s="734"/>
      <c r="BL402" s="499" t="s">
        <v>410</v>
      </c>
      <c r="BM402" s="734"/>
      <c r="BN402" s="734"/>
      <c r="BO402" s="734"/>
      <c r="BP402" s="734"/>
      <c r="BQ402" s="499" t="s">
        <v>410</v>
      </c>
      <c r="BR402" s="734"/>
      <c r="BS402" s="734"/>
      <c r="BT402" s="734"/>
      <c r="BU402" s="473"/>
      <c r="BV402" s="473"/>
      <c r="BW402" s="473"/>
      <c r="BX402" s="473"/>
      <c r="BY402" s="473"/>
      <c r="BZ402" s="473"/>
      <c r="CA402" s="473"/>
      <c r="CB402" s="475"/>
      <c r="CC402" s="473"/>
      <c r="CD402" s="473"/>
      <c r="CE402" s="475"/>
      <c r="CF402" s="475"/>
      <c r="CG402" s="475"/>
      <c r="CH402" s="475"/>
      <c r="CI402" s="473"/>
      <c r="CJ402" s="473"/>
      <c r="CK402" s="475"/>
      <c r="CL402" s="475"/>
      <c r="CM402" s="475"/>
      <c r="CN402" s="360"/>
      <c r="CO402" s="346"/>
      <c r="CP402" s="346">
        <f t="shared" si="383"/>
        <v>0</v>
      </c>
      <c r="CW402" s="344" t="s">
        <v>141</v>
      </c>
      <c r="CX402" s="365">
        <v>0</v>
      </c>
      <c r="CY402" s="392">
        <v>0</v>
      </c>
      <c r="CZ402" s="392">
        <v>0</v>
      </c>
      <c r="DA402" s="365">
        <v>0</v>
      </c>
      <c r="DB402" s="365">
        <v>0</v>
      </c>
      <c r="DC402" s="392">
        <v>0</v>
      </c>
      <c r="DD402" s="392">
        <v>0</v>
      </c>
      <c r="DE402" s="392">
        <v>0</v>
      </c>
      <c r="DF402" s="392">
        <v>0</v>
      </c>
      <c r="DG402" s="365">
        <v>0</v>
      </c>
      <c r="DH402" s="365">
        <v>0</v>
      </c>
      <c r="DI402" s="365">
        <v>0</v>
      </c>
      <c r="DJ402" s="365">
        <v>0</v>
      </c>
      <c r="DK402" s="344">
        <v>0</v>
      </c>
    </row>
    <row r="403" spans="1:116" s="344" customFormat="1" ht="33.75" hidden="1" thickBot="1" x14ac:dyDescent="0.4">
      <c r="O403" s="543" t="s">
        <v>268</v>
      </c>
      <c r="Q403" s="563">
        <v>0.48</v>
      </c>
      <c r="R403" s="563">
        <v>400</v>
      </c>
      <c r="S403" s="566">
        <f t="shared" ref="S403:S426" si="384">((($Q403*($R403/1000)*365)*1)*S$401)*(44/28)</f>
        <v>0</v>
      </c>
      <c r="T403" s="566">
        <f t="shared" ref="T403:AG418" si="385">((($Q403*($R403/1000)*365)*1)*T$401)*(44/28)</f>
        <v>0</v>
      </c>
      <c r="U403" s="566">
        <f t="shared" si="385"/>
        <v>0.55062857142857136</v>
      </c>
      <c r="V403" s="566">
        <f t="shared" si="385"/>
        <v>2.2025142857142854</v>
      </c>
      <c r="W403" s="566">
        <f t="shared" si="385"/>
        <v>0.55062857142857136</v>
      </c>
      <c r="X403" s="566">
        <f t="shared" si="385"/>
        <v>0</v>
      </c>
      <c r="Y403" s="566">
        <f t="shared" si="385"/>
        <v>1.1012571428571427</v>
      </c>
      <c r="Z403" s="566">
        <f t="shared" si="385"/>
        <v>7.708800000000001</v>
      </c>
      <c r="AA403" s="566">
        <f t="shared" si="385"/>
        <v>0</v>
      </c>
      <c r="AB403" s="566">
        <f t="shared" si="385"/>
        <v>0</v>
      </c>
      <c r="AC403" s="566">
        <f t="shared" si="385"/>
        <v>0.66075428571428574</v>
      </c>
      <c r="AD403" s="566">
        <f t="shared" si="385"/>
        <v>0</v>
      </c>
      <c r="AE403" s="566">
        <f t="shared" si="385"/>
        <v>11.012571428571428</v>
      </c>
      <c r="AF403" s="566">
        <v>0</v>
      </c>
      <c r="AG403" s="566">
        <f t="shared" si="385"/>
        <v>1.1012571428571427</v>
      </c>
      <c r="AH403" s="563"/>
      <c r="AI403" s="345">
        <v>1</v>
      </c>
      <c r="AJ403" s="345">
        <v>58</v>
      </c>
      <c r="AL403" s="345">
        <v>29</v>
      </c>
      <c r="AM403" s="557">
        <v>0.3</v>
      </c>
      <c r="AN403" s="561">
        <v>2.9</v>
      </c>
      <c r="AO403" s="561">
        <v>0.13</v>
      </c>
      <c r="AP403" s="567">
        <f>(AN403*365)*(AO403*0.67*0.01*1)</f>
        <v>0.92195350000000009</v>
      </c>
      <c r="AQ403" s="567">
        <f>(AN403*365)*(AO403*0.67*0.001*1)</f>
        <v>9.2195350000000023E-2</v>
      </c>
      <c r="AR403" s="568"/>
      <c r="AS403" s="567">
        <f>(AN403*365)*(AO403*0.67*0.02*1)</f>
        <v>1.8439070000000002</v>
      </c>
      <c r="AT403" s="567">
        <f>(AN403*365)*(AO403*0.67*0.01*1)</f>
        <v>0.92195350000000009</v>
      </c>
      <c r="AU403" s="567">
        <f>(AN403*365)*(AO403*0.67*0.25*1)</f>
        <v>23.048837500000001</v>
      </c>
      <c r="AV403" s="567">
        <f>(AN403*365)*(AO403*0.67*0.73*1)</f>
        <v>67.302605499999999</v>
      </c>
      <c r="AW403" s="567">
        <f>(AN403*365)*(AO403*0.67*0.03*1)</f>
        <v>2.7658605000000005</v>
      </c>
      <c r="AX403" s="568"/>
      <c r="AY403" s="567">
        <f>(AN403*365)*(AO403*0.67*0.25*1)</f>
        <v>23.048837500000001</v>
      </c>
      <c r="AZ403" s="567">
        <f t="shared" ref="AZ403:AZ438" si="386">(AN403*365)*(AO403*0.67*1*1)</f>
        <v>92.195350000000005</v>
      </c>
      <c r="BA403" s="567">
        <f t="shared" ref="BA403:BA438" si="387">(AN403*365)*(AO403*0.67*0.1*1)</f>
        <v>9.2195350000000005</v>
      </c>
      <c r="BB403" s="567">
        <f t="shared" ref="BB403:BB438" si="388">(AN403*365)*(AO403*0.67*0.005*1)</f>
        <v>0.46097675000000005</v>
      </c>
      <c r="BC403" s="567">
        <f>(AN403*365)*(AO403*0.67*0.005*1)</f>
        <v>0.46097675000000005</v>
      </c>
      <c r="BD403" s="567">
        <v>0</v>
      </c>
      <c r="BE403" s="567">
        <v>0</v>
      </c>
      <c r="BH403" s="364" t="s">
        <v>141</v>
      </c>
      <c r="BI403" s="586" t="s">
        <v>789</v>
      </c>
      <c r="BJ403" s="505" t="s">
        <v>308</v>
      </c>
      <c r="BK403" s="511">
        <f>BV403/25</f>
        <v>1</v>
      </c>
      <c r="BL403" s="505" t="s">
        <v>611</v>
      </c>
      <c r="BM403" s="504">
        <v>0.2</v>
      </c>
      <c r="BN403" s="504">
        <v>0.5</v>
      </c>
      <c r="BO403" s="503" t="s">
        <v>417</v>
      </c>
      <c r="BP403" s="511">
        <f>BY403/298</f>
        <v>1.2445714285714284</v>
      </c>
      <c r="BQ403" s="505" t="s">
        <v>613</v>
      </c>
      <c r="BR403" s="504">
        <v>0.2</v>
      </c>
      <c r="BS403" s="504">
        <v>0.5</v>
      </c>
      <c r="BT403" s="503" t="s">
        <v>417</v>
      </c>
      <c r="BU403" s="473"/>
      <c r="BV403" s="511">
        <v>25</v>
      </c>
      <c r="BW403" s="505" t="s">
        <v>612</v>
      </c>
      <c r="BX403" s="473"/>
      <c r="BY403" s="511">
        <v>370.88228571428567</v>
      </c>
      <c r="BZ403" s="505" t="s">
        <v>612</v>
      </c>
      <c r="CA403" s="473"/>
      <c r="CB403" s="475"/>
      <c r="CC403" s="473"/>
      <c r="CD403" s="473"/>
      <c r="CE403" s="475"/>
      <c r="CF403" s="475"/>
      <c r="CG403" s="475"/>
      <c r="CH403" s="475"/>
      <c r="CI403" s="473"/>
      <c r="CJ403" s="473"/>
      <c r="CK403" s="475"/>
      <c r="CL403" s="475"/>
      <c r="CM403" s="475"/>
      <c r="CN403" s="360"/>
      <c r="CO403" s="346">
        <v>0.2</v>
      </c>
      <c r="CP403" s="346">
        <f t="shared" si="383"/>
        <v>0.5</v>
      </c>
      <c r="CW403" s="344" t="s">
        <v>141</v>
      </c>
      <c r="CX403" s="132" t="s">
        <v>265</v>
      </c>
      <c r="CY403" s="132">
        <v>1</v>
      </c>
      <c r="CZ403" s="387">
        <f>+CY403*21</f>
        <v>21</v>
      </c>
      <c r="DA403" s="387">
        <f>+CY403*25</f>
        <v>25</v>
      </c>
      <c r="DB403" s="132">
        <v>40</v>
      </c>
      <c r="DC403" s="132">
        <v>0.99</v>
      </c>
      <c r="DD403" s="387">
        <f>+DB403*DC403</f>
        <v>39.6</v>
      </c>
      <c r="DE403" s="132">
        <v>0.02</v>
      </c>
      <c r="DF403" s="418">
        <f>+DD403*DE403*44/28</f>
        <v>1.2445714285714284</v>
      </c>
      <c r="DG403" s="418">
        <f>+DF403*310</f>
        <v>385.81714285714281</v>
      </c>
      <c r="DH403" s="418">
        <f>+DF403*298</f>
        <v>370.88228571428567</v>
      </c>
      <c r="DI403" s="419">
        <f>+CZ403+DG403</f>
        <v>406.81714285714281</v>
      </c>
      <c r="DJ403" s="419">
        <f>+DA403+DH403</f>
        <v>395.88228571428567</v>
      </c>
      <c r="DK403" s="360" t="s">
        <v>308</v>
      </c>
      <c r="DL403" s="344" t="s">
        <v>578</v>
      </c>
    </row>
    <row r="404" spans="1:116" s="344" customFormat="1" ht="33.75" hidden="1" thickBot="1" x14ac:dyDescent="0.4">
      <c r="O404" s="543" t="s">
        <v>269</v>
      </c>
      <c r="Q404" s="563">
        <v>0.48</v>
      </c>
      <c r="R404" s="563">
        <v>400</v>
      </c>
      <c r="S404" s="566">
        <f t="shared" si="384"/>
        <v>0</v>
      </c>
      <c r="T404" s="566">
        <f t="shared" si="385"/>
        <v>0</v>
      </c>
      <c r="U404" s="566">
        <f t="shared" si="385"/>
        <v>0.55062857142857136</v>
      </c>
      <c r="V404" s="566">
        <f t="shared" si="385"/>
        <v>2.2025142857142854</v>
      </c>
      <c r="W404" s="566">
        <f t="shared" si="385"/>
        <v>0.55062857142857136</v>
      </c>
      <c r="X404" s="566">
        <f t="shared" si="385"/>
        <v>0</v>
      </c>
      <c r="Y404" s="566">
        <f t="shared" si="385"/>
        <v>1.1012571428571427</v>
      </c>
      <c r="Z404" s="566">
        <f t="shared" si="385"/>
        <v>7.708800000000001</v>
      </c>
      <c r="AA404" s="566">
        <f t="shared" si="385"/>
        <v>0</v>
      </c>
      <c r="AB404" s="566">
        <f t="shared" si="385"/>
        <v>0</v>
      </c>
      <c r="AC404" s="566">
        <f t="shared" si="385"/>
        <v>0.66075428571428574</v>
      </c>
      <c r="AD404" s="566">
        <f t="shared" si="385"/>
        <v>0</v>
      </c>
      <c r="AE404" s="566">
        <f t="shared" si="385"/>
        <v>11.012571428571428</v>
      </c>
      <c r="AF404" s="566">
        <v>0</v>
      </c>
      <c r="AG404" s="566">
        <f t="shared" si="385"/>
        <v>1.1012571428571427</v>
      </c>
      <c r="AH404" s="563"/>
      <c r="AI404" s="345">
        <v>1</v>
      </c>
      <c r="AJ404" s="345">
        <v>98</v>
      </c>
      <c r="AL404" s="345">
        <v>75</v>
      </c>
      <c r="AM404" s="557">
        <v>0.3</v>
      </c>
      <c r="AN404" s="561">
        <v>2.9</v>
      </c>
      <c r="AO404" s="561">
        <v>0.13</v>
      </c>
      <c r="AP404" s="567">
        <f>(AN404*365)*(AO404*0.67*0.015*1)</f>
        <v>1.3829302500000002</v>
      </c>
      <c r="AQ404" s="567">
        <f>(AN404*365)*(AO404*0.67*0.005*1)</f>
        <v>0.46097675000000005</v>
      </c>
      <c r="AR404" s="568"/>
      <c r="AS404" s="567">
        <f>(AN404*365)*(AO404*0.67*0.04*1)</f>
        <v>3.6878140000000004</v>
      </c>
      <c r="AT404" s="567">
        <f>(AN404*365)*(AO404*0.67*0.015*1)</f>
        <v>1.3829302500000002</v>
      </c>
      <c r="AU404" s="567">
        <f>(AN404*365)*(AO404*0.67*0.65*1)</f>
        <v>59.926977500000007</v>
      </c>
      <c r="AV404" s="567">
        <f>(AN404*365)*(AO404*0.67*0.79*1)</f>
        <v>72.834326500000003</v>
      </c>
      <c r="AW404" s="567">
        <f>(AN404*365)*(AO404*0.67*0.03*1)</f>
        <v>2.7658605000000005</v>
      </c>
      <c r="AX404" s="568"/>
      <c r="AY404" s="567">
        <f>(AN404*365)*(AO404*0.67*0.65*1)</f>
        <v>59.926977500000007</v>
      </c>
      <c r="AZ404" s="567">
        <f t="shared" si="386"/>
        <v>92.195350000000005</v>
      </c>
      <c r="BA404" s="567">
        <f t="shared" si="387"/>
        <v>9.2195350000000005</v>
      </c>
      <c r="BB404" s="567">
        <f t="shared" si="388"/>
        <v>0.46097675000000005</v>
      </c>
      <c r="BC404" s="567">
        <f>(AN404*365)*(AO404*0.67*0.01*1)</f>
        <v>0.92195350000000009</v>
      </c>
      <c r="BD404" s="567">
        <v>0</v>
      </c>
      <c r="BE404" s="567">
        <v>0</v>
      </c>
      <c r="BH404" s="364"/>
      <c r="BI404" s="586" t="s">
        <v>266</v>
      </c>
      <c r="BJ404" s="505" t="s">
        <v>308</v>
      </c>
      <c r="BK404" s="511">
        <f t="shared" ref="BK404:BK432" si="389">BV404/25</f>
        <v>1</v>
      </c>
      <c r="BL404" s="505" t="s">
        <v>611</v>
      </c>
      <c r="BM404" s="504">
        <v>0.2</v>
      </c>
      <c r="BN404" s="504">
        <v>0.5</v>
      </c>
      <c r="BO404" s="503" t="s">
        <v>417</v>
      </c>
      <c r="BP404" s="511">
        <f t="shared" ref="BP404:BP432" si="390">BY404/298</f>
        <v>1.2445714285714284</v>
      </c>
      <c r="BQ404" s="505" t="s">
        <v>613</v>
      </c>
      <c r="BR404" s="504">
        <v>0.2</v>
      </c>
      <c r="BS404" s="504">
        <v>0.5</v>
      </c>
      <c r="BT404" s="503" t="s">
        <v>417</v>
      </c>
      <c r="BU404" s="473"/>
      <c r="BV404" s="511">
        <v>25</v>
      </c>
      <c r="BW404" s="505" t="s">
        <v>612</v>
      </c>
      <c r="BX404" s="473"/>
      <c r="BY404" s="511">
        <v>370.88228571428567</v>
      </c>
      <c r="BZ404" s="505" t="s">
        <v>612</v>
      </c>
      <c r="CA404" s="473"/>
      <c r="CB404" s="475"/>
      <c r="CC404" s="473"/>
      <c r="CD404" s="473"/>
      <c r="CE404" s="475"/>
      <c r="CF404" s="475"/>
      <c r="CG404" s="475"/>
      <c r="CH404" s="475"/>
      <c r="CI404" s="473"/>
      <c r="CJ404" s="473"/>
      <c r="CK404" s="475"/>
      <c r="CL404" s="475"/>
      <c r="CM404" s="475"/>
      <c r="CN404" s="360"/>
      <c r="CO404" s="346">
        <v>0.2</v>
      </c>
      <c r="CP404" s="346">
        <f t="shared" si="383"/>
        <v>0.5</v>
      </c>
      <c r="CX404" s="132" t="s">
        <v>266</v>
      </c>
      <c r="CY404" s="132">
        <v>1</v>
      </c>
      <c r="CZ404" s="387">
        <f t="shared" ref="CZ404:CZ432" si="391">+CY404*21</f>
        <v>21</v>
      </c>
      <c r="DA404" s="387">
        <f t="shared" ref="DA404:DA432" si="392">+CY404*25</f>
        <v>25</v>
      </c>
      <c r="DB404" s="132">
        <v>40</v>
      </c>
      <c r="DC404" s="132">
        <v>0.99</v>
      </c>
      <c r="DD404" s="387">
        <f t="shared" ref="DD404:DD432" si="393">+DB404*DC404</f>
        <v>39.6</v>
      </c>
      <c r="DE404" s="132">
        <v>0.02</v>
      </c>
      <c r="DF404" s="418">
        <f t="shared" ref="DF404:DF432" si="394">+DD404*DE404*44/28</f>
        <v>1.2445714285714284</v>
      </c>
      <c r="DG404" s="418">
        <f t="shared" ref="DG404:DG432" si="395">+DF404*310</f>
        <v>385.81714285714281</v>
      </c>
      <c r="DH404" s="418">
        <f t="shared" ref="DH404:DH432" si="396">+DF404*298</f>
        <v>370.88228571428567</v>
      </c>
      <c r="DI404" s="419">
        <f t="shared" ref="DI404:DJ432" si="397">+CZ404+DG404</f>
        <v>406.81714285714281</v>
      </c>
      <c r="DJ404" s="419">
        <f t="shared" si="397"/>
        <v>395.88228571428567</v>
      </c>
      <c r="DK404" s="360" t="s">
        <v>308</v>
      </c>
      <c r="DL404" s="344" t="s">
        <v>578</v>
      </c>
    </row>
    <row r="405" spans="1:116" s="344" customFormat="1" ht="33.75" hidden="1" thickBot="1" x14ac:dyDescent="0.4">
      <c r="O405" s="543" t="s">
        <v>270</v>
      </c>
      <c r="Q405" s="563">
        <v>0.48</v>
      </c>
      <c r="R405" s="563">
        <v>400</v>
      </c>
      <c r="S405" s="566">
        <f t="shared" si="384"/>
        <v>0</v>
      </c>
      <c r="T405" s="566">
        <f t="shared" si="385"/>
        <v>0</v>
      </c>
      <c r="U405" s="566">
        <f t="shared" si="385"/>
        <v>0.55062857142857136</v>
      </c>
      <c r="V405" s="566">
        <f t="shared" si="385"/>
        <v>2.2025142857142854</v>
      </c>
      <c r="W405" s="566">
        <f t="shared" si="385"/>
        <v>0.55062857142857136</v>
      </c>
      <c r="X405" s="566">
        <f t="shared" si="385"/>
        <v>0</v>
      </c>
      <c r="Y405" s="566">
        <f t="shared" si="385"/>
        <v>1.1012571428571427</v>
      </c>
      <c r="Z405" s="566">
        <f t="shared" si="385"/>
        <v>7.708800000000001</v>
      </c>
      <c r="AA405" s="566">
        <f t="shared" si="385"/>
        <v>0</v>
      </c>
      <c r="AB405" s="566">
        <f t="shared" si="385"/>
        <v>0</v>
      </c>
      <c r="AC405" s="566">
        <f t="shared" si="385"/>
        <v>0.66075428571428574</v>
      </c>
      <c r="AD405" s="566">
        <f t="shared" si="385"/>
        <v>0</v>
      </c>
      <c r="AE405" s="566">
        <f t="shared" si="385"/>
        <v>11.012571428571428</v>
      </c>
      <c r="AF405" s="566">
        <v>0</v>
      </c>
      <c r="AG405" s="566">
        <f t="shared" si="385"/>
        <v>1.1012571428571427</v>
      </c>
      <c r="AH405" s="563"/>
      <c r="AI405" s="345">
        <v>1</v>
      </c>
      <c r="AJ405" s="345">
        <v>112</v>
      </c>
      <c r="AL405" s="345">
        <v>92</v>
      </c>
      <c r="AM405" s="557">
        <v>0.3</v>
      </c>
      <c r="AN405" s="561">
        <v>2.9</v>
      </c>
      <c r="AO405" s="561">
        <v>0.13</v>
      </c>
      <c r="AP405" s="567">
        <f>(AN405*365)*(AO405*0.67*0.02*1)</f>
        <v>1.8439070000000002</v>
      </c>
      <c r="AQ405" s="567">
        <f>(AN405*365)*(AO405*0.67*0.01*1)</f>
        <v>0.92195350000000009</v>
      </c>
      <c r="AR405" s="568"/>
      <c r="AS405" s="567">
        <f>(AN405*365)*(AO405*0.67*0.05*1)</f>
        <v>4.6097675000000002</v>
      </c>
      <c r="AT405" s="567">
        <f>(AN405*365)*(AO405*0.67*0.02*1)</f>
        <v>1.8439070000000002</v>
      </c>
      <c r="AU405" s="567">
        <f>(AN405*365)*(AO405*0.67*0.8*1)</f>
        <v>73.756280000000004</v>
      </c>
      <c r="AV405" s="567">
        <f>(AN405*365)*(AO405*0.67*0.8*1)</f>
        <v>73.756280000000004</v>
      </c>
      <c r="AW405" s="567">
        <f>(AN405*365)*(AO405*0.67*0.3*1)</f>
        <v>27.658605000000005</v>
      </c>
      <c r="AX405" s="568"/>
      <c r="AY405" s="567">
        <f>(AN405*365)*(AO405*0.67*0.8*1)</f>
        <v>73.756280000000004</v>
      </c>
      <c r="AZ405" s="567">
        <f t="shared" si="386"/>
        <v>92.195350000000005</v>
      </c>
      <c r="BA405" s="567">
        <f t="shared" si="387"/>
        <v>9.2195350000000005</v>
      </c>
      <c r="BB405" s="567">
        <f t="shared" si="388"/>
        <v>0.46097675000000005</v>
      </c>
      <c r="BC405" s="567">
        <f>(AN405*365)*(AO405*0.67*0.015*1)</f>
        <v>1.3829302500000002</v>
      </c>
      <c r="BD405" s="567">
        <v>0</v>
      </c>
      <c r="BE405" s="567">
        <v>0</v>
      </c>
      <c r="BH405" s="364"/>
      <c r="BI405" s="586" t="s">
        <v>267</v>
      </c>
      <c r="BJ405" s="505" t="s">
        <v>308</v>
      </c>
      <c r="BK405" s="511">
        <f t="shared" si="389"/>
        <v>1</v>
      </c>
      <c r="BL405" s="505" t="s">
        <v>611</v>
      </c>
      <c r="BM405" s="504">
        <v>0.2</v>
      </c>
      <c r="BN405" s="504">
        <v>0.5</v>
      </c>
      <c r="BO405" s="503" t="s">
        <v>417</v>
      </c>
      <c r="BP405" s="511">
        <f t="shared" si="390"/>
        <v>1.2445714285714284</v>
      </c>
      <c r="BQ405" s="505" t="s">
        <v>613</v>
      </c>
      <c r="BR405" s="504">
        <v>0.2</v>
      </c>
      <c r="BS405" s="504">
        <v>0.5</v>
      </c>
      <c r="BT405" s="503" t="s">
        <v>417</v>
      </c>
      <c r="BU405" s="473"/>
      <c r="BV405" s="511">
        <v>25</v>
      </c>
      <c r="BW405" s="505" t="s">
        <v>612</v>
      </c>
      <c r="BX405" s="473"/>
      <c r="BY405" s="511">
        <v>370.88228571428567</v>
      </c>
      <c r="BZ405" s="505" t="s">
        <v>612</v>
      </c>
      <c r="CA405" s="473"/>
      <c r="CB405" s="475"/>
      <c r="CC405" s="473"/>
      <c r="CD405" s="473"/>
      <c r="CE405" s="475"/>
      <c r="CF405" s="475"/>
      <c r="CG405" s="475"/>
      <c r="CH405" s="475"/>
      <c r="CI405" s="473"/>
      <c r="CJ405" s="473"/>
      <c r="CK405" s="475"/>
      <c r="CL405" s="475"/>
      <c r="CM405" s="475"/>
      <c r="CN405" s="360"/>
      <c r="CO405" s="346">
        <v>0.2</v>
      </c>
      <c r="CP405" s="346">
        <f t="shared" si="383"/>
        <v>0.5</v>
      </c>
      <c r="CX405" s="132" t="s">
        <v>267</v>
      </c>
      <c r="CY405" s="132">
        <v>1</v>
      </c>
      <c r="CZ405" s="387">
        <f t="shared" si="391"/>
        <v>21</v>
      </c>
      <c r="DA405" s="387">
        <f t="shared" si="392"/>
        <v>25</v>
      </c>
      <c r="DB405" s="132">
        <v>40</v>
      </c>
      <c r="DC405" s="132">
        <v>0.99</v>
      </c>
      <c r="DD405" s="387">
        <f t="shared" si="393"/>
        <v>39.6</v>
      </c>
      <c r="DE405" s="132">
        <v>0.02</v>
      </c>
      <c r="DF405" s="418">
        <f t="shared" si="394"/>
        <v>1.2445714285714284</v>
      </c>
      <c r="DG405" s="418">
        <f t="shared" si="395"/>
        <v>385.81714285714281</v>
      </c>
      <c r="DH405" s="418">
        <f t="shared" si="396"/>
        <v>370.88228571428567</v>
      </c>
      <c r="DI405" s="419">
        <f t="shared" si="397"/>
        <v>406.81714285714281</v>
      </c>
      <c r="DJ405" s="419">
        <f t="shared" si="397"/>
        <v>395.88228571428567</v>
      </c>
      <c r="DK405" s="360" t="s">
        <v>308</v>
      </c>
      <c r="DL405" s="344" t="s">
        <v>578</v>
      </c>
    </row>
    <row r="406" spans="1:116" s="344" customFormat="1" ht="33.75" hidden="1" thickBot="1" x14ac:dyDescent="0.4">
      <c r="O406" s="543" t="s">
        <v>265</v>
      </c>
      <c r="Q406" s="563">
        <v>0.36</v>
      </c>
      <c r="R406" s="563">
        <v>305</v>
      </c>
      <c r="S406" s="566">
        <f t="shared" si="384"/>
        <v>0</v>
      </c>
      <c r="T406" s="566">
        <f t="shared" si="385"/>
        <v>0</v>
      </c>
      <c r="U406" s="566">
        <f t="shared" si="385"/>
        <v>0.3148907142857143</v>
      </c>
      <c r="V406" s="566">
        <f t="shared" si="385"/>
        <v>1.2595628571428572</v>
      </c>
      <c r="W406" s="566">
        <f t="shared" si="385"/>
        <v>0.3148907142857143</v>
      </c>
      <c r="X406" s="566">
        <f t="shared" si="385"/>
        <v>0</v>
      </c>
      <c r="Y406" s="566">
        <f t="shared" si="385"/>
        <v>0.6297814285714286</v>
      </c>
      <c r="Z406" s="566">
        <f t="shared" si="385"/>
        <v>4.4084700000000003</v>
      </c>
      <c r="AA406" s="566">
        <f t="shared" si="385"/>
        <v>0</v>
      </c>
      <c r="AB406" s="566">
        <f t="shared" si="385"/>
        <v>0</v>
      </c>
      <c r="AC406" s="566">
        <f t="shared" si="385"/>
        <v>0.37786885714285712</v>
      </c>
      <c r="AD406" s="566">
        <f t="shared" si="385"/>
        <v>0</v>
      </c>
      <c r="AE406" s="566">
        <f t="shared" si="385"/>
        <v>6.2978142857142849</v>
      </c>
      <c r="AF406" s="566">
        <v>0</v>
      </c>
      <c r="AG406" s="566">
        <f t="shared" si="385"/>
        <v>0.6297814285714286</v>
      </c>
      <c r="AH406" s="563"/>
      <c r="AI406" s="345">
        <v>1</v>
      </c>
      <c r="AJ406" s="343">
        <v>0</v>
      </c>
      <c r="AL406" s="345">
        <v>8</v>
      </c>
      <c r="AM406" s="557">
        <v>0.3</v>
      </c>
      <c r="AN406" s="561">
        <v>2.5</v>
      </c>
      <c r="AO406" s="561">
        <v>0.1</v>
      </c>
      <c r="AP406" s="567">
        <f>(AN406*365)*(AO406*0.67*0.01*1)</f>
        <v>0.611375</v>
      </c>
      <c r="AQ406" s="567">
        <f>(AN406*365)*(AO406*0.67*0.001*1)</f>
        <v>6.1137500000000004E-2</v>
      </c>
      <c r="AR406" s="568"/>
      <c r="AS406" s="567">
        <f>(AN406*365)*(AO406*0.67*0.02*1)</f>
        <v>1.22275</v>
      </c>
      <c r="AT406" s="567">
        <f>(AN406*365)*(AO406*0.67*0.01*1)</f>
        <v>0.611375</v>
      </c>
      <c r="AU406" s="567">
        <f>(AN406*365)*(AO406*0.67*0.25*1)</f>
        <v>15.284375000000001</v>
      </c>
      <c r="AV406" s="567">
        <f>(AN406*365)*(AO406*0.67*0.73*1)</f>
        <v>44.630375000000001</v>
      </c>
      <c r="AW406" s="567">
        <f>(AN406*365)*(AO406*0.67*0.03*1)</f>
        <v>1.834125</v>
      </c>
      <c r="AX406" s="568"/>
      <c r="AY406" s="567">
        <f>(AN406*365)*(AO406*0.67*0.25*1)</f>
        <v>15.284375000000001</v>
      </c>
      <c r="AZ406" s="567">
        <f t="shared" si="386"/>
        <v>61.137500000000003</v>
      </c>
      <c r="BA406" s="567">
        <f t="shared" si="387"/>
        <v>6.1137500000000014</v>
      </c>
      <c r="BB406" s="567">
        <f t="shared" si="388"/>
        <v>0.3056875</v>
      </c>
      <c r="BC406" s="567">
        <f>(AN406*365)*(AO406*0.67*0.005*1)</f>
        <v>0.3056875</v>
      </c>
      <c r="BD406" s="567">
        <v>0</v>
      </c>
      <c r="BE406" s="567">
        <v>0</v>
      </c>
      <c r="BH406" s="364"/>
      <c r="BI406" s="586" t="s">
        <v>268</v>
      </c>
      <c r="BJ406" s="505" t="s">
        <v>308</v>
      </c>
      <c r="BK406" s="511">
        <f t="shared" si="389"/>
        <v>0</v>
      </c>
      <c r="BL406" s="505" t="s">
        <v>611</v>
      </c>
      <c r="BM406" s="504">
        <v>0.2</v>
      </c>
      <c r="BN406" s="504">
        <v>0.5</v>
      </c>
      <c r="BO406" s="503" t="s">
        <v>417</v>
      </c>
      <c r="BP406" s="511">
        <f t="shared" si="390"/>
        <v>0.79200000000000004</v>
      </c>
      <c r="BQ406" s="505" t="s">
        <v>613</v>
      </c>
      <c r="BR406" s="504">
        <v>0.2</v>
      </c>
      <c r="BS406" s="504">
        <v>0.5</v>
      </c>
      <c r="BT406" s="503" t="s">
        <v>417</v>
      </c>
      <c r="BU406" s="473"/>
      <c r="BV406" s="511">
        <v>0</v>
      </c>
      <c r="BW406" s="505" t="s">
        <v>612</v>
      </c>
      <c r="BX406" s="473"/>
      <c r="BY406" s="511">
        <v>236.01600000000002</v>
      </c>
      <c r="BZ406" s="505" t="s">
        <v>612</v>
      </c>
      <c r="CA406" s="473"/>
      <c r="CB406" s="475"/>
      <c r="CC406" s="473"/>
      <c r="CD406" s="473"/>
      <c r="CE406" s="475"/>
      <c r="CF406" s="475"/>
      <c r="CG406" s="475"/>
      <c r="CH406" s="475"/>
      <c r="CI406" s="473"/>
      <c r="CJ406" s="473"/>
      <c r="CK406" s="475"/>
      <c r="CL406" s="475"/>
      <c r="CM406" s="475"/>
      <c r="CN406" s="360"/>
      <c r="CO406" s="346">
        <v>0.2</v>
      </c>
      <c r="CP406" s="346">
        <f t="shared" si="383"/>
        <v>0.5</v>
      </c>
      <c r="CX406" s="132" t="s">
        <v>268</v>
      </c>
      <c r="CY406" s="132">
        <v>0</v>
      </c>
      <c r="CZ406" s="387">
        <f t="shared" si="391"/>
        <v>0</v>
      </c>
      <c r="DA406" s="387">
        <f t="shared" si="392"/>
        <v>0</v>
      </c>
      <c r="DB406" s="132">
        <v>70</v>
      </c>
      <c r="DC406" s="132">
        <v>0.36</v>
      </c>
      <c r="DD406" s="387">
        <f t="shared" si="393"/>
        <v>25.2</v>
      </c>
      <c r="DE406" s="132">
        <v>0.02</v>
      </c>
      <c r="DF406" s="418">
        <f t="shared" si="394"/>
        <v>0.79200000000000004</v>
      </c>
      <c r="DG406" s="418">
        <f t="shared" si="395"/>
        <v>245.52</v>
      </c>
      <c r="DH406" s="418">
        <f t="shared" si="396"/>
        <v>236.01600000000002</v>
      </c>
      <c r="DI406" s="419">
        <f t="shared" si="397"/>
        <v>245.52</v>
      </c>
      <c r="DJ406" s="419">
        <f t="shared" si="397"/>
        <v>236.01600000000002</v>
      </c>
      <c r="DK406" s="360" t="s">
        <v>308</v>
      </c>
      <c r="DL406" s="344" t="s">
        <v>578</v>
      </c>
    </row>
    <row r="407" spans="1:116" s="344" customFormat="1" ht="33.75" hidden="1" thickBot="1" x14ac:dyDescent="0.4">
      <c r="O407" s="543" t="s">
        <v>266</v>
      </c>
      <c r="Q407" s="563">
        <v>0.36</v>
      </c>
      <c r="R407" s="563">
        <v>305</v>
      </c>
      <c r="S407" s="566">
        <f t="shared" si="384"/>
        <v>0</v>
      </c>
      <c r="T407" s="566">
        <f t="shared" si="385"/>
        <v>0</v>
      </c>
      <c r="U407" s="566">
        <f t="shared" si="385"/>
        <v>0.3148907142857143</v>
      </c>
      <c r="V407" s="566">
        <f t="shared" si="385"/>
        <v>1.2595628571428572</v>
      </c>
      <c r="W407" s="566">
        <f t="shared" si="385"/>
        <v>0.3148907142857143</v>
      </c>
      <c r="X407" s="566">
        <f t="shared" si="385"/>
        <v>0</v>
      </c>
      <c r="Y407" s="566">
        <f t="shared" si="385"/>
        <v>0.6297814285714286</v>
      </c>
      <c r="Z407" s="566">
        <f t="shared" si="385"/>
        <v>4.4084700000000003</v>
      </c>
      <c r="AA407" s="566">
        <f t="shared" si="385"/>
        <v>0</v>
      </c>
      <c r="AB407" s="566">
        <f t="shared" si="385"/>
        <v>0</v>
      </c>
      <c r="AC407" s="566">
        <f t="shared" si="385"/>
        <v>0.37786885714285712</v>
      </c>
      <c r="AD407" s="566">
        <f t="shared" si="385"/>
        <v>0</v>
      </c>
      <c r="AE407" s="566">
        <f t="shared" si="385"/>
        <v>6.2978142857142849</v>
      </c>
      <c r="AF407" s="566">
        <v>0</v>
      </c>
      <c r="AG407" s="566">
        <f t="shared" si="385"/>
        <v>0.6297814285714286</v>
      </c>
      <c r="AH407" s="563"/>
      <c r="AI407" s="345">
        <v>1</v>
      </c>
      <c r="AJ407" s="343">
        <v>0</v>
      </c>
      <c r="AL407" s="345">
        <v>21</v>
      </c>
      <c r="AM407" s="557">
        <v>0.3</v>
      </c>
      <c r="AN407" s="561">
        <v>2.5</v>
      </c>
      <c r="AO407" s="561">
        <v>0.1</v>
      </c>
      <c r="AP407" s="567">
        <f>(AN407*365)*(AO407*0.67*0.015*1)</f>
        <v>0.9170625</v>
      </c>
      <c r="AQ407" s="567">
        <f>(AN407*365)*(AO407*0.67*0.005*1)</f>
        <v>0.3056875</v>
      </c>
      <c r="AR407" s="568"/>
      <c r="AS407" s="567">
        <f>(AN407*365)*(AO407*0.67*0.04*1)</f>
        <v>2.4455</v>
      </c>
      <c r="AT407" s="567">
        <f>(AN407*365)*(AO407*0.67*0.015*1)</f>
        <v>0.9170625</v>
      </c>
      <c r="AU407" s="567">
        <f>(AN407*365)*(AO407*0.67*0.65*1)</f>
        <v>39.739375000000003</v>
      </c>
      <c r="AV407" s="567">
        <f>(AN407*365)*(AO407*0.67*0.79*1)</f>
        <v>48.298625000000001</v>
      </c>
      <c r="AW407" s="567">
        <f>(AN407*365)*(AO407*0.67*0.03*1)</f>
        <v>1.834125</v>
      </c>
      <c r="AX407" s="568"/>
      <c r="AY407" s="567">
        <f>(AN407*365)*(AO407*0.67*0.65*1)</f>
        <v>39.739375000000003</v>
      </c>
      <c r="AZ407" s="567">
        <f t="shared" si="386"/>
        <v>61.137500000000003</v>
      </c>
      <c r="BA407" s="567">
        <f t="shared" si="387"/>
        <v>6.1137500000000014</v>
      </c>
      <c r="BB407" s="567">
        <f t="shared" si="388"/>
        <v>0.3056875</v>
      </c>
      <c r="BC407" s="567">
        <f>(AN407*365)*(AO407*0.67*0.01*1)</f>
        <v>0.611375</v>
      </c>
      <c r="BD407" s="567">
        <v>0</v>
      </c>
      <c r="BE407" s="567">
        <v>0</v>
      </c>
      <c r="BH407" s="364"/>
      <c r="BI407" s="586" t="s">
        <v>269</v>
      </c>
      <c r="BJ407" s="505" t="s">
        <v>308</v>
      </c>
      <c r="BK407" s="511">
        <f t="shared" si="389"/>
        <v>1</v>
      </c>
      <c r="BL407" s="505" t="s">
        <v>611</v>
      </c>
      <c r="BM407" s="504">
        <v>0.2</v>
      </c>
      <c r="BN407" s="504">
        <v>0.5</v>
      </c>
      <c r="BO407" s="503" t="s">
        <v>417</v>
      </c>
      <c r="BP407" s="511">
        <f t="shared" si="390"/>
        <v>0.79200000000000004</v>
      </c>
      <c r="BQ407" s="505" t="s">
        <v>613</v>
      </c>
      <c r="BR407" s="504">
        <v>0.2</v>
      </c>
      <c r="BS407" s="504">
        <v>0.5</v>
      </c>
      <c r="BT407" s="503" t="s">
        <v>417</v>
      </c>
      <c r="BU407" s="473"/>
      <c r="BV407" s="511">
        <v>25</v>
      </c>
      <c r="BW407" s="505" t="s">
        <v>612</v>
      </c>
      <c r="BX407" s="473"/>
      <c r="BY407" s="511">
        <v>236.01600000000002</v>
      </c>
      <c r="BZ407" s="505" t="s">
        <v>612</v>
      </c>
      <c r="CA407" s="473"/>
      <c r="CB407" s="475"/>
      <c r="CC407" s="473"/>
      <c r="CD407" s="473"/>
      <c r="CE407" s="475"/>
      <c r="CF407" s="475"/>
      <c r="CG407" s="475"/>
      <c r="CH407" s="475"/>
      <c r="CI407" s="473"/>
      <c r="CJ407" s="473"/>
      <c r="CK407" s="475"/>
      <c r="CL407" s="475"/>
      <c r="CM407" s="475"/>
      <c r="CN407" s="360"/>
      <c r="CO407" s="346">
        <v>0.2</v>
      </c>
      <c r="CP407" s="346">
        <f t="shared" si="383"/>
        <v>0.5</v>
      </c>
      <c r="CX407" s="132" t="s">
        <v>269</v>
      </c>
      <c r="CY407" s="132">
        <v>1</v>
      </c>
      <c r="CZ407" s="387">
        <f t="shared" si="391"/>
        <v>21</v>
      </c>
      <c r="DA407" s="387">
        <f t="shared" si="392"/>
        <v>25</v>
      </c>
      <c r="DB407" s="132">
        <v>70</v>
      </c>
      <c r="DC407" s="132">
        <v>0.36</v>
      </c>
      <c r="DD407" s="387">
        <f t="shared" si="393"/>
        <v>25.2</v>
      </c>
      <c r="DE407" s="132">
        <v>0.02</v>
      </c>
      <c r="DF407" s="418">
        <f t="shared" si="394"/>
        <v>0.79200000000000004</v>
      </c>
      <c r="DG407" s="418">
        <f t="shared" si="395"/>
        <v>245.52</v>
      </c>
      <c r="DH407" s="418">
        <f t="shared" si="396"/>
        <v>236.01600000000002</v>
      </c>
      <c r="DI407" s="419">
        <f t="shared" si="397"/>
        <v>266.52</v>
      </c>
      <c r="DJ407" s="419">
        <f t="shared" si="397"/>
        <v>261.01600000000002</v>
      </c>
      <c r="DK407" s="360" t="s">
        <v>308</v>
      </c>
      <c r="DL407" s="344" t="s">
        <v>578</v>
      </c>
    </row>
    <row r="408" spans="1:116" s="344" customFormat="1" ht="33.75" hidden="1" thickBot="1" x14ac:dyDescent="0.4">
      <c r="O408" s="543" t="s">
        <v>267</v>
      </c>
      <c r="Q408" s="563">
        <v>0.36</v>
      </c>
      <c r="R408" s="563">
        <v>305</v>
      </c>
      <c r="S408" s="566">
        <f t="shared" si="384"/>
        <v>0</v>
      </c>
      <c r="T408" s="566">
        <f t="shared" si="385"/>
        <v>0</v>
      </c>
      <c r="U408" s="566">
        <f t="shared" si="385"/>
        <v>0.3148907142857143</v>
      </c>
      <c r="V408" s="566">
        <f t="shared" si="385"/>
        <v>1.2595628571428572</v>
      </c>
      <c r="W408" s="566">
        <f t="shared" si="385"/>
        <v>0.3148907142857143</v>
      </c>
      <c r="X408" s="566">
        <f t="shared" si="385"/>
        <v>0</v>
      </c>
      <c r="Y408" s="566">
        <f t="shared" si="385"/>
        <v>0.6297814285714286</v>
      </c>
      <c r="Z408" s="566">
        <f t="shared" si="385"/>
        <v>4.4084700000000003</v>
      </c>
      <c r="AA408" s="566">
        <f t="shared" si="385"/>
        <v>0</v>
      </c>
      <c r="AB408" s="566">
        <f t="shared" si="385"/>
        <v>0</v>
      </c>
      <c r="AC408" s="566">
        <f t="shared" si="385"/>
        <v>0.37786885714285712</v>
      </c>
      <c r="AD408" s="566">
        <f t="shared" si="385"/>
        <v>0</v>
      </c>
      <c r="AE408" s="566">
        <f t="shared" si="385"/>
        <v>6.2978142857142849</v>
      </c>
      <c r="AF408" s="566">
        <v>0</v>
      </c>
      <c r="AG408" s="566">
        <f t="shared" si="385"/>
        <v>0.6297814285714286</v>
      </c>
      <c r="AH408" s="563"/>
      <c r="AI408" s="345">
        <v>2</v>
      </c>
      <c r="AJ408" s="343">
        <v>0</v>
      </c>
      <c r="AL408" s="345">
        <v>26</v>
      </c>
      <c r="AM408" s="557">
        <v>0.3</v>
      </c>
      <c r="AN408" s="561">
        <v>2.5</v>
      </c>
      <c r="AO408" s="561">
        <v>0.1</v>
      </c>
      <c r="AP408" s="567">
        <f>(AN408*365)*(AO408*0.67*0.02*1)</f>
        <v>1.22275</v>
      </c>
      <c r="AQ408" s="567">
        <f>(AN408*365)*(AO408*0.67*0.01*1)</f>
        <v>0.611375</v>
      </c>
      <c r="AR408" s="568"/>
      <c r="AS408" s="567">
        <f>(AN408*365)*(AO408*0.67*0.05*1)</f>
        <v>3.0568750000000007</v>
      </c>
      <c r="AT408" s="567">
        <f>(AN408*365)*(AO408*0.67*0.02*1)</f>
        <v>1.22275</v>
      </c>
      <c r="AU408" s="567">
        <f>(AN408*365)*(AO408*0.67*0.8*1)</f>
        <v>48.910000000000011</v>
      </c>
      <c r="AV408" s="567">
        <f>(AN408*365)*(AO408*0.67*0.8*1)</f>
        <v>48.910000000000011</v>
      </c>
      <c r="AW408" s="567">
        <f>(AN408*365)*(AO408*0.67*0.3*1)</f>
        <v>18.341249999999999</v>
      </c>
      <c r="AX408" s="568"/>
      <c r="AY408" s="567">
        <f>(AN408*365)*(AO408*0.67*0.8*1)</f>
        <v>48.910000000000011</v>
      </c>
      <c r="AZ408" s="567">
        <f t="shared" si="386"/>
        <v>61.137500000000003</v>
      </c>
      <c r="BA408" s="567">
        <f t="shared" si="387"/>
        <v>6.1137500000000014</v>
      </c>
      <c r="BB408" s="567">
        <f t="shared" si="388"/>
        <v>0.3056875</v>
      </c>
      <c r="BC408" s="567">
        <f>(AN408*365)*(AO408*0.67*0.015*1)</f>
        <v>0.9170625</v>
      </c>
      <c r="BD408" s="567">
        <v>0</v>
      </c>
      <c r="BE408" s="567">
        <v>0</v>
      </c>
      <c r="BH408" s="364"/>
      <c r="BI408" s="586" t="s">
        <v>270</v>
      </c>
      <c r="BJ408" s="505" t="s">
        <v>308</v>
      </c>
      <c r="BK408" s="511">
        <f t="shared" si="389"/>
        <v>2</v>
      </c>
      <c r="BL408" s="505" t="s">
        <v>611</v>
      </c>
      <c r="BM408" s="504">
        <v>0.2</v>
      </c>
      <c r="BN408" s="504">
        <v>0.5</v>
      </c>
      <c r="BO408" s="503" t="s">
        <v>417</v>
      </c>
      <c r="BP408" s="511">
        <f t="shared" si="390"/>
        <v>0.79200000000000004</v>
      </c>
      <c r="BQ408" s="505" t="s">
        <v>613</v>
      </c>
      <c r="BR408" s="504">
        <v>0.2</v>
      </c>
      <c r="BS408" s="504">
        <v>0.5</v>
      </c>
      <c r="BT408" s="503" t="s">
        <v>417</v>
      </c>
      <c r="BU408" s="473"/>
      <c r="BV408" s="511">
        <v>50</v>
      </c>
      <c r="BW408" s="505" t="s">
        <v>612</v>
      </c>
      <c r="BX408" s="473"/>
      <c r="BY408" s="511">
        <v>236.01600000000002</v>
      </c>
      <c r="BZ408" s="505" t="s">
        <v>612</v>
      </c>
      <c r="CA408" s="473"/>
      <c r="CB408" s="475"/>
      <c r="CC408" s="473"/>
      <c r="CD408" s="473"/>
      <c r="CE408" s="475"/>
      <c r="CF408" s="475"/>
      <c r="CG408" s="475"/>
      <c r="CH408" s="475"/>
      <c r="CI408" s="473"/>
      <c r="CJ408" s="473"/>
      <c r="CK408" s="475"/>
      <c r="CL408" s="475"/>
      <c r="CM408" s="475"/>
      <c r="CN408" s="360"/>
      <c r="CO408" s="346">
        <v>0.2</v>
      </c>
      <c r="CP408" s="346">
        <f t="shared" si="383"/>
        <v>0.5</v>
      </c>
      <c r="CX408" s="132" t="s">
        <v>270</v>
      </c>
      <c r="CY408" s="132">
        <v>2</v>
      </c>
      <c r="CZ408" s="387">
        <f t="shared" si="391"/>
        <v>42</v>
      </c>
      <c r="DA408" s="387">
        <f t="shared" si="392"/>
        <v>50</v>
      </c>
      <c r="DB408" s="132">
        <v>70</v>
      </c>
      <c r="DC408" s="132">
        <v>0.36</v>
      </c>
      <c r="DD408" s="387">
        <f t="shared" si="393"/>
        <v>25.2</v>
      </c>
      <c r="DE408" s="132">
        <v>0.02</v>
      </c>
      <c r="DF408" s="418">
        <f t="shared" si="394"/>
        <v>0.79200000000000004</v>
      </c>
      <c r="DG408" s="418">
        <f t="shared" si="395"/>
        <v>245.52</v>
      </c>
      <c r="DH408" s="418">
        <f t="shared" si="396"/>
        <v>236.01600000000002</v>
      </c>
      <c r="DI408" s="419">
        <f t="shared" si="397"/>
        <v>287.52</v>
      </c>
      <c r="DJ408" s="419">
        <f t="shared" si="397"/>
        <v>286.01600000000002</v>
      </c>
      <c r="DK408" s="360" t="s">
        <v>308</v>
      </c>
      <c r="DL408" s="344" t="s">
        <v>578</v>
      </c>
    </row>
    <row r="409" spans="1:116" s="344" customFormat="1" ht="33.75" hidden="1" thickBot="1" x14ac:dyDescent="0.4">
      <c r="O409" s="543" t="s">
        <v>271</v>
      </c>
      <c r="Q409" s="563">
        <v>0.82</v>
      </c>
      <c r="R409" s="563">
        <v>1.8</v>
      </c>
      <c r="S409" s="566">
        <f t="shared" si="384"/>
        <v>0</v>
      </c>
      <c r="T409" s="566">
        <f t="shared" si="385"/>
        <v>0</v>
      </c>
      <c r="U409" s="566">
        <f t="shared" si="385"/>
        <v>4.2329571428571426E-3</v>
      </c>
      <c r="V409" s="566">
        <f t="shared" si="385"/>
        <v>1.6931828571428571E-2</v>
      </c>
      <c r="W409" s="566">
        <f t="shared" si="385"/>
        <v>4.2329571428571426E-3</v>
      </c>
      <c r="X409" s="566">
        <f t="shared" si="385"/>
        <v>0</v>
      </c>
      <c r="Y409" s="566">
        <v>0</v>
      </c>
      <c r="Z409" s="566">
        <v>0</v>
      </c>
      <c r="AA409" s="566">
        <f t="shared" si="385"/>
        <v>0</v>
      </c>
      <c r="AB409" s="566">
        <f t="shared" si="385"/>
        <v>0</v>
      </c>
      <c r="AC409" s="566">
        <f t="shared" si="385"/>
        <v>5.0795485714285717E-3</v>
      </c>
      <c r="AD409" s="566">
        <f t="shared" si="385"/>
        <v>0</v>
      </c>
      <c r="AE409" s="566">
        <f t="shared" si="385"/>
        <v>8.4659142857142863E-2</v>
      </c>
      <c r="AF409" s="566">
        <f t="shared" si="385"/>
        <v>8.4659142857142853E-3</v>
      </c>
      <c r="AG409" s="566">
        <f t="shared" si="385"/>
        <v>8.4659142857142853E-3</v>
      </c>
      <c r="AH409" s="563"/>
      <c r="AI409" s="345">
        <v>0.01</v>
      </c>
      <c r="AJ409" s="345">
        <v>1.2</v>
      </c>
      <c r="AL409" s="343">
        <v>0</v>
      </c>
      <c r="AM409" s="557">
        <v>0.3</v>
      </c>
      <c r="AN409" s="561">
        <v>0.1</v>
      </c>
      <c r="AO409" s="561">
        <v>0.24</v>
      </c>
      <c r="AP409" s="567">
        <f>(AN409*365)*(AO409*0.67*0.01*1)</f>
        <v>5.8692000000000001E-2</v>
      </c>
      <c r="AQ409" s="567">
        <f>(AN409*365)*(AO409*0.67*0.001*1)</f>
        <v>5.8691999999999998E-3</v>
      </c>
      <c r="AR409" s="568"/>
      <c r="AS409" s="567">
        <f>(AN409*365)*(AO409*0.67*0.02*1)</f>
        <v>0.117384</v>
      </c>
      <c r="AT409" s="567">
        <f>(AN409*365)*(AO409*0.67*0.01*1)</f>
        <v>5.8692000000000001E-2</v>
      </c>
      <c r="AU409" s="567">
        <f>(AN409*365)*(AO409*0.67*0.25*1)</f>
        <v>1.4673</v>
      </c>
      <c r="AV409" s="567">
        <f>(AN409*365)*(AO409*0.67*0.73*1)</f>
        <v>4.284516</v>
      </c>
      <c r="AW409" s="567">
        <v>0</v>
      </c>
      <c r="AX409" s="567" t="s">
        <v>740</v>
      </c>
      <c r="AY409" s="567">
        <v>0</v>
      </c>
      <c r="AZ409" s="567">
        <f t="shared" si="386"/>
        <v>5.8692000000000002</v>
      </c>
      <c r="BA409" s="567">
        <f t="shared" si="387"/>
        <v>0.58692</v>
      </c>
      <c r="BB409" s="567">
        <f t="shared" si="388"/>
        <v>2.9346000000000001E-2</v>
      </c>
      <c r="BC409" s="567">
        <f>(AN409*365)*(AO409*0.67*0.005*1)</f>
        <v>2.9346000000000001E-2</v>
      </c>
      <c r="BD409" s="567">
        <f>(AN409*365)*(AO409*0.67*0.0015*1)</f>
        <v>8.8038000000000005E-3</v>
      </c>
      <c r="BE409" s="567">
        <v>0</v>
      </c>
      <c r="BH409" s="364"/>
      <c r="BI409" s="586" t="s">
        <v>271</v>
      </c>
      <c r="BJ409" s="505" t="s">
        <v>309</v>
      </c>
      <c r="BK409" s="511">
        <f t="shared" si="389"/>
        <v>1.2E-2</v>
      </c>
      <c r="BL409" s="505" t="s">
        <v>611</v>
      </c>
      <c r="BM409" s="504">
        <v>0.2</v>
      </c>
      <c r="BN409" s="504">
        <v>0.5</v>
      </c>
      <c r="BO409" s="503" t="s">
        <v>417</v>
      </c>
      <c r="BP409" s="511">
        <f t="shared" si="390"/>
        <v>7.92E-3</v>
      </c>
      <c r="BQ409" s="505" t="s">
        <v>613</v>
      </c>
      <c r="BR409" s="504">
        <v>0.2</v>
      </c>
      <c r="BS409" s="504">
        <v>0.5</v>
      </c>
      <c r="BT409" s="503" t="s">
        <v>417</v>
      </c>
      <c r="BU409" s="473"/>
      <c r="BV409" s="511">
        <v>0.3</v>
      </c>
      <c r="BW409" s="505" t="s">
        <v>612</v>
      </c>
      <c r="BX409" s="473"/>
      <c r="BY409" s="511">
        <v>2.36016</v>
      </c>
      <c r="BZ409" s="505" t="s">
        <v>612</v>
      </c>
      <c r="CA409" s="473"/>
      <c r="CB409" s="475"/>
      <c r="CC409" s="473"/>
      <c r="CD409" s="473"/>
      <c r="CE409" s="475"/>
      <c r="CF409" s="475"/>
      <c r="CG409" s="475"/>
      <c r="CH409" s="475"/>
      <c r="CI409" s="473"/>
      <c r="CJ409" s="473"/>
      <c r="CK409" s="475"/>
      <c r="CL409" s="475"/>
      <c r="CM409" s="475"/>
      <c r="CN409" s="360"/>
      <c r="CO409" s="346">
        <v>0.2</v>
      </c>
      <c r="CP409" s="346">
        <f t="shared" si="383"/>
        <v>0.5</v>
      </c>
      <c r="CX409" s="132" t="s">
        <v>271</v>
      </c>
      <c r="CY409" s="132">
        <v>1.2E-2</v>
      </c>
      <c r="CZ409" s="387">
        <f t="shared" si="391"/>
        <v>0.252</v>
      </c>
      <c r="DA409" s="387">
        <f t="shared" si="392"/>
        <v>0.3</v>
      </c>
      <c r="DB409" s="132">
        <v>0.6</v>
      </c>
      <c r="DC409" s="132">
        <v>0.42</v>
      </c>
      <c r="DD409" s="387">
        <f t="shared" si="393"/>
        <v>0.252</v>
      </c>
      <c r="DE409" s="132">
        <v>0.02</v>
      </c>
      <c r="DF409" s="418">
        <f t="shared" si="394"/>
        <v>7.92E-3</v>
      </c>
      <c r="DG409" s="418">
        <f t="shared" si="395"/>
        <v>2.4552</v>
      </c>
      <c r="DH409" s="418">
        <f t="shared" si="396"/>
        <v>2.36016</v>
      </c>
      <c r="DI409" s="419">
        <f t="shared" si="397"/>
        <v>2.7072000000000003</v>
      </c>
      <c r="DJ409" s="419">
        <f t="shared" si="397"/>
        <v>2.6601599999999999</v>
      </c>
      <c r="DK409" s="360" t="s">
        <v>309</v>
      </c>
      <c r="DL409" s="344" t="s">
        <v>579</v>
      </c>
    </row>
    <row r="410" spans="1:116" s="344" customFormat="1" ht="33.75" hidden="1" thickBot="1" x14ac:dyDescent="0.4">
      <c r="O410" s="543" t="s">
        <v>272</v>
      </c>
      <c r="Q410" s="563">
        <v>0.82</v>
      </c>
      <c r="R410" s="563">
        <v>1.8</v>
      </c>
      <c r="S410" s="566">
        <f t="shared" si="384"/>
        <v>0</v>
      </c>
      <c r="T410" s="566">
        <f t="shared" si="385"/>
        <v>0</v>
      </c>
      <c r="U410" s="566">
        <f t="shared" si="385"/>
        <v>4.2329571428571426E-3</v>
      </c>
      <c r="V410" s="566">
        <f t="shared" si="385"/>
        <v>1.6931828571428571E-2</v>
      </c>
      <c r="W410" s="566">
        <f t="shared" si="385"/>
        <v>4.2329571428571426E-3</v>
      </c>
      <c r="X410" s="566">
        <f t="shared" si="385"/>
        <v>0</v>
      </c>
      <c r="Y410" s="566">
        <v>0</v>
      </c>
      <c r="Z410" s="566">
        <v>0</v>
      </c>
      <c r="AA410" s="566">
        <f t="shared" si="385"/>
        <v>0</v>
      </c>
      <c r="AB410" s="566">
        <f t="shared" si="385"/>
        <v>0</v>
      </c>
      <c r="AC410" s="566">
        <f t="shared" si="385"/>
        <v>5.0795485714285717E-3</v>
      </c>
      <c r="AD410" s="566">
        <f t="shared" si="385"/>
        <v>0</v>
      </c>
      <c r="AE410" s="566">
        <f t="shared" si="385"/>
        <v>8.4659142857142863E-2</v>
      </c>
      <c r="AF410" s="566">
        <f t="shared" si="385"/>
        <v>8.4659142857142853E-3</v>
      </c>
      <c r="AG410" s="566">
        <f t="shared" si="385"/>
        <v>8.4659142857142853E-3</v>
      </c>
      <c r="AH410" s="563"/>
      <c r="AI410" s="345">
        <v>0.02</v>
      </c>
      <c r="AJ410" s="345">
        <v>1.4</v>
      </c>
      <c r="AL410" s="343">
        <v>0</v>
      </c>
      <c r="AM410" s="557">
        <v>0.3</v>
      </c>
      <c r="AN410" s="561">
        <v>0.1</v>
      </c>
      <c r="AO410" s="561">
        <v>0.24</v>
      </c>
      <c r="AP410" s="567">
        <f>(AN410*365)*(AO410*0.67*0.015*1)</f>
        <v>8.8038000000000005E-2</v>
      </c>
      <c r="AQ410" s="567">
        <f>(AN410*365)*(AO410*0.67*0.005*1)</f>
        <v>2.9346000000000001E-2</v>
      </c>
      <c r="AR410" s="568"/>
      <c r="AS410" s="567">
        <f>(AN410*365)*(AO410*0.67*0.04*1)</f>
        <v>0.234768</v>
      </c>
      <c r="AT410" s="567">
        <f>(AN410*365)*(AO410*0.67*0.015*1)</f>
        <v>8.8038000000000005E-2</v>
      </c>
      <c r="AU410" s="567">
        <f>(AN410*365)*(AO410*0.67*0.65*1)</f>
        <v>3.8149800000000003</v>
      </c>
      <c r="AV410" s="567">
        <f>(AN410*365)*(AO410*0.67*0.79*1)</f>
        <v>4.6366680000000002</v>
      </c>
      <c r="AW410" s="567">
        <v>0</v>
      </c>
      <c r="AX410" s="567" t="s">
        <v>740</v>
      </c>
      <c r="AY410" s="567">
        <v>0</v>
      </c>
      <c r="AZ410" s="567">
        <f t="shared" si="386"/>
        <v>5.8692000000000002</v>
      </c>
      <c r="BA410" s="567">
        <f t="shared" si="387"/>
        <v>0.58692</v>
      </c>
      <c r="BB410" s="567">
        <f t="shared" si="388"/>
        <v>2.9346000000000001E-2</v>
      </c>
      <c r="BC410" s="567">
        <f>(AN410*365)*(AO410*0.67*0.01*1)</f>
        <v>5.8692000000000001E-2</v>
      </c>
      <c r="BD410" s="567">
        <f>(AN410*365)*(AO410*0.67*0.0015*1)</f>
        <v>8.8038000000000005E-3</v>
      </c>
      <c r="BE410" s="567">
        <v>0</v>
      </c>
      <c r="BH410" s="364"/>
      <c r="BI410" s="586" t="s">
        <v>272</v>
      </c>
      <c r="BJ410" s="505" t="s">
        <v>309</v>
      </c>
      <c r="BK410" s="511">
        <f t="shared" si="389"/>
        <v>1.7999999999999999E-2</v>
      </c>
      <c r="BL410" s="505" t="s">
        <v>611</v>
      </c>
      <c r="BM410" s="504">
        <v>0.2</v>
      </c>
      <c r="BN410" s="504">
        <v>0.5</v>
      </c>
      <c r="BO410" s="503" t="s">
        <v>417</v>
      </c>
      <c r="BP410" s="511">
        <f t="shared" si="390"/>
        <v>7.92E-3</v>
      </c>
      <c r="BQ410" s="505" t="s">
        <v>613</v>
      </c>
      <c r="BR410" s="504">
        <v>0.2</v>
      </c>
      <c r="BS410" s="504">
        <v>0.5</v>
      </c>
      <c r="BT410" s="503" t="s">
        <v>417</v>
      </c>
      <c r="BU410" s="473"/>
      <c r="BV410" s="511">
        <v>0.44999999999999996</v>
      </c>
      <c r="BW410" s="505" t="s">
        <v>612</v>
      </c>
      <c r="BX410" s="473"/>
      <c r="BY410" s="511">
        <v>2.36016</v>
      </c>
      <c r="BZ410" s="505" t="s">
        <v>612</v>
      </c>
      <c r="CA410" s="473"/>
      <c r="CB410" s="475"/>
      <c r="CC410" s="473"/>
      <c r="CD410" s="473"/>
      <c r="CE410" s="475"/>
      <c r="CF410" s="475"/>
      <c r="CG410" s="475"/>
      <c r="CH410" s="475"/>
      <c r="CI410" s="473"/>
      <c r="CJ410" s="473"/>
      <c r="CK410" s="475"/>
      <c r="CL410" s="475"/>
      <c r="CM410" s="475"/>
      <c r="CN410" s="360"/>
      <c r="CO410" s="346">
        <v>0.2</v>
      </c>
      <c r="CP410" s="346">
        <f t="shared" si="383"/>
        <v>0.5</v>
      </c>
      <c r="CX410" s="132" t="s">
        <v>272</v>
      </c>
      <c r="CY410" s="132">
        <v>1.7999999999999999E-2</v>
      </c>
      <c r="CZ410" s="387">
        <f t="shared" si="391"/>
        <v>0.37799999999999995</v>
      </c>
      <c r="DA410" s="387">
        <f t="shared" si="392"/>
        <v>0.44999999999999996</v>
      </c>
      <c r="DB410" s="132">
        <v>0.6</v>
      </c>
      <c r="DC410" s="132">
        <v>0.42</v>
      </c>
      <c r="DD410" s="387">
        <f t="shared" si="393"/>
        <v>0.252</v>
      </c>
      <c r="DE410" s="132">
        <v>0.02</v>
      </c>
      <c r="DF410" s="418">
        <f t="shared" si="394"/>
        <v>7.92E-3</v>
      </c>
      <c r="DG410" s="418">
        <f t="shared" si="395"/>
        <v>2.4552</v>
      </c>
      <c r="DH410" s="418">
        <f t="shared" si="396"/>
        <v>2.36016</v>
      </c>
      <c r="DI410" s="419">
        <f t="shared" si="397"/>
        <v>2.8332000000000002</v>
      </c>
      <c r="DJ410" s="419">
        <f t="shared" si="397"/>
        <v>2.8101599999999998</v>
      </c>
      <c r="DK410" s="360" t="s">
        <v>309</v>
      </c>
      <c r="DL410" s="344" t="s">
        <v>579</v>
      </c>
    </row>
    <row r="411" spans="1:116" s="344" customFormat="1" ht="33.75" hidden="1" thickBot="1" x14ac:dyDescent="0.4">
      <c r="O411" s="543" t="s">
        <v>273</v>
      </c>
      <c r="Q411" s="563">
        <v>0.82</v>
      </c>
      <c r="R411" s="563">
        <v>1.8</v>
      </c>
      <c r="S411" s="566">
        <f t="shared" si="384"/>
        <v>0</v>
      </c>
      <c r="T411" s="566">
        <f t="shared" si="385"/>
        <v>0</v>
      </c>
      <c r="U411" s="566">
        <f t="shared" si="385"/>
        <v>4.2329571428571426E-3</v>
      </c>
      <c r="V411" s="566">
        <f t="shared" si="385"/>
        <v>1.6931828571428571E-2</v>
      </c>
      <c r="W411" s="566">
        <f t="shared" si="385"/>
        <v>4.2329571428571426E-3</v>
      </c>
      <c r="X411" s="566">
        <f t="shared" si="385"/>
        <v>0</v>
      </c>
      <c r="Y411" s="566">
        <v>0</v>
      </c>
      <c r="Z411" s="566">
        <v>0</v>
      </c>
      <c r="AA411" s="566">
        <f t="shared" si="385"/>
        <v>0</v>
      </c>
      <c r="AB411" s="566">
        <f t="shared" si="385"/>
        <v>0</v>
      </c>
      <c r="AC411" s="566">
        <f t="shared" si="385"/>
        <v>5.0795485714285717E-3</v>
      </c>
      <c r="AD411" s="566">
        <f t="shared" si="385"/>
        <v>0</v>
      </c>
      <c r="AE411" s="566">
        <f t="shared" si="385"/>
        <v>8.4659142857142863E-2</v>
      </c>
      <c r="AF411" s="566">
        <f t="shared" si="385"/>
        <v>8.4659142857142853E-3</v>
      </c>
      <c r="AG411" s="566">
        <f t="shared" si="385"/>
        <v>8.4659142857142853E-3</v>
      </c>
      <c r="AH411" s="563"/>
      <c r="AI411" s="345">
        <v>0.02</v>
      </c>
      <c r="AJ411" s="345">
        <v>1.4</v>
      </c>
      <c r="AL411" s="343">
        <v>0</v>
      </c>
      <c r="AM411" s="557">
        <v>0.3</v>
      </c>
      <c r="AN411" s="561">
        <v>0.1</v>
      </c>
      <c r="AO411" s="561">
        <v>0.24</v>
      </c>
      <c r="AP411" s="567">
        <f>(AN411*365)*(AO411*0.67*0.02*1)</f>
        <v>0.117384</v>
      </c>
      <c r="AQ411" s="567">
        <f>(AN411*365)*(AO411*0.67*0.01*1)</f>
        <v>5.8692000000000001E-2</v>
      </c>
      <c r="AR411" s="568"/>
      <c r="AS411" s="567">
        <f>(AN411*365)*(AO411*0.67*0.05*1)</f>
        <v>0.29346</v>
      </c>
      <c r="AT411" s="567">
        <f>(AN411*365)*(AO411*0.67*0.02*1)</f>
        <v>0.117384</v>
      </c>
      <c r="AU411" s="567">
        <f>(AN411*365)*(AO411*0.67*0.8*1)</f>
        <v>4.69536</v>
      </c>
      <c r="AV411" s="567">
        <f>(AN411*365)*(AO411*0.67*0.8*1)</f>
        <v>4.69536</v>
      </c>
      <c r="AW411" s="567">
        <v>0</v>
      </c>
      <c r="AX411" s="567" t="s">
        <v>740</v>
      </c>
      <c r="AY411" s="567">
        <v>0</v>
      </c>
      <c r="AZ411" s="567">
        <f t="shared" si="386"/>
        <v>5.8692000000000002</v>
      </c>
      <c r="BA411" s="567">
        <f t="shared" si="387"/>
        <v>0.58692</v>
      </c>
      <c r="BB411" s="567">
        <f t="shared" si="388"/>
        <v>2.9346000000000001E-2</v>
      </c>
      <c r="BC411" s="567">
        <f>(AN411*365)*(AO411*0.67*0.015*1)</f>
        <v>8.8038000000000005E-2</v>
      </c>
      <c r="BD411" s="567">
        <f>(AN411*365)*(AO411*0.67*0.0015*1)</f>
        <v>8.8038000000000005E-3</v>
      </c>
      <c r="BE411" s="567">
        <v>0</v>
      </c>
      <c r="BH411" s="364"/>
      <c r="BI411" s="586" t="s">
        <v>273</v>
      </c>
      <c r="BJ411" s="505" t="s">
        <v>309</v>
      </c>
      <c r="BK411" s="511">
        <f t="shared" si="389"/>
        <v>2.3E-2</v>
      </c>
      <c r="BL411" s="505" t="s">
        <v>611</v>
      </c>
      <c r="BM411" s="504">
        <v>0.2</v>
      </c>
      <c r="BN411" s="504">
        <v>0.5</v>
      </c>
      <c r="BO411" s="503" t="s">
        <v>417</v>
      </c>
      <c r="BP411" s="511">
        <f t="shared" si="390"/>
        <v>7.92E-3</v>
      </c>
      <c r="BQ411" s="505" t="s">
        <v>613</v>
      </c>
      <c r="BR411" s="504">
        <v>0.2</v>
      </c>
      <c r="BS411" s="504">
        <v>0.5</v>
      </c>
      <c r="BT411" s="503" t="s">
        <v>417</v>
      </c>
      <c r="BU411" s="473"/>
      <c r="BV411" s="511">
        <v>0.57499999999999996</v>
      </c>
      <c r="BW411" s="505" t="s">
        <v>612</v>
      </c>
      <c r="BX411" s="473"/>
      <c r="BY411" s="511">
        <v>2.36016</v>
      </c>
      <c r="BZ411" s="505" t="s">
        <v>612</v>
      </c>
      <c r="CA411" s="473"/>
      <c r="CB411" s="475"/>
      <c r="CC411" s="473"/>
      <c r="CD411" s="473"/>
      <c r="CE411" s="475"/>
      <c r="CF411" s="475"/>
      <c r="CG411" s="475"/>
      <c r="CH411" s="475"/>
      <c r="CI411" s="473"/>
      <c r="CJ411" s="473"/>
      <c r="CK411" s="475"/>
      <c r="CL411" s="475"/>
      <c r="CM411" s="475"/>
      <c r="CN411" s="360"/>
      <c r="CO411" s="346">
        <v>0.2</v>
      </c>
      <c r="CP411" s="346">
        <f t="shared" si="383"/>
        <v>0.5</v>
      </c>
      <c r="CX411" s="132" t="s">
        <v>273</v>
      </c>
      <c r="CY411" s="132">
        <v>2.3E-2</v>
      </c>
      <c r="CZ411" s="387">
        <f t="shared" si="391"/>
        <v>0.48299999999999998</v>
      </c>
      <c r="DA411" s="387">
        <f t="shared" si="392"/>
        <v>0.57499999999999996</v>
      </c>
      <c r="DB411" s="132">
        <v>0.6</v>
      </c>
      <c r="DC411" s="132">
        <v>0.42</v>
      </c>
      <c r="DD411" s="387">
        <f t="shared" si="393"/>
        <v>0.252</v>
      </c>
      <c r="DE411" s="132">
        <v>0.02</v>
      </c>
      <c r="DF411" s="418">
        <f t="shared" si="394"/>
        <v>7.92E-3</v>
      </c>
      <c r="DG411" s="418">
        <f t="shared" si="395"/>
        <v>2.4552</v>
      </c>
      <c r="DH411" s="418">
        <f t="shared" si="396"/>
        <v>2.36016</v>
      </c>
      <c r="DI411" s="419">
        <f t="shared" si="397"/>
        <v>2.9382000000000001</v>
      </c>
      <c r="DJ411" s="419">
        <f t="shared" si="397"/>
        <v>2.9351599999999998</v>
      </c>
      <c r="DK411" s="360" t="s">
        <v>309</v>
      </c>
      <c r="DL411" s="344" t="s">
        <v>579</v>
      </c>
    </row>
    <row r="412" spans="1:116" s="344" customFormat="1" ht="33.75" hidden="1" thickBot="1" x14ac:dyDescent="0.4">
      <c r="O412" s="543" t="s">
        <v>274</v>
      </c>
      <c r="Q412" s="563">
        <v>1.17</v>
      </c>
      <c r="R412" s="563">
        <v>28</v>
      </c>
      <c r="S412" s="566">
        <f t="shared" si="384"/>
        <v>0</v>
      </c>
      <c r="T412" s="566">
        <f t="shared" si="385"/>
        <v>0</v>
      </c>
      <c r="U412" s="566">
        <f t="shared" si="385"/>
        <v>9.3950999999999993E-2</v>
      </c>
      <c r="V412" s="566">
        <f t="shared" si="385"/>
        <v>0.37580399999999997</v>
      </c>
      <c r="W412" s="566">
        <f t="shared" si="385"/>
        <v>9.3950999999999993E-2</v>
      </c>
      <c r="X412" s="566">
        <f t="shared" si="385"/>
        <v>0</v>
      </c>
      <c r="Y412" s="566">
        <f t="shared" si="385"/>
        <v>0.18790199999999999</v>
      </c>
      <c r="Z412" s="566">
        <f t="shared" si="385"/>
        <v>1.3153140000000001</v>
      </c>
      <c r="AA412" s="566">
        <f t="shared" si="385"/>
        <v>0</v>
      </c>
      <c r="AB412" s="566">
        <f t="shared" si="385"/>
        <v>0</v>
      </c>
      <c r="AC412" s="566">
        <f t="shared" si="385"/>
        <v>0.1127412</v>
      </c>
      <c r="AD412" s="566">
        <f t="shared" si="385"/>
        <v>0</v>
      </c>
      <c r="AE412" s="566">
        <f t="shared" si="385"/>
        <v>1.8790199999999999</v>
      </c>
      <c r="AF412" s="566">
        <v>0</v>
      </c>
      <c r="AG412" s="566">
        <f t="shared" si="385"/>
        <v>0.18790199999999999</v>
      </c>
      <c r="AH412" s="563"/>
      <c r="AI412" s="345">
        <v>0.1</v>
      </c>
      <c r="AJ412" s="343">
        <v>0</v>
      </c>
      <c r="AL412" s="343">
        <v>0</v>
      </c>
      <c r="AM412" s="557">
        <v>0.3</v>
      </c>
      <c r="AN412" s="561">
        <v>0.32</v>
      </c>
      <c r="AO412" s="561">
        <v>0.13</v>
      </c>
      <c r="AP412" s="567">
        <f>(AN412*365)*(AO412*0.67*0.01*1)</f>
        <v>0.10173280000000001</v>
      </c>
      <c r="AQ412" s="567">
        <f>(AN412*365)*(AO412*0.67*0.001*1)</f>
        <v>1.0173280000000002E-2</v>
      </c>
      <c r="AR412" s="568"/>
      <c r="AS412" s="567">
        <f>(AN412*365)*(AO412*0.67*0.02*1)</f>
        <v>0.20346560000000002</v>
      </c>
      <c r="AT412" s="567">
        <f>(AN412*365)*(AO412*0.67*0.01*1)</f>
        <v>0.10173280000000001</v>
      </c>
      <c r="AU412" s="567">
        <f>(AN412*365)*(AO412*0.67*0.25*1)</f>
        <v>2.5433200000000005</v>
      </c>
      <c r="AV412" s="567">
        <f>(AN412*365)*(AO412*0.67*0.73*1)</f>
        <v>7.4264944000000002</v>
      </c>
      <c r="AW412" s="567">
        <f>(AN412*365)*(AO412*0.67*0.03*1)</f>
        <v>0.30519840000000004</v>
      </c>
      <c r="AX412" s="568"/>
      <c r="AY412" s="567">
        <f>(AN412*365)*(AO412*0.67*0.25*1)</f>
        <v>2.5433200000000005</v>
      </c>
      <c r="AZ412" s="567">
        <f t="shared" si="386"/>
        <v>10.173280000000002</v>
      </c>
      <c r="BA412" s="567">
        <f t="shared" si="387"/>
        <v>1.017328</v>
      </c>
      <c r="BB412" s="567">
        <f t="shared" si="388"/>
        <v>5.0866400000000006E-2</v>
      </c>
      <c r="BC412" s="567">
        <f>(AN412*365)*(AO412*0.67*0.005*1)</f>
        <v>5.0866400000000006E-2</v>
      </c>
      <c r="BD412" s="567">
        <v>0</v>
      </c>
      <c r="BE412" s="567">
        <v>0</v>
      </c>
      <c r="BH412" s="364"/>
      <c r="BI412" s="586" t="s">
        <v>274</v>
      </c>
      <c r="BJ412" s="505" t="s">
        <v>308</v>
      </c>
      <c r="BK412" s="511">
        <f t="shared" si="389"/>
        <v>0.1</v>
      </c>
      <c r="BL412" s="505" t="s">
        <v>611</v>
      </c>
      <c r="BM412" s="504">
        <v>0.2</v>
      </c>
      <c r="BN412" s="504">
        <v>0.5</v>
      </c>
      <c r="BO412" s="503" t="s">
        <v>417</v>
      </c>
      <c r="BP412" s="511">
        <f t="shared" si="390"/>
        <v>0.37714285714285711</v>
      </c>
      <c r="BQ412" s="505" t="s">
        <v>613</v>
      </c>
      <c r="BR412" s="504">
        <v>0.2</v>
      </c>
      <c r="BS412" s="504">
        <v>0.5</v>
      </c>
      <c r="BT412" s="503" t="s">
        <v>417</v>
      </c>
      <c r="BU412" s="473"/>
      <c r="BV412" s="511">
        <v>2.5</v>
      </c>
      <c r="BW412" s="505" t="s">
        <v>612</v>
      </c>
      <c r="BX412" s="473"/>
      <c r="BY412" s="511">
        <v>112.38857142857142</v>
      </c>
      <c r="BZ412" s="505" t="s">
        <v>612</v>
      </c>
      <c r="CA412" s="473"/>
      <c r="CB412" s="475"/>
      <c r="CC412" s="473"/>
      <c r="CD412" s="473"/>
      <c r="CE412" s="475"/>
      <c r="CF412" s="475"/>
      <c r="CG412" s="475"/>
      <c r="CH412" s="475"/>
      <c r="CI412" s="473"/>
      <c r="CJ412" s="473"/>
      <c r="CK412" s="475"/>
      <c r="CL412" s="475"/>
      <c r="CM412" s="475"/>
      <c r="CN412" s="360"/>
      <c r="CO412" s="346">
        <v>0.2</v>
      </c>
      <c r="CP412" s="346">
        <f t="shared" si="383"/>
        <v>0.5</v>
      </c>
      <c r="CX412" s="132" t="s">
        <v>274</v>
      </c>
      <c r="CY412" s="132">
        <v>0.1</v>
      </c>
      <c r="CZ412" s="387">
        <f t="shared" si="391"/>
        <v>2.1</v>
      </c>
      <c r="DA412" s="387">
        <f t="shared" si="392"/>
        <v>2.5</v>
      </c>
      <c r="DB412" s="132">
        <v>12</v>
      </c>
      <c r="DC412" s="132">
        <v>1</v>
      </c>
      <c r="DD412" s="387">
        <f t="shared" si="393"/>
        <v>12</v>
      </c>
      <c r="DE412" s="132">
        <v>0.02</v>
      </c>
      <c r="DF412" s="418">
        <f t="shared" si="394"/>
        <v>0.37714285714285711</v>
      </c>
      <c r="DG412" s="418">
        <f t="shared" si="395"/>
        <v>116.91428571428571</v>
      </c>
      <c r="DH412" s="418">
        <f t="shared" si="396"/>
        <v>112.38857142857142</v>
      </c>
      <c r="DI412" s="419">
        <f t="shared" si="397"/>
        <v>119.01428571428571</v>
      </c>
      <c r="DJ412" s="419">
        <f t="shared" si="397"/>
        <v>114.88857142857142</v>
      </c>
      <c r="DK412" s="360" t="s">
        <v>308</v>
      </c>
      <c r="DL412" s="344" t="s">
        <v>578</v>
      </c>
    </row>
    <row r="413" spans="1:116" s="344" customFormat="1" ht="33.75" hidden="1" thickBot="1" x14ac:dyDescent="0.4">
      <c r="O413" s="543" t="s">
        <v>513</v>
      </c>
      <c r="Q413" s="563">
        <v>1.17</v>
      </c>
      <c r="R413" s="563">
        <v>28</v>
      </c>
      <c r="S413" s="566">
        <f t="shared" si="384"/>
        <v>0</v>
      </c>
      <c r="T413" s="566">
        <f t="shared" si="385"/>
        <v>0</v>
      </c>
      <c r="U413" s="566">
        <f t="shared" si="385"/>
        <v>9.3950999999999993E-2</v>
      </c>
      <c r="V413" s="566">
        <f t="shared" si="385"/>
        <v>0.37580399999999997</v>
      </c>
      <c r="W413" s="566">
        <f t="shared" si="385"/>
        <v>9.3950999999999993E-2</v>
      </c>
      <c r="X413" s="566">
        <f t="shared" si="385"/>
        <v>0</v>
      </c>
      <c r="Y413" s="566">
        <f t="shared" si="385"/>
        <v>0.18790199999999999</v>
      </c>
      <c r="Z413" s="566">
        <f t="shared" si="385"/>
        <v>1.3153140000000001</v>
      </c>
      <c r="AA413" s="566">
        <f t="shared" si="385"/>
        <v>0</v>
      </c>
      <c r="AB413" s="566">
        <f t="shared" si="385"/>
        <v>0</v>
      </c>
      <c r="AC413" s="566">
        <f t="shared" si="385"/>
        <v>0.1127412</v>
      </c>
      <c r="AD413" s="566">
        <f t="shared" si="385"/>
        <v>0</v>
      </c>
      <c r="AE413" s="566">
        <f t="shared" si="385"/>
        <v>1.8790199999999999</v>
      </c>
      <c r="AF413" s="566">
        <v>0</v>
      </c>
      <c r="AG413" s="566">
        <f t="shared" si="385"/>
        <v>0.18790199999999999</v>
      </c>
      <c r="AH413" s="563"/>
      <c r="AI413" s="345">
        <v>0.15</v>
      </c>
      <c r="AJ413" s="343">
        <v>0</v>
      </c>
      <c r="AL413" s="343">
        <v>0</v>
      </c>
      <c r="AM413" s="557">
        <v>0.3</v>
      </c>
      <c r="AN413" s="561">
        <v>0.32</v>
      </c>
      <c r="AO413" s="561">
        <v>0.13</v>
      </c>
      <c r="AP413" s="567">
        <f>(AN413*365)*(AO413*0.67*0.015*1)</f>
        <v>0.15259920000000002</v>
      </c>
      <c r="AQ413" s="567">
        <f>(AN413*365)*(AO413*0.67*0.005*1)</f>
        <v>5.0866400000000006E-2</v>
      </c>
      <c r="AR413" s="568"/>
      <c r="AS413" s="567">
        <f>(AN413*365)*(AO413*0.67*0.04*1)</f>
        <v>0.40693120000000005</v>
      </c>
      <c r="AT413" s="567">
        <f>(AN413*365)*(AO413*0.67*0.015*1)</f>
        <v>0.15259920000000002</v>
      </c>
      <c r="AU413" s="567">
        <f>(AN413*365)*(AO413*0.67*0.65*1)</f>
        <v>6.6126320000000005</v>
      </c>
      <c r="AV413" s="567">
        <f>(AN413*365)*(AO413*0.67*0.79*1)</f>
        <v>8.0368912000000012</v>
      </c>
      <c r="AW413" s="567">
        <f>(AN413*365)*(AO413*0.67*0.03*1)</f>
        <v>0.30519840000000004</v>
      </c>
      <c r="AX413" s="568"/>
      <c r="AY413" s="567">
        <f>(AN413*365)*(AO413*0.67*0.65*1)</f>
        <v>6.6126320000000005</v>
      </c>
      <c r="AZ413" s="567">
        <f t="shared" si="386"/>
        <v>10.173280000000002</v>
      </c>
      <c r="BA413" s="567">
        <f t="shared" si="387"/>
        <v>1.017328</v>
      </c>
      <c r="BB413" s="567">
        <f t="shared" si="388"/>
        <v>5.0866400000000006E-2</v>
      </c>
      <c r="BC413" s="567">
        <f>(AN413*365)*(AO413*0.67*0.01*1)</f>
        <v>0.10173280000000001</v>
      </c>
      <c r="BD413" s="567">
        <v>0</v>
      </c>
      <c r="BE413" s="567">
        <v>0</v>
      </c>
      <c r="BH413" s="364"/>
      <c r="BI413" s="586" t="s">
        <v>513</v>
      </c>
      <c r="BJ413" s="505" t="s">
        <v>308</v>
      </c>
      <c r="BK413" s="511">
        <f t="shared" si="389"/>
        <v>0.16</v>
      </c>
      <c r="BL413" s="505" t="s">
        <v>611</v>
      </c>
      <c r="BM413" s="504">
        <v>0.2</v>
      </c>
      <c r="BN413" s="504">
        <v>0.5</v>
      </c>
      <c r="BO413" s="503" t="s">
        <v>417</v>
      </c>
      <c r="BP413" s="511">
        <f t="shared" si="390"/>
        <v>0.37714285714285711</v>
      </c>
      <c r="BQ413" s="505" t="s">
        <v>613</v>
      </c>
      <c r="BR413" s="504">
        <v>0.2</v>
      </c>
      <c r="BS413" s="504">
        <v>0.5</v>
      </c>
      <c r="BT413" s="503" t="s">
        <v>417</v>
      </c>
      <c r="BU413" s="475"/>
      <c r="BV413" s="511">
        <v>4</v>
      </c>
      <c r="BW413" s="505" t="s">
        <v>612</v>
      </c>
      <c r="BX413" s="475"/>
      <c r="BY413" s="511">
        <v>112.38857142857142</v>
      </c>
      <c r="BZ413" s="505" t="s">
        <v>612</v>
      </c>
      <c r="CA413" s="473"/>
      <c r="CB413" s="475"/>
      <c r="CC413" s="473"/>
      <c r="CD413" s="473"/>
      <c r="CE413" s="475"/>
      <c r="CF413" s="475"/>
      <c r="CG413" s="475"/>
      <c r="CH413" s="475"/>
      <c r="CI413" s="473"/>
      <c r="CJ413" s="473"/>
      <c r="CK413" s="475"/>
      <c r="CL413" s="475"/>
      <c r="CM413" s="475"/>
      <c r="CN413" s="360"/>
      <c r="CO413" s="346">
        <v>0.2</v>
      </c>
      <c r="CP413" s="346">
        <f t="shared" si="383"/>
        <v>0.5</v>
      </c>
      <c r="CX413" s="132" t="s">
        <v>513</v>
      </c>
      <c r="CY413" s="132">
        <v>0.16</v>
      </c>
      <c r="CZ413" s="387">
        <f t="shared" si="391"/>
        <v>3.36</v>
      </c>
      <c r="DA413" s="387">
        <f t="shared" si="392"/>
        <v>4</v>
      </c>
      <c r="DB413" s="132">
        <v>12</v>
      </c>
      <c r="DC413" s="132">
        <v>1</v>
      </c>
      <c r="DD413" s="387">
        <f t="shared" si="393"/>
        <v>12</v>
      </c>
      <c r="DE413" s="132">
        <v>0.02</v>
      </c>
      <c r="DF413" s="418">
        <f t="shared" si="394"/>
        <v>0.37714285714285711</v>
      </c>
      <c r="DG413" s="418">
        <f t="shared" si="395"/>
        <v>116.91428571428571</v>
      </c>
      <c r="DH413" s="418">
        <f t="shared" si="396"/>
        <v>112.38857142857142</v>
      </c>
      <c r="DI413" s="419">
        <f t="shared" si="397"/>
        <v>120.27428571428571</v>
      </c>
      <c r="DJ413" s="419">
        <f t="shared" si="397"/>
        <v>116.38857142857142</v>
      </c>
      <c r="DK413" s="360" t="s">
        <v>308</v>
      </c>
      <c r="DL413" s="344" t="s">
        <v>578</v>
      </c>
    </row>
    <row r="414" spans="1:116" s="344" customFormat="1" ht="33.75" hidden="1" thickBot="1" x14ac:dyDescent="0.4">
      <c r="O414" s="543" t="s">
        <v>276</v>
      </c>
      <c r="Q414" s="563">
        <v>1.17</v>
      </c>
      <c r="R414" s="563">
        <v>28</v>
      </c>
      <c r="S414" s="566">
        <f t="shared" si="384"/>
        <v>0</v>
      </c>
      <c r="T414" s="566">
        <f t="shared" si="385"/>
        <v>0</v>
      </c>
      <c r="U414" s="566">
        <f t="shared" si="385"/>
        <v>9.3950999999999993E-2</v>
      </c>
      <c r="V414" s="566">
        <f t="shared" si="385"/>
        <v>0.37580399999999997</v>
      </c>
      <c r="W414" s="566">
        <f t="shared" si="385"/>
        <v>9.3950999999999993E-2</v>
      </c>
      <c r="X414" s="566">
        <f t="shared" si="385"/>
        <v>0</v>
      </c>
      <c r="Y414" s="566">
        <f t="shared" si="385"/>
        <v>0.18790199999999999</v>
      </c>
      <c r="Z414" s="566">
        <f t="shared" si="385"/>
        <v>1.3153140000000001</v>
      </c>
      <c r="AA414" s="566">
        <f t="shared" si="385"/>
        <v>0</v>
      </c>
      <c r="AB414" s="566">
        <f t="shared" si="385"/>
        <v>0</v>
      </c>
      <c r="AC414" s="566">
        <f t="shared" si="385"/>
        <v>0.1127412</v>
      </c>
      <c r="AD414" s="566">
        <f t="shared" si="385"/>
        <v>0</v>
      </c>
      <c r="AE414" s="566">
        <f t="shared" si="385"/>
        <v>1.8790199999999999</v>
      </c>
      <c r="AF414" s="566">
        <v>0</v>
      </c>
      <c r="AG414" s="566">
        <f t="shared" si="385"/>
        <v>0.18790199999999999</v>
      </c>
      <c r="AH414" s="563"/>
      <c r="AI414" s="345">
        <v>0.2</v>
      </c>
      <c r="AJ414" s="343">
        <v>0</v>
      </c>
      <c r="AL414" s="343">
        <v>0</v>
      </c>
      <c r="AM414" s="557">
        <v>0.3</v>
      </c>
      <c r="AN414" s="561">
        <v>0.32</v>
      </c>
      <c r="AO414" s="561">
        <v>0.13</v>
      </c>
      <c r="AP414" s="567">
        <f>(AN414*365)*(AO414*0.67*0.02*1)</f>
        <v>0.20346560000000002</v>
      </c>
      <c r="AQ414" s="567">
        <f>(AN414*365)*(AO414*0.67*0.01*1)</f>
        <v>0.10173280000000001</v>
      </c>
      <c r="AR414" s="568"/>
      <c r="AS414" s="567">
        <f>(AN414*365)*(AO414*0.67*0.05*1)</f>
        <v>0.50866400000000001</v>
      </c>
      <c r="AT414" s="567">
        <f>(AN414*365)*(AO414*0.67*0.02*1)</f>
        <v>0.20346560000000002</v>
      </c>
      <c r="AU414" s="567">
        <f>(AN414*365)*(AO414*0.67*0.8*1)</f>
        <v>8.1386240000000001</v>
      </c>
      <c r="AV414" s="567">
        <f>(AN414*365)*(AO414*0.67*0.8*1)</f>
        <v>8.1386240000000001</v>
      </c>
      <c r="AW414" s="567">
        <f>(AN414*365)*(AO414*0.67*0.3*1)</f>
        <v>3.0519840000000005</v>
      </c>
      <c r="AX414" s="568"/>
      <c r="AY414" s="567">
        <f>(AN414*365)*(AO414*0.67*0.8*1)</f>
        <v>8.1386240000000001</v>
      </c>
      <c r="AZ414" s="567">
        <f t="shared" si="386"/>
        <v>10.173280000000002</v>
      </c>
      <c r="BA414" s="567">
        <f t="shared" si="387"/>
        <v>1.017328</v>
      </c>
      <c r="BB414" s="567">
        <f t="shared" si="388"/>
        <v>5.0866400000000006E-2</v>
      </c>
      <c r="BC414" s="567">
        <f>(AN414*365)*(AO414*0.67*0.015*1)</f>
        <v>0.15259920000000002</v>
      </c>
      <c r="BD414" s="567">
        <v>0</v>
      </c>
      <c r="BE414" s="567">
        <v>0</v>
      </c>
      <c r="BH414" s="364"/>
      <c r="BI414" s="586" t="s">
        <v>276</v>
      </c>
      <c r="BJ414" s="505" t="s">
        <v>308</v>
      </c>
      <c r="BK414" s="511">
        <f t="shared" si="389"/>
        <v>0.21</v>
      </c>
      <c r="BL414" s="505" t="s">
        <v>611</v>
      </c>
      <c r="BM414" s="504">
        <v>0.2</v>
      </c>
      <c r="BN414" s="504">
        <v>0.5</v>
      </c>
      <c r="BO414" s="503" t="s">
        <v>417</v>
      </c>
      <c r="BP414" s="511">
        <f t="shared" si="390"/>
        <v>0.37714285714285711</v>
      </c>
      <c r="BQ414" s="505" t="s">
        <v>613</v>
      </c>
      <c r="BR414" s="504">
        <v>0.2</v>
      </c>
      <c r="BS414" s="504">
        <v>0.5</v>
      </c>
      <c r="BT414" s="503" t="s">
        <v>417</v>
      </c>
      <c r="BU414" s="475"/>
      <c r="BV414" s="511">
        <v>5.25</v>
      </c>
      <c r="BW414" s="505" t="s">
        <v>612</v>
      </c>
      <c r="BX414" s="475"/>
      <c r="BY414" s="511">
        <v>112.38857142857142</v>
      </c>
      <c r="BZ414" s="505" t="s">
        <v>612</v>
      </c>
      <c r="CA414" s="473"/>
      <c r="CB414" s="475"/>
      <c r="CC414" s="473"/>
      <c r="CD414" s="473"/>
      <c r="CE414" s="475"/>
      <c r="CF414" s="475"/>
      <c r="CG414" s="475"/>
      <c r="CH414" s="475"/>
      <c r="CI414" s="473"/>
      <c r="CJ414" s="473"/>
      <c r="CK414" s="475"/>
      <c r="CL414" s="475"/>
      <c r="CM414" s="475"/>
      <c r="CN414" s="360"/>
      <c r="CO414" s="346">
        <v>0.2</v>
      </c>
      <c r="CP414" s="346">
        <f t="shared" si="383"/>
        <v>0.5</v>
      </c>
      <c r="CX414" s="132" t="s">
        <v>276</v>
      </c>
      <c r="CY414" s="132">
        <v>0.21</v>
      </c>
      <c r="CZ414" s="387">
        <f t="shared" si="391"/>
        <v>4.41</v>
      </c>
      <c r="DA414" s="387">
        <f t="shared" si="392"/>
        <v>5.25</v>
      </c>
      <c r="DB414" s="132">
        <v>12</v>
      </c>
      <c r="DC414" s="132">
        <v>1</v>
      </c>
      <c r="DD414" s="387">
        <f t="shared" si="393"/>
        <v>12</v>
      </c>
      <c r="DE414" s="132">
        <v>0.02</v>
      </c>
      <c r="DF414" s="418">
        <f t="shared" si="394"/>
        <v>0.37714285714285711</v>
      </c>
      <c r="DG414" s="418">
        <f t="shared" si="395"/>
        <v>116.91428571428571</v>
      </c>
      <c r="DH414" s="418">
        <f t="shared" si="396"/>
        <v>112.38857142857142</v>
      </c>
      <c r="DI414" s="419">
        <f t="shared" si="397"/>
        <v>121.32428571428571</v>
      </c>
      <c r="DJ414" s="419">
        <f t="shared" si="397"/>
        <v>117.63857142857142</v>
      </c>
      <c r="DK414" s="360" t="s">
        <v>308</v>
      </c>
      <c r="DL414" s="344" t="s">
        <v>578</v>
      </c>
    </row>
    <row r="415" spans="1:116" s="344" customFormat="1" ht="33.75" hidden="1" thickBot="1" x14ac:dyDescent="0.4">
      <c r="O415" s="543" t="s">
        <v>722</v>
      </c>
      <c r="Q415" s="563">
        <v>1.57</v>
      </c>
      <c r="R415" s="563">
        <v>28</v>
      </c>
      <c r="S415" s="566">
        <f t="shared" si="384"/>
        <v>0</v>
      </c>
      <c r="T415" s="566">
        <f t="shared" si="385"/>
        <v>0</v>
      </c>
      <c r="U415" s="566">
        <f t="shared" si="385"/>
        <v>0.12607100000000002</v>
      </c>
      <c r="V415" s="566">
        <f t="shared" si="385"/>
        <v>0.50428400000000007</v>
      </c>
      <c r="W415" s="566">
        <f t="shared" si="385"/>
        <v>0.12607100000000002</v>
      </c>
      <c r="X415" s="566">
        <f t="shared" si="385"/>
        <v>0</v>
      </c>
      <c r="Y415" s="566">
        <f t="shared" si="385"/>
        <v>0.25214200000000003</v>
      </c>
      <c r="Z415" s="566">
        <f t="shared" si="385"/>
        <v>1.7649940000000004</v>
      </c>
      <c r="AA415" s="566">
        <f t="shared" si="385"/>
        <v>0</v>
      </c>
      <c r="AB415" s="566">
        <f t="shared" si="385"/>
        <v>0</v>
      </c>
      <c r="AC415" s="566">
        <f t="shared" si="385"/>
        <v>0.15128520000000001</v>
      </c>
      <c r="AD415" s="566">
        <f t="shared" si="385"/>
        <v>0</v>
      </c>
      <c r="AE415" s="566">
        <f t="shared" si="385"/>
        <v>2.52142</v>
      </c>
      <c r="AF415" s="566">
        <v>0</v>
      </c>
      <c r="AG415" s="566">
        <f t="shared" si="385"/>
        <v>0.25214200000000003</v>
      </c>
      <c r="AH415" s="563"/>
      <c r="AI415" s="345">
        <v>1</v>
      </c>
      <c r="AJ415" s="345">
        <v>12</v>
      </c>
      <c r="AL415" s="345">
        <v>8</v>
      </c>
      <c r="AM415" s="557">
        <v>0.3</v>
      </c>
      <c r="AN415" s="561">
        <v>0.3</v>
      </c>
      <c r="AO415" s="561">
        <v>0.28999999999999998</v>
      </c>
      <c r="AP415" s="567">
        <f>(AN415*365)*(AO415*0.67*0.01*1)</f>
        <v>0.21275850000000002</v>
      </c>
      <c r="AQ415" s="567">
        <f>(AN415*365)*(AO415*0.67*0.001*1)</f>
        <v>2.1275850000000002E-2</v>
      </c>
      <c r="AR415" s="568"/>
      <c r="AS415" s="567">
        <f>(AN415*365)*(AO415*0.67*0.02*1)</f>
        <v>0.42551700000000003</v>
      </c>
      <c r="AT415" s="567">
        <f>(AN415*365)*(AO415*0.67*0.01*1)</f>
        <v>0.21275850000000002</v>
      </c>
      <c r="AU415" s="567">
        <f>(AN415*365)*(AO415*0.67*0.25*1)</f>
        <v>5.3189624999999996</v>
      </c>
      <c r="AV415" s="567">
        <f>(AN415*365)*(AO415*0.67*0.73*1)</f>
        <v>15.5313705</v>
      </c>
      <c r="AW415" s="567">
        <f>(AN415*365)*(AO415*0.67*0.03*1)</f>
        <v>0.6382755</v>
      </c>
      <c r="AX415" s="568"/>
      <c r="AY415" s="567">
        <f>(AN415*365)*(AO415*0.67*0.25*1)</f>
        <v>5.3189624999999996</v>
      </c>
      <c r="AZ415" s="567">
        <f t="shared" si="386"/>
        <v>21.275849999999998</v>
      </c>
      <c r="BA415" s="567">
        <f t="shared" si="387"/>
        <v>2.1275850000000003</v>
      </c>
      <c r="BB415" s="567">
        <f t="shared" si="388"/>
        <v>0.10637925000000001</v>
      </c>
      <c r="BC415" s="567">
        <f>(AN415*365)*(AO415*0.67*0.005*1)</f>
        <v>0.10637925000000001</v>
      </c>
      <c r="BD415" s="567">
        <v>0</v>
      </c>
      <c r="BE415" s="567">
        <v>0</v>
      </c>
      <c r="BH415" s="364"/>
      <c r="BI415" s="586" t="s">
        <v>277</v>
      </c>
      <c r="BJ415" s="505" t="s">
        <v>308</v>
      </c>
      <c r="BK415" s="511">
        <f t="shared" si="389"/>
        <v>0</v>
      </c>
      <c r="BL415" s="505" t="s">
        <v>611</v>
      </c>
      <c r="BM415" s="504">
        <v>0.2</v>
      </c>
      <c r="BN415" s="504">
        <v>0.5</v>
      </c>
      <c r="BO415" s="503" t="s">
        <v>417</v>
      </c>
      <c r="BP415" s="511">
        <f t="shared" si="390"/>
        <v>0.25645714285714288</v>
      </c>
      <c r="BQ415" s="505" t="s">
        <v>613</v>
      </c>
      <c r="BR415" s="504">
        <v>0.2</v>
      </c>
      <c r="BS415" s="504">
        <v>0.5</v>
      </c>
      <c r="BT415" s="503" t="s">
        <v>417</v>
      </c>
      <c r="BU415" s="475"/>
      <c r="BV415" s="511">
        <v>0</v>
      </c>
      <c r="BW415" s="505" t="s">
        <v>612</v>
      </c>
      <c r="BX415" s="475"/>
      <c r="BY415" s="511">
        <v>76.424228571428586</v>
      </c>
      <c r="BZ415" s="505" t="s">
        <v>612</v>
      </c>
      <c r="CA415" s="473"/>
      <c r="CB415" s="475"/>
      <c r="CC415" s="473"/>
      <c r="CD415" s="473"/>
      <c r="CE415" s="475"/>
      <c r="CF415" s="475"/>
      <c r="CG415" s="475"/>
      <c r="CH415" s="475"/>
      <c r="CI415" s="473"/>
      <c r="CJ415" s="473"/>
      <c r="CK415" s="475"/>
      <c r="CL415" s="475"/>
      <c r="CM415" s="475"/>
      <c r="CN415" s="360"/>
      <c r="CO415" s="346">
        <v>0.2</v>
      </c>
      <c r="CP415" s="346">
        <f t="shared" si="383"/>
        <v>0.5</v>
      </c>
      <c r="CX415" s="132" t="s">
        <v>277</v>
      </c>
      <c r="CY415" s="132">
        <v>0</v>
      </c>
      <c r="CZ415" s="387">
        <f t="shared" si="391"/>
        <v>0</v>
      </c>
      <c r="DA415" s="387">
        <f t="shared" si="392"/>
        <v>0</v>
      </c>
      <c r="DB415" s="132">
        <v>16</v>
      </c>
      <c r="DC415" s="132">
        <v>0.51</v>
      </c>
      <c r="DD415" s="387">
        <f t="shared" si="393"/>
        <v>8.16</v>
      </c>
      <c r="DE415" s="132">
        <v>0.02</v>
      </c>
      <c r="DF415" s="418">
        <f t="shared" si="394"/>
        <v>0.25645714285714288</v>
      </c>
      <c r="DG415" s="418">
        <f t="shared" si="395"/>
        <v>79.5017142857143</v>
      </c>
      <c r="DH415" s="418">
        <f t="shared" si="396"/>
        <v>76.424228571428586</v>
      </c>
      <c r="DI415" s="419">
        <f t="shared" si="397"/>
        <v>79.5017142857143</v>
      </c>
      <c r="DJ415" s="419">
        <f t="shared" si="397"/>
        <v>76.424228571428586</v>
      </c>
      <c r="DK415" s="360" t="s">
        <v>308</v>
      </c>
      <c r="DL415" s="344" t="s">
        <v>578</v>
      </c>
    </row>
    <row r="416" spans="1:116" s="344" customFormat="1" ht="33.75" hidden="1" thickBot="1" x14ac:dyDescent="0.4">
      <c r="O416" s="543" t="s">
        <v>723</v>
      </c>
      <c r="Q416" s="563">
        <v>1.57</v>
      </c>
      <c r="R416" s="563">
        <v>28</v>
      </c>
      <c r="S416" s="566">
        <f t="shared" si="384"/>
        <v>0</v>
      </c>
      <c r="T416" s="566">
        <f t="shared" si="385"/>
        <v>0</v>
      </c>
      <c r="U416" s="566">
        <f t="shared" si="385"/>
        <v>0.12607100000000002</v>
      </c>
      <c r="V416" s="566">
        <f t="shared" si="385"/>
        <v>0.50428400000000007</v>
      </c>
      <c r="W416" s="566">
        <f t="shared" si="385"/>
        <v>0.12607100000000002</v>
      </c>
      <c r="X416" s="566">
        <f t="shared" si="385"/>
        <v>0</v>
      </c>
      <c r="Y416" s="566">
        <f t="shared" si="385"/>
        <v>0.25214200000000003</v>
      </c>
      <c r="Z416" s="566">
        <f t="shared" si="385"/>
        <v>1.7649940000000004</v>
      </c>
      <c r="AA416" s="566">
        <f t="shared" si="385"/>
        <v>0</v>
      </c>
      <c r="AB416" s="566">
        <f t="shared" si="385"/>
        <v>0</v>
      </c>
      <c r="AC416" s="566">
        <f t="shared" si="385"/>
        <v>0.15128520000000001</v>
      </c>
      <c r="AD416" s="566">
        <f t="shared" si="385"/>
        <v>0</v>
      </c>
      <c r="AE416" s="566">
        <f t="shared" si="385"/>
        <v>2.52142</v>
      </c>
      <c r="AF416" s="566">
        <v>0</v>
      </c>
      <c r="AG416" s="566">
        <f t="shared" si="385"/>
        <v>0.25214200000000003</v>
      </c>
      <c r="AH416" s="563"/>
      <c r="AI416" s="345">
        <v>1</v>
      </c>
      <c r="AJ416" s="345">
        <v>20</v>
      </c>
      <c r="AL416" s="345">
        <v>18</v>
      </c>
      <c r="AM416" s="557">
        <v>0.3</v>
      </c>
      <c r="AN416" s="561">
        <v>0.3</v>
      </c>
      <c r="AO416" s="561">
        <v>0.28999999999999998</v>
      </c>
      <c r="AP416" s="567">
        <f>(AN416*365)*(AO416*0.67*0.015*1)</f>
        <v>0.31913775</v>
      </c>
      <c r="AQ416" s="567">
        <f>(AN416*365)*(AO416*0.67*0.005*1)</f>
        <v>0.10637925000000001</v>
      </c>
      <c r="AR416" s="568"/>
      <c r="AS416" s="567">
        <f>(AN416*365)*(AO416*0.67*0.04*1)</f>
        <v>0.85103400000000007</v>
      </c>
      <c r="AT416" s="567">
        <f>(AN416*365)*(AO416*0.67*0.015*1)</f>
        <v>0.31913775</v>
      </c>
      <c r="AU416" s="567">
        <f>(AN416*365)*(AO416*0.67*0.65*1)</f>
        <v>13.829302500000002</v>
      </c>
      <c r="AV416" s="567">
        <f>(AN416*365)*(AO416*0.67*0.79*1)</f>
        <v>16.807921499999999</v>
      </c>
      <c r="AW416" s="567">
        <f>(AN416*365)*(AO416*0.67*0.03*1)</f>
        <v>0.6382755</v>
      </c>
      <c r="AX416" s="568"/>
      <c r="AY416" s="567">
        <f>(AN416*365)*(AO416*0.67*0.65*1)</f>
        <v>13.829302500000002</v>
      </c>
      <c r="AZ416" s="567">
        <f t="shared" si="386"/>
        <v>21.275849999999998</v>
      </c>
      <c r="BA416" s="567">
        <f t="shared" si="387"/>
        <v>2.1275850000000003</v>
      </c>
      <c r="BB416" s="567">
        <f t="shared" si="388"/>
        <v>0.10637925000000001</v>
      </c>
      <c r="BC416" s="567">
        <f>(AN416*365)*(AO416*0.67*0.01*1)</f>
        <v>0.21275850000000002</v>
      </c>
      <c r="BD416" s="567">
        <v>0</v>
      </c>
      <c r="BE416" s="567">
        <v>0</v>
      </c>
      <c r="BH416" s="364"/>
      <c r="BI416" s="586" t="s">
        <v>514</v>
      </c>
      <c r="BJ416" s="505" t="s">
        <v>308</v>
      </c>
      <c r="BK416" s="511">
        <f t="shared" si="389"/>
        <v>1</v>
      </c>
      <c r="BL416" s="505" t="s">
        <v>611</v>
      </c>
      <c r="BM416" s="504">
        <v>0.2</v>
      </c>
      <c r="BN416" s="504">
        <v>0.5</v>
      </c>
      <c r="BO416" s="503" t="s">
        <v>417</v>
      </c>
      <c r="BP416" s="511">
        <f t="shared" si="390"/>
        <v>0.25645714285714288</v>
      </c>
      <c r="BQ416" s="505" t="s">
        <v>613</v>
      </c>
      <c r="BR416" s="504">
        <v>0.2</v>
      </c>
      <c r="BS416" s="504">
        <v>0.5</v>
      </c>
      <c r="BT416" s="503" t="s">
        <v>417</v>
      </c>
      <c r="BU416" s="475"/>
      <c r="BV416" s="511">
        <v>25</v>
      </c>
      <c r="BW416" s="505" t="s">
        <v>612</v>
      </c>
      <c r="BX416" s="475"/>
      <c r="BY416" s="511">
        <v>76.424228571428586</v>
      </c>
      <c r="BZ416" s="505" t="s">
        <v>612</v>
      </c>
      <c r="CA416" s="475"/>
      <c r="CB416" s="475"/>
      <c r="CC416" s="473"/>
      <c r="CD416" s="473"/>
      <c r="CE416" s="475"/>
      <c r="CF416" s="475"/>
      <c r="CG416" s="475"/>
      <c r="CH416" s="475"/>
      <c r="CI416" s="473"/>
      <c r="CJ416" s="473"/>
      <c r="CK416" s="475"/>
      <c r="CL416" s="475"/>
      <c r="CM416" s="475"/>
      <c r="CN416" s="360"/>
      <c r="CO416" s="346">
        <v>0.2</v>
      </c>
      <c r="CP416" s="346">
        <f t="shared" si="383"/>
        <v>0.5</v>
      </c>
      <c r="CX416" s="132" t="s">
        <v>514</v>
      </c>
      <c r="CY416" s="132">
        <v>1</v>
      </c>
      <c r="CZ416" s="387">
        <f t="shared" si="391"/>
        <v>21</v>
      </c>
      <c r="DA416" s="387">
        <f t="shared" si="392"/>
        <v>25</v>
      </c>
      <c r="DB416" s="132">
        <v>16</v>
      </c>
      <c r="DC416" s="132">
        <v>0.51</v>
      </c>
      <c r="DD416" s="387">
        <f t="shared" si="393"/>
        <v>8.16</v>
      </c>
      <c r="DE416" s="132">
        <v>0.02</v>
      </c>
      <c r="DF416" s="418">
        <f t="shared" si="394"/>
        <v>0.25645714285714288</v>
      </c>
      <c r="DG416" s="418">
        <f t="shared" si="395"/>
        <v>79.5017142857143</v>
      </c>
      <c r="DH416" s="418">
        <f t="shared" si="396"/>
        <v>76.424228571428586</v>
      </c>
      <c r="DI416" s="419">
        <f t="shared" si="397"/>
        <v>100.5017142857143</v>
      </c>
      <c r="DJ416" s="419">
        <f t="shared" si="397"/>
        <v>101.42422857142859</v>
      </c>
      <c r="DK416" s="360" t="s">
        <v>308</v>
      </c>
      <c r="DL416" s="344" t="s">
        <v>578</v>
      </c>
    </row>
    <row r="417" spans="15:116" s="344" customFormat="1" ht="33.75" hidden="1" thickBot="1" x14ac:dyDescent="0.4">
      <c r="O417" s="543" t="s">
        <v>724</v>
      </c>
      <c r="Q417" s="563">
        <v>1.57</v>
      </c>
      <c r="R417" s="563">
        <v>28</v>
      </c>
      <c r="S417" s="566">
        <f t="shared" si="384"/>
        <v>0</v>
      </c>
      <c r="T417" s="566">
        <f t="shared" si="385"/>
        <v>0</v>
      </c>
      <c r="U417" s="566">
        <f t="shared" si="385"/>
        <v>0.12607100000000002</v>
      </c>
      <c r="V417" s="566">
        <f t="shared" si="385"/>
        <v>0.50428400000000007</v>
      </c>
      <c r="W417" s="566">
        <f t="shared" si="385"/>
        <v>0.12607100000000002</v>
      </c>
      <c r="X417" s="566">
        <f t="shared" si="385"/>
        <v>0</v>
      </c>
      <c r="Y417" s="566">
        <f t="shared" si="385"/>
        <v>0.25214200000000003</v>
      </c>
      <c r="Z417" s="566">
        <f t="shared" si="385"/>
        <v>1.7649940000000004</v>
      </c>
      <c r="AA417" s="566">
        <f t="shared" si="385"/>
        <v>0</v>
      </c>
      <c r="AB417" s="566">
        <f t="shared" si="385"/>
        <v>0</v>
      </c>
      <c r="AC417" s="566">
        <f t="shared" si="385"/>
        <v>0.15128520000000001</v>
      </c>
      <c r="AD417" s="566">
        <f t="shared" si="385"/>
        <v>0</v>
      </c>
      <c r="AE417" s="566">
        <f t="shared" si="385"/>
        <v>2.52142</v>
      </c>
      <c r="AF417" s="566">
        <v>0</v>
      </c>
      <c r="AG417" s="566">
        <f t="shared" si="385"/>
        <v>0.25214200000000003</v>
      </c>
      <c r="AH417" s="563"/>
      <c r="AI417" s="345">
        <v>2</v>
      </c>
      <c r="AJ417" s="345">
        <v>23</v>
      </c>
      <c r="AL417" s="345">
        <v>21</v>
      </c>
      <c r="AM417" s="557">
        <v>0.3</v>
      </c>
      <c r="AN417" s="561">
        <v>0.3</v>
      </c>
      <c r="AO417" s="561">
        <v>0.28999999999999998</v>
      </c>
      <c r="AP417" s="567">
        <f>(AN417*365)*(AO417*0.67*0.02*1)</f>
        <v>0.42551700000000003</v>
      </c>
      <c r="AQ417" s="567">
        <f>(AN417*365)*(AO417*0.67*0.01*1)</f>
        <v>0.21275850000000002</v>
      </c>
      <c r="AR417" s="568"/>
      <c r="AS417" s="567">
        <f>(AN417*365)*(AO417*0.67*0.05*1)</f>
        <v>1.0637925000000001</v>
      </c>
      <c r="AT417" s="567">
        <f>(AN417*365)*(AO417*0.67*0.02*1)</f>
        <v>0.42551700000000003</v>
      </c>
      <c r="AU417" s="567">
        <f>(AN417*365)*(AO417*0.67*0.8*1)</f>
        <v>17.020680000000002</v>
      </c>
      <c r="AV417" s="567">
        <f>(AN417*365)*(AO417*0.67*0.8*1)</f>
        <v>17.020680000000002</v>
      </c>
      <c r="AW417" s="567">
        <f>(AN417*365)*(AO417*0.67*0.3*1)</f>
        <v>6.3827549999999995</v>
      </c>
      <c r="AX417" s="568"/>
      <c r="AY417" s="567">
        <f>(AN417*365)*(AO417*0.67*0.8*1)</f>
        <v>17.020680000000002</v>
      </c>
      <c r="AZ417" s="567">
        <f t="shared" si="386"/>
        <v>21.275849999999998</v>
      </c>
      <c r="BA417" s="567">
        <f t="shared" si="387"/>
        <v>2.1275850000000003</v>
      </c>
      <c r="BB417" s="567">
        <f t="shared" si="388"/>
        <v>0.10637925000000001</v>
      </c>
      <c r="BC417" s="567">
        <f>(AN417*365)*(AO417*0.67*0.015*1)</f>
        <v>0.31913775</v>
      </c>
      <c r="BD417" s="567">
        <v>0</v>
      </c>
      <c r="BE417" s="567">
        <v>0</v>
      </c>
      <c r="BH417" s="364"/>
      <c r="BI417" s="586" t="s">
        <v>279</v>
      </c>
      <c r="BJ417" s="505" t="s">
        <v>308</v>
      </c>
      <c r="BK417" s="511">
        <f t="shared" si="389"/>
        <v>2</v>
      </c>
      <c r="BL417" s="505" t="s">
        <v>611</v>
      </c>
      <c r="BM417" s="504">
        <v>0.2</v>
      </c>
      <c r="BN417" s="504">
        <v>0.5</v>
      </c>
      <c r="BO417" s="503" t="s">
        <v>417</v>
      </c>
      <c r="BP417" s="511">
        <f t="shared" si="390"/>
        <v>0.25645714285714288</v>
      </c>
      <c r="BQ417" s="505" t="s">
        <v>613</v>
      </c>
      <c r="BR417" s="504">
        <v>0.2</v>
      </c>
      <c r="BS417" s="504">
        <v>0.5</v>
      </c>
      <c r="BT417" s="503" t="s">
        <v>417</v>
      </c>
      <c r="BU417" s="475"/>
      <c r="BV417" s="511">
        <v>50</v>
      </c>
      <c r="BW417" s="505" t="s">
        <v>612</v>
      </c>
      <c r="BX417" s="475"/>
      <c r="BY417" s="511">
        <v>76.424228571428586</v>
      </c>
      <c r="BZ417" s="505" t="s">
        <v>612</v>
      </c>
      <c r="CA417" s="475"/>
      <c r="CB417" s="475"/>
      <c r="CC417" s="473"/>
      <c r="CD417" s="473"/>
      <c r="CE417" s="475"/>
      <c r="CF417" s="475"/>
      <c r="CG417" s="475"/>
      <c r="CH417" s="475"/>
      <c r="CI417" s="473"/>
      <c r="CJ417" s="473"/>
      <c r="CK417" s="475"/>
      <c r="CL417" s="475"/>
      <c r="CM417" s="475"/>
      <c r="CN417" s="360"/>
      <c r="CO417" s="346">
        <v>0.2</v>
      </c>
      <c r="CP417" s="346">
        <f t="shared" si="383"/>
        <v>0.5</v>
      </c>
      <c r="CX417" s="132" t="s">
        <v>279</v>
      </c>
      <c r="CY417" s="132">
        <v>2</v>
      </c>
      <c r="CZ417" s="387">
        <f t="shared" si="391"/>
        <v>42</v>
      </c>
      <c r="DA417" s="387">
        <f t="shared" si="392"/>
        <v>50</v>
      </c>
      <c r="DB417" s="132">
        <v>16</v>
      </c>
      <c r="DC417" s="132">
        <v>0.51</v>
      </c>
      <c r="DD417" s="387">
        <f t="shared" si="393"/>
        <v>8.16</v>
      </c>
      <c r="DE417" s="132">
        <v>0.02</v>
      </c>
      <c r="DF417" s="418">
        <f t="shared" si="394"/>
        <v>0.25645714285714288</v>
      </c>
      <c r="DG417" s="418">
        <f t="shared" si="395"/>
        <v>79.5017142857143</v>
      </c>
      <c r="DH417" s="418">
        <f t="shared" si="396"/>
        <v>76.424228571428586</v>
      </c>
      <c r="DI417" s="419">
        <f t="shared" si="397"/>
        <v>121.5017142857143</v>
      </c>
      <c r="DJ417" s="419">
        <f t="shared" si="397"/>
        <v>126.42422857142859</v>
      </c>
      <c r="DK417" s="360" t="s">
        <v>308</v>
      </c>
      <c r="DL417" s="344" t="s">
        <v>578</v>
      </c>
    </row>
    <row r="418" spans="15:116" s="344" customFormat="1" ht="18.75" hidden="1" customHeight="1" thickBot="1" x14ac:dyDescent="0.4">
      <c r="O418" s="543" t="s">
        <v>744</v>
      </c>
      <c r="Q418" s="563">
        <v>0.55000000000000004</v>
      </c>
      <c r="R418" s="563">
        <v>28</v>
      </c>
      <c r="S418" s="566">
        <f t="shared" si="384"/>
        <v>0</v>
      </c>
      <c r="T418" s="566">
        <f t="shared" si="385"/>
        <v>0</v>
      </c>
      <c r="U418" s="566">
        <f t="shared" si="385"/>
        <v>4.4165000000000003E-2</v>
      </c>
      <c r="V418" s="566">
        <f t="shared" si="385"/>
        <v>0.17666000000000001</v>
      </c>
      <c r="W418" s="566">
        <f t="shared" si="385"/>
        <v>4.4165000000000003E-2</v>
      </c>
      <c r="X418" s="566">
        <f t="shared" si="385"/>
        <v>0</v>
      </c>
      <c r="Y418" s="566">
        <f t="shared" si="385"/>
        <v>8.8330000000000006E-2</v>
      </c>
      <c r="Z418" s="566">
        <f t="shared" si="385"/>
        <v>0.61831000000000003</v>
      </c>
      <c r="AA418" s="566">
        <f t="shared" si="385"/>
        <v>0</v>
      </c>
      <c r="AB418" s="566">
        <f t="shared" si="385"/>
        <v>0</v>
      </c>
      <c r="AC418" s="566">
        <f t="shared" si="385"/>
        <v>5.299800000000001E-2</v>
      </c>
      <c r="AD418" s="566">
        <f t="shared" si="385"/>
        <v>0</v>
      </c>
      <c r="AE418" s="566">
        <f t="shared" si="385"/>
        <v>0.88330000000000009</v>
      </c>
      <c r="AF418" s="566">
        <v>0</v>
      </c>
      <c r="AG418" s="566">
        <f t="shared" si="385"/>
        <v>8.8330000000000006E-2</v>
      </c>
      <c r="AH418" s="563"/>
      <c r="AI418" s="345">
        <v>1</v>
      </c>
      <c r="AJ418" s="345">
        <v>23</v>
      </c>
      <c r="AL418" s="345">
        <v>12</v>
      </c>
      <c r="AM418" s="557">
        <v>0.3</v>
      </c>
      <c r="AN418" s="561">
        <v>0.3</v>
      </c>
      <c r="AO418" s="561">
        <v>0.28999999999999998</v>
      </c>
      <c r="AP418" s="567">
        <f>(AN418*365)*(AO418*0.67*0.01*1)</f>
        <v>0.21275850000000002</v>
      </c>
      <c r="AQ418" s="567">
        <f>(AN418*365)*(AO418*0.67*0.001*1)</f>
        <v>2.1275850000000002E-2</v>
      </c>
      <c r="AR418" s="568"/>
      <c r="AS418" s="567">
        <f>(AN418*365)*(AO418*0.67*0.02*1)</f>
        <v>0.42551700000000003</v>
      </c>
      <c r="AT418" s="567">
        <f>(AN418*365)*(AO418*0.67*0.01*1)</f>
        <v>0.21275850000000002</v>
      </c>
      <c r="AU418" s="567">
        <f>(AN418*365)*(AO418*0.67*0.25*1)</f>
        <v>5.3189624999999996</v>
      </c>
      <c r="AV418" s="567">
        <f>(AN418*365)*(AO418*0.67*0.73*1)</f>
        <v>15.5313705</v>
      </c>
      <c r="AW418" s="567">
        <f>(AN418*365)*(AO418*0.67*0.03*1)</f>
        <v>0.6382755</v>
      </c>
      <c r="AX418" s="568"/>
      <c r="AY418" s="567">
        <f>(AN418*365)*(AO418*0.67*0.25*1)</f>
        <v>5.3189624999999996</v>
      </c>
      <c r="AZ418" s="567">
        <f t="shared" si="386"/>
        <v>21.275849999999998</v>
      </c>
      <c r="BA418" s="567">
        <f t="shared" si="387"/>
        <v>2.1275850000000003</v>
      </c>
      <c r="BB418" s="567">
        <f t="shared" si="388"/>
        <v>0.10637925000000001</v>
      </c>
      <c r="BC418" s="567">
        <f>(AN418*365)*(AO418*0.67*0.005*1)</f>
        <v>0.10637925000000001</v>
      </c>
      <c r="BD418" s="567">
        <v>0</v>
      </c>
      <c r="BE418" s="567">
        <v>0</v>
      </c>
      <c r="BH418" s="364"/>
      <c r="BI418" s="586" t="s">
        <v>515</v>
      </c>
      <c r="BJ418" s="505" t="s">
        <v>308</v>
      </c>
      <c r="BK418" s="511">
        <f t="shared" si="389"/>
        <v>0</v>
      </c>
      <c r="BL418" s="505" t="s">
        <v>611</v>
      </c>
      <c r="BM418" s="504">
        <v>0.2</v>
      </c>
      <c r="BN418" s="504">
        <v>0.5</v>
      </c>
      <c r="BO418" s="503" t="s">
        <v>417</v>
      </c>
      <c r="BP418" s="511">
        <f t="shared" si="390"/>
        <v>5.0285714285714281E-2</v>
      </c>
      <c r="BQ418" s="505" t="s">
        <v>613</v>
      </c>
      <c r="BR418" s="504">
        <v>0.2</v>
      </c>
      <c r="BS418" s="504">
        <v>0.5</v>
      </c>
      <c r="BT418" s="503" t="s">
        <v>417</v>
      </c>
      <c r="BU418" s="475"/>
      <c r="BV418" s="511">
        <v>0</v>
      </c>
      <c r="BW418" s="505" t="s">
        <v>612</v>
      </c>
      <c r="BX418" s="475"/>
      <c r="BY418" s="511">
        <v>14.985142857142856</v>
      </c>
      <c r="BZ418" s="505" t="s">
        <v>612</v>
      </c>
      <c r="CA418" s="475"/>
      <c r="CB418" s="475"/>
      <c r="CC418" s="473"/>
      <c r="CD418" s="473"/>
      <c r="CE418" s="475"/>
      <c r="CF418" s="475"/>
      <c r="CG418" s="475"/>
      <c r="CH418" s="475"/>
      <c r="CI418" s="473"/>
      <c r="CJ418" s="473"/>
      <c r="CK418" s="475"/>
      <c r="CL418" s="475"/>
      <c r="CM418" s="475"/>
      <c r="CN418" s="360"/>
      <c r="CO418" s="346">
        <v>0.2</v>
      </c>
      <c r="CP418" s="346">
        <f t="shared" si="383"/>
        <v>0.5</v>
      </c>
      <c r="CX418" s="132" t="s">
        <v>515</v>
      </c>
      <c r="CY418" s="132">
        <v>0</v>
      </c>
      <c r="CZ418" s="387">
        <f t="shared" si="391"/>
        <v>0</v>
      </c>
      <c r="DA418" s="387">
        <f t="shared" si="392"/>
        <v>0</v>
      </c>
      <c r="DB418" s="132">
        <v>16</v>
      </c>
      <c r="DC418" s="132">
        <v>0.4</v>
      </c>
      <c r="DD418" s="387">
        <f t="shared" si="393"/>
        <v>6.4</v>
      </c>
      <c r="DE418" s="132">
        <v>5.0000000000000001E-3</v>
      </c>
      <c r="DF418" s="418">
        <f t="shared" si="394"/>
        <v>5.0285714285714281E-2</v>
      </c>
      <c r="DG418" s="418">
        <f t="shared" si="395"/>
        <v>15.588571428571427</v>
      </c>
      <c r="DH418" s="418">
        <f t="shared" si="396"/>
        <v>14.985142857142856</v>
      </c>
      <c r="DI418" s="419">
        <f t="shared" si="397"/>
        <v>15.588571428571427</v>
      </c>
      <c r="DJ418" s="419">
        <f t="shared" si="397"/>
        <v>14.985142857142856</v>
      </c>
      <c r="DK418" s="360" t="s">
        <v>308</v>
      </c>
      <c r="DL418" s="344" t="s">
        <v>578</v>
      </c>
    </row>
    <row r="419" spans="15:116" s="344" customFormat="1" ht="33.75" hidden="1" thickBot="1" x14ac:dyDescent="0.4">
      <c r="O419" s="543" t="s">
        <v>745</v>
      </c>
      <c r="Q419" s="563">
        <v>0.55000000000000004</v>
      </c>
      <c r="R419" s="563">
        <v>28</v>
      </c>
      <c r="S419" s="566">
        <f t="shared" si="384"/>
        <v>0</v>
      </c>
      <c r="T419" s="566">
        <f t="shared" ref="T419:AE426" si="398">((($Q419*($R419/1000)*365)*1)*T$401)*(44/28)</f>
        <v>0</v>
      </c>
      <c r="U419" s="566">
        <f t="shared" si="398"/>
        <v>4.4165000000000003E-2</v>
      </c>
      <c r="V419" s="566">
        <f t="shared" si="398"/>
        <v>0.17666000000000001</v>
      </c>
      <c r="W419" s="566">
        <f t="shared" si="398"/>
        <v>4.4165000000000003E-2</v>
      </c>
      <c r="X419" s="566">
        <f t="shared" si="398"/>
        <v>0</v>
      </c>
      <c r="Y419" s="566">
        <f t="shared" si="398"/>
        <v>8.8330000000000006E-2</v>
      </c>
      <c r="Z419" s="566">
        <f t="shared" si="398"/>
        <v>0.61831000000000003</v>
      </c>
      <c r="AA419" s="566">
        <f t="shared" si="398"/>
        <v>0</v>
      </c>
      <c r="AB419" s="566">
        <f t="shared" si="398"/>
        <v>0</v>
      </c>
      <c r="AC419" s="566">
        <f t="shared" si="398"/>
        <v>5.299800000000001E-2</v>
      </c>
      <c r="AD419" s="566">
        <f t="shared" si="398"/>
        <v>0</v>
      </c>
      <c r="AE419" s="566">
        <f t="shared" si="398"/>
        <v>0.88330000000000009</v>
      </c>
      <c r="AF419" s="566">
        <v>0</v>
      </c>
      <c r="AG419" s="566">
        <f t="shared" ref="AG419:AG426" si="399">((($Q419*($R419/1000)*365)*1)*AG$401)*(44/28)</f>
        <v>8.8330000000000006E-2</v>
      </c>
      <c r="AH419" s="563"/>
      <c r="AI419" s="345">
        <v>1</v>
      </c>
      <c r="AJ419" s="345">
        <v>39</v>
      </c>
      <c r="AL419" s="345">
        <v>27</v>
      </c>
      <c r="AM419" s="557">
        <v>0.3</v>
      </c>
      <c r="AN419" s="561">
        <v>0.3</v>
      </c>
      <c r="AO419" s="561">
        <v>0.28999999999999998</v>
      </c>
      <c r="AP419" s="567">
        <f>(AN419*365)*(AO419*0.67*0.015*1)</f>
        <v>0.31913775</v>
      </c>
      <c r="AQ419" s="567">
        <f>(AN419*365)*(AO419*0.67*0.005*1)</f>
        <v>0.10637925000000001</v>
      </c>
      <c r="AR419" s="568"/>
      <c r="AS419" s="567">
        <f>(AN419*365)*(AO419*0.67*0.04*1)</f>
        <v>0.85103400000000007</v>
      </c>
      <c r="AT419" s="567">
        <f>(AN419*365)*(AO419*0.67*0.015*1)</f>
        <v>0.31913775</v>
      </c>
      <c r="AU419" s="567">
        <f>(AN419*365)*(AO419*0.67*0.65*1)</f>
        <v>13.829302500000002</v>
      </c>
      <c r="AV419" s="567">
        <f>(AN419*365)*(AO419*0.67*0.79*1)</f>
        <v>16.807921499999999</v>
      </c>
      <c r="AW419" s="567">
        <f>(AN419*365)*(AO419*0.67*0.03*1)</f>
        <v>0.6382755</v>
      </c>
      <c r="AX419" s="568"/>
      <c r="AY419" s="567">
        <f>(AN419*365)*(AO419*0.67*0.65*1)</f>
        <v>13.829302500000002</v>
      </c>
      <c r="AZ419" s="567">
        <f t="shared" si="386"/>
        <v>21.275849999999998</v>
      </c>
      <c r="BA419" s="567">
        <f t="shared" si="387"/>
        <v>2.1275850000000003</v>
      </c>
      <c r="BB419" s="567">
        <f t="shared" si="388"/>
        <v>0.10637925000000001</v>
      </c>
      <c r="BC419" s="567">
        <f>(AN419*365)*(AO419*0.67*0.01*1)</f>
        <v>0.21275850000000002</v>
      </c>
      <c r="BD419" s="567">
        <v>0</v>
      </c>
      <c r="BE419" s="567">
        <v>0</v>
      </c>
      <c r="BH419" s="364"/>
      <c r="BI419" s="586" t="s">
        <v>516</v>
      </c>
      <c r="BJ419" s="505" t="s">
        <v>308</v>
      </c>
      <c r="BK419" s="511">
        <f t="shared" si="389"/>
        <v>1</v>
      </c>
      <c r="BL419" s="505" t="s">
        <v>611</v>
      </c>
      <c r="BM419" s="504">
        <v>0.2</v>
      </c>
      <c r="BN419" s="504">
        <v>0.5</v>
      </c>
      <c r="BO419" s="503" t="s">
        <v>417</v>
      </c>
      <c r="BP419" s="511">
        <f t="shared" si="390"/>
        <v>5.0285714285714281E-2</v>
      </c>
      <c r="BQ419" s="505" t="s">
        <v>613</v>
      </c>
      <c r="BR419" s="504">
        <v>0.2</v>
      </c>
      <c r="BS419" s="504">
        <v>0.5</v>
      </c>
      <c r="BT419" s="503" t="s">
        <v>417</v>
      </c>
      <c r="BU419" s="475"/>
      <c r="BV419" s="511">
        <v>25</v>
      </c>
      <c r="BW419" s="505" t="s">
        <v>612</v>
      </c>
      <c r="BX419" s="475"/>
      <c r="BY419" s="511">
        <v>14.985142857142856</v>
      </c>
      <c r="BZ419" s="505" t="s">
        <v>612</v>
      </c>
      <c r="CA419" s="475"/>
      <c r="CB419" s="475"/>
      <c r="CC419" s="473"/>
      <c r="CD419" s="473"/>
      <c r="CE419" s="475"/>
      <c r="CF419" s="475"/>
      <c r="CG419" s="475"/>
      <c r="CH419" s="475"/>
      <c r="CI419" s="473"/>
      <c r="CJ419" s="473"/>
      <c r="CK419" s="475"/>
      <c r="CL419" s="475"/>
      <c r="CM419" s="475"/>
      <c r="CN419" s="360"/>
      <c r="CO419" s="346">
        <v>0.2</v>
      </c>
      <c r="CP419" s="346">
        <f t="shared" si="383"/>
        <v>0.5</v>
      </c>
      <c r="CX419" s="132" t="s">
        <v>516</v>
      </c>
      <c r="CY419" s="132">
        <v>1</v>
      </c>
      <c r="CZ419" s="387">
        <f t="shared" si="391"/>
        <v>21</v>
      </c>
      <c r="DA419" s="387">
        <f t="shared" si="392"/>
        <v>25</v>
      </c>
      <c r="DB419" s="132">
        <v>16</v>
      </c>
      <c r="DC419" s="132">
        <v>0.4</v>
      </c>
      <c r="DD419" s="387">
        <f t="shared" si="393"/>
        <v>6.4</v>
      </c>
      <c r="DE419" s="132">
        <v>5.0000000000000001E-3</v>
      </c>
      <c r="DF419" s="418">
        <f t="shared" si="394"/>
        <v>5.0285714285714281E-2</v>
      </c>
      <c r="DG419" s="418">
        <f t="shared" si="395"/>
        <v>15.588571428571427</v>
      </c>
      <c r="DH419" s="418">
        <f t="shared" si="396"/>
        <v>14.985142857142856</v>
      </c>
      <c r="DI419" s="419">
        <f t="shared" si="397"/>
        <v>36.588571428571427</v>
      </c>
      <c r="DJ419" s="419">
        <f t="shared" si="397"/>
        <v>39.985142857142854</v>
      </c>
      <c r="DK419" s="360" t="s">
        <v>308</v>
      </c>
      <c r="DL419" s="344" t="s">
        <v>578</v>
      </c>
    </row>
    <row r="420" spans="15:116" s="344" customFormat="1" ht="33.75" hidden="1" thickBot="1" x14ac:dyDescent="0.4">
      <c r="O420" s="543" t="s">
        <v>746</v>
      </c>
      <c r="Q420" s="563">
        <v>0.55000000000000004</v>
      </c>
      <c r="R420" s="563">
        <v>28</v>
      </c>
      <c r="S420" s="566">
        <f t="shared" si="384"/>
        <v>0</v>
      </c>
      <c r="T420" s="566">
        <f t="shared" si="398"/>
        <v>0</v>
      </c>
      <c r="U420" s="566">
        <f t="shared" si="398"/>
        <v>4.4165000000000003E-2</v>
      </c>
      <c r="V420" s="566">
        <f t="shared" si="398"/>
        <v>0.17666000000000001</v>
      </c>
      <c r="W420" s="566">
        <f t="shared" si="398"/>
        <v>4.4165000000000003E-2</v>
      </c>
      <c r="X420" s="566">
        <f t="shared" si="398"/>
        <v>0</v>
      </c>
      <c r="Y420" s="566">
        <f t="shared" si="398"/>
        <v>8.8330000000000006E-2</v>
      </c>
      <c r="Z420" s="566">
        <f t="shared" si="398"/>
        <v>0.61831000000000003</v>
      </c>
      <c r="AA420" s="566">
        <f t="shared" si="398"/>
        <v>0</v>
      </c>
      <c r="AB420" s="566">
        <f t="shared" si="398"/>
        <v>0</v>
      </c>
      <c r="AC420" s="566">
        <f t="shared" si="398"/>
        <v>5.299800000000001E-2</v>
      </c>
      <c r="AD420" s="566">
        <f t="shared" si="398"/>
        <v>0</v>
      </c>
      <c r="AE420" s="566">
        <f t="shared" si="398"/>
        <v>0.88330000000000009</v>
      </c>
      <c r="AF420" s="566">
        <v>0</v>
      </c>
      <c r="AG420" s="566">
        <f t="shared" si="399"/>
        <v>8.8330000000000006E-2</v>
      </c>
      <c r="AH420" s="563"/>
      <c r="AI420" s="345">
        <v>2</v>
      </c>
      <c r="AJ420" s="345">
        <v>45</v>
      </c>
      <c r="AL420" s="345">
        <v>33</v>
      </c>
      <c r="AM420" s="557">
        <v>0.3</v>
      </c>
      <c r="AN420" s="561">
        <v>0.3</v>
      </c>
      <c r="AO420" s="561">
        <v>0.28999999999999998</v>
      </c>
      <c r="AP420" s="567">
        <f>(AN420*365)*(AO420*0.67*0.02*1)</f>
        <v>0.42551700000000003</v>
      </c>
      <c r="AQ420" s="567">
        <f>(AN420*365)*(AO420*0.67*0.01*1)</f>
        <v>0.21275850000000002</v>
      </c>
      <c r="AR420" s="568"/>
      <c r="AS420" s="567">
        <f>(AN420*365)*(AO420*0.67*0.05*1)</f>
        <v>1.0637925000000001</v>
      </c>
      <c r="AT420" s="567">
        <f>(AN420*365)*(AO420*0.67*0.02*1)</f>
        <v>0.42551700000000003</v>
      </c>
      <c r="AU420" s="567">
        <f>(AN420*365)*(AO420*0.67*0.8*1)</f>
        <v>17.020680000000002</v>
      </c>
      <c r="AV420" s="567">
        <f>(AN420*365)*(AO420*0.67*0.8*1)</f>
        <v>17.020680000000002</v>
      </c>
      <c r="AW420" s="567">
        <f>(AN420*365)*(AO420*0.67*0.3*1)</f>
        <v>6.3827549999999995</v>
      </c>
      <c r="AX420" s="568"/>
      <c r="AY420" s="567">
        <f>(AN420*365)*(AO420*0.67*0.8*1)</f>
        <v>17.020680000000002</v>
      </c>
      <c r="AZ420" s="567">
        <f t="shared" si="386"/>
        <v>21.275849999999998</v>
      </c>
      <c r="BA420" s="567">
        <f t="shared" si="387"/>
        <v>2.1275850000000003</v>
      </c>
      <c r="BB420" s="567">
        <f t="shared" si="388"/>
        <v>0.10637925000000001</v>
      </c>
      <c r="BC420" s="567">
        <f>(AN420*365)*(AO420*0.67*0.015*1)</f>
        <v>0.31913775</v>
      </c>
      <c r="BD420" s="567">
        <v>0</v>
      </c>
      <c r="BE420" s="567">
        <v>0</v>
      </c>
      <c r="BH420" s="364"/>
      <c r="BI420" s="586" t="s">
        <v>517</v>
      </c>
      <c r="BJ420" s="505" t="s">
        <v>308</v>
      </c>
      <c r="BK420" s="511">
        <f t="shared" si="389"/>
        <v>2</v>
      </c>
      <c r="BL420" s="505" t="s">
        <v>611</v>
      </c>
      <c r="BM420" s="504">
        <v>0.2</v>
      </c>
      <c r="BN420" s="504">
        <v>0.5</v>
      </c>
      <c r="BO420" s="503" t="s">
        <v>417</v>
      </c>
      <c r="BP420" s="511">
        <f t="shared" si="390"/>
        <v>5.0285714285714281E-2</v>
      </c>
      <c r="BQ420" s="505" t="s">
        <v>613</v>
      </c>
      <c r="BR420" s="504">
        <v>0.2</v>
      </c>
      <c r="BS420" s="504">
        <v>0.5</v>
      </c>
      <c r="BT420" s="503" t="s">
        <v>417</v>
      </c>
      <c r="BU420" s="475"/>
      <c r="BV420" s="511">
        <v>50</v>
      </c>
      <c r="BW420" s="505" t="s">
        <v>612</v>
      </c>
      <c r="BX420" s="475"/>
      <c r="BY420" s="511">
        <v>14.985142857142856</v>
      </c>
      <c r="BZ420" s="505" t="s">
        <v>612</v>
      </c>
      <c r="CA420" s="475"/>
      <c r="CB420" s="475"/>
      <c r="CC420" s="473"/>
      <c r="CD420" s="473"/>
      <c r="CE420" s="475"/>
      <c r="CF420" s="475"/>
      <c r="CG420" s="475"/>
      <c r="CH420" s="475"/>
      <c r="CI420" s="473"/>
      <c r="CJ420" s="473"/>
      <c r="CK420" s="475"/>
      <c r="CL420" s="475"/>
      <c r="CM420" s="475"/>
      <c r="CN420" s="360"/>
      <c r="CO420" s="346">
        <v>0.2</v>
      </c>
      <c r="CP420" s="346">
        <f t="shared" si="383"/>
        <v>0.5</v>
      </c>
      <c r="CX420" s="132" t="s">
        <v>517</v>
      </c>
      <c r="CY420" s="132">
        <v>2</v>
      </c>
      <c r="CZ420" s="387">
        <f t="shared" si="391"/>
        <v>42</v>
      </c>
      <c r="DA420" s="387">
        <f t="shared" si="392"/>
        <v>50</v>
      </c>
      <c r="DB420" s="132">
        <v>16</v>
      </c>
      <c r="DC420" s="132">
        <v>0.4</v>
      </c>
      <c r="DD420" s="387">
        <f t="shared" si="393"/>
        <v>6.4</v>
      </c>
      <c r="DE420" s="132">
        <v>5.0000000000000001E-3</v>
      </c>
      <c r="DF420" s="418">
        <f t="shared" si="394"/>
        <v>5.0285714285714281E-2</v>
      </c>
      <c r="DG420" s="418">
        <f t="shared" si="395"/>
        <v>15.588571428571427</v>
      </c>
      <c r="DH420" s="418">
        <f t="shared" si="396"/>
        <v>14.985142857142856</v>
      </c>
      <c r="DI420" s="419">
        <f t="shared" si="397"/>
        <v>57.588571428571427</v>
      </c>
      <c r="DJ420" s="419">
        <f t="shared" si="397"/>
        <v>64.985142857142861</v>
      </c>
      <c r="DK420" s="360" t="s">
        <v>308</v>
      </c>
      <c r="DL420" s="344" t="s">
        <v>578</v>
      </c>
    </row>
    <row r="421" spans="15:116" s="344" customFormat="1" ht="33.75" hidden="1" thickBot="1" x14ac:dyDescent="0.4">
      <c r="O421" s="543" t="s">
        <v>283</v>
      </c>
      <c r="Q421" s="563">
        <v>0.32</v>
      </c>
      <c r="R421" s="563">
        <v>380</v>
      </c>
      <c r="S421" s="566">
        <f t="shared" si="384"/>
        <v>0</v>
      </c>
      <c r="T421" s="566">
        <f t="shared" si="398"/>
        <v>0</v>
      </c>
      <c r="U421" s="566">
        <f t="shared" si="398"/>
        <v>0.34873142857142858</v>
      </c>
      <c r="V421" s="566">
        <f t="shared" si="398"/>
        <v>1.3949257142857143</v>
      </c>
      <c r="W421" s="566">
        <f t="shared" si="398"/>
        <v>0.34873142857142858</v>
      </c>
      <c r="X421" s="566">
        <f t="shared" si="398"/>
        <v>0</v>
      </c>
      <c r="Y421" s="566">
        <f t="shared" si="398"/>
        <v>0.69746285714285716</v>
      </c>
      <c r="Z421" s="566">
        <f t="shared" si="398"/>
        <v>4.8822400000000004</v>
      </c>
      <c r="AA421" s="566">
        <f t="shared" si="398"/>
        <v>0</v>
      </c>
      <c r="AB421" s="566">
        <f t="shared" si="398"/>
        <v>0</v>
      </c>
      <c r="AC421" s="566">
        <f t="shared" si="398"/>
        <v>0.41847771428571423</v>
      </c>
      <c r="AD421" s="566">
        <f t="shared" si="398"/>
        <v>0</v>
      </c>
      <c r="AE421" s="566">
        <f t="shared" si="398"/>
        <v>6.9746285714285721</v>
      </c>
      <c r="AF421" s="566">
        <v>0</v>
      </c>
      <c r="AG421" s="566">
        <f t="shared" si="399"/>
        <v>0.69746285714285716</v>
      </c>
      <c r="AH421" s="563"/>
      <c r="AI421" s="345">
        <v>1</v>
      </c>
      <c r="AJ421" s="343">
        <v>0</v>
      </c>
      <c r="AL421" s="345">
        <v>5</v>
      </c>
      <c r="AM421" s="557">
        <v>0.3</v>
      </c>
      <c r="AN421" s="561">
        <v>3.9</v>
      </c>
      <c r="AO421" s="561">
        <v>0.1</v>
      </c>
      <c r="AP421" s="567">
        <f>(AN421*365)*(AO421*0.67*0.01*1)</f>
        <v>0.95374500000000006</v>
      </c>
      <c r="AQ421" s="567">
        <f>(AN421*365)*(AO421*0.67*0.001*1)</f>
        <v>9.5374500000000001E-2</v>
      </c>
      <c r="AR421" s="568"/>
      <c r="AS421" s="567">
        <f>(AN421*365)*(AO421*0.67*0.02*1)</f>
        <v>1.9074900000000001</v>
      </c>
      <c r="AT421" s="567">
        <f>(AN421*365)*(AO421*0.67*0.01*1)</f>
        <v>0.95374500000000006</v>
      </c>
      <c r="AU421" s="567">
        <f>(AN421*365)*(AO421*0.67*0.25*1)</f>
        <v>23.843625000000003</v>
      </c>
      <c r="AV421" s="567">
        <f>(AN421*365)*(AO421*0.67*0.73*1)</f>
        <v>69.623384999999999</v>
      </c>
      <c r="AW421" s="567">
        <f>(AN421*365)*(AO421*0.67*0.03*1)</f>
        <v>2.8612350000000002</v>
      </c>
      <c r="AX421" s="568"/>
      <c r="AY421" s="567">
        <f>(AN421*365)*(AO421*0.67*0.25*1)</f>
        <v>23.843625000000003</v>
      </c>
      <c r="AZ421" s="567">
        <f t="shared" si="386"/>
        <v>95.374500000000012</v>
      </c>
      <c r="BA421" s="567">
        <f t="shared" si="387"/>
        <v>9.5374500000000015</v>
      </c>
      <c r="BB421" s="567">
        <f t="shared" si="388"/>
        <v>0.47687250000000003</v>
      </c>
      <c r="BC421" s="567">
        <f>(AN421*365)*(AO421*0.67*0.005*1)</f>
        <v>0.47687250000000003</v>
      </c>
      <c r="BD421" s="567">
        <v>0</v>
      </c>
      <c r="BE421" s="567">
        <v>0</v>
      </c>
      <c r="BH421" s="364"/>
      <c r="BI421" s="586" t="s">
        <v>283</v>
      </c>
      <c r="BJ421" s="505" t="s">
        <v>308</v>
      </c>
      <c r="BK421" s="511">
        <f t="shared" si="389"/>
        <v>1</v>
      </c>
      <c r="BL421" s="505" t="s">
        <v>611</v>
      </c>
      <c r="BM421" s="504">
        <v>0.2</v>
      </c>
      <c r="BN421" s="504">
        <v>0.5</v>
      </c>
      <c r="BO421" s="503" t="s">
        <v>417</v>
      </c>
      <c r="BP421" s="511">
        <f t="shared" si="390"/>
        <v>1.2445714285714284</v>
      </c>
      <c r="BQ421" s="505" t="s">
        <v>613</v>
      </c>
      <c r="BR421" s="504">
        <v>0.2</v>
      </c>
      <c r="BS421" s="504">
        <v>0.5</v>
      </c>
      <c r="BT421" s="503" t="s">
        <v>417</v>
      </c>
      <c r="BU421" s="475"/>
      <c r="BV421" s="511">
        <v>25</v>
      </c>
      <c r="BW421" s="505" t="s">
        <v>612</v>
      </c>
      <c r="BX421" s="475"/>
      <c r="BY421" s="511">
        <v>370.88228571428567</v>
      </c>
      <c r="BZ421" s="505" t="s">
        <v>612</v>
      </c>
      <c r="CA421" s="475"/>
      <c r="CB421" s="475"/>
      <c r="CC421" s="473"/>
      <c r="CD421" s="473"/>
      <c r="CE421" s="475"/>
      <c r="CF421" s="475"/>
      <c r="CG421" s="475"/>
      <c r="CH421" s="475"/>
      <c r="CI421" s="473"/>
      <c r="CJ421" s="473"/>
      <c r="CK421" s="475"/>
      <c r="CL421" s="475"/>
      <c r="CM421" s="475"/>
      <c r="CN421" s="360"/>
      <c r="CO421" s="346">
        <v>0.2</v>
      </c>
      <c r="CP421" s="346">
        <f t="shared" si="383"/>
        <v>0.5</v>
      </c>
      <c r="CX421" s="132" t="s">
        <v>283</v>
      </c>
      <c r="CY421" s="132">
        <v>1</v>
      </c>
      <c r="CZ421" s="387">
        <f t="shared" si="391"/>
        <v>21</v>
      </c>
      <c r="DA421" s="387">
        <f t="shared" si="392"/>
        <v>25</v>
      </c>
      <c r="DB421" s="132">
        <v>40</v>
      </c>
      <c r="DC421" s="132">
        <v>0.99</v>
      </c>
      <c r="DD421" s="387">
        <f t="shared" si="393"/>
        <v>39.6</v>
      </c>
      <c r="DE421" s="132">
        <v>0.02</v>
      </c>
      <c r="DF421" s="418">
        <f t="shared" si="394"/>
        <v>1.2445714285714284</v>
      </c>
      <c r="DG421" s="418">
        <f t="shared" si="395"/>
        <v>385.81714285714281</v>
      </c>
      <c r="DH421" s="418">
        <f t="shared" si="396"/>
        <v>370.88228571428567</v>
      </c>
      <c r="DI421" s="419">
        <f t="shared" si="397"/>
        <v>406.81714285714281</v>
      </c>
      <c r="DJ421" s="419">
        <f t="shared" si="397"/>
        <v>395.88228571428567</v>
      </c>
      <c r="DK421" s="360" t="s">
        <v>308</v>
      </c>
      <c r="DL421" s="344" t="s">
        <v>578</v>
      </c>
    </row>
    <row r="422" spans="15:116" s="344" customFormat="1" ht="33.75" hidden="1" thickBot="1" x14ac:dyDescent="0.4">
      <c r="O422" s="543" t="s">
        <v>284</v>
      </c>
      <c r="Q422" s="563">
        <v>0.32</v>
      </c>
      <c r="R422" s="563">
        <v>380</v>
      </c>
      <c r="S422" s="566">
        <f t="shared" si="384"/>
        <v>0</v>
      </c>
      <c r="T422" s="566">
        <f t="shared" si="398"/>
        <v>0</v>
      </c>
      <c r="U422" s="566">
        <f t="shared" si="398"/>
        <v>0.34873142857142858</v>
      </c>
      <c r="V422" s="566">
        <f t="shared" si="398"/>
        <v>1.3949257142857143</v>
      </c>
      <c r="W422" s="566">
        <f t="shared" si="398"/>
        <v>0.34873142857142858</v>
      </c>
      <c r="X422" s="566">
        <f t="shared" si="398"/>
        <v>0</v>
      </c>
      <c r="Y422" s="566">
        <f t="shared" si="398"/>
        <v>0.69746285714285716</v>
      </c>
      <c r="Z422" s="566">
        <f t="shared" si="398"/>
        <v>4.8822400000000004</v>
      </c>
      <c r="AA422" s="566">
        <f t="shared" si="398"/>
        <v>0</v>
      </c>
      <c r="AB422" s="566">
        <f t="shared" si="398"/>
        <v>0</v>
      </c>
      <c r="AC422" s="566">
        <f t="shared" si="398"/>
        <v>0.41847771428571423</v>
      </c>
      <c r="AD422" s="566">
        <f t="shared" si="398"/>
        <v>0</v>
      </c>
      <c r="AE422" s="566">
        <f t="shared" si="398"/>
        <v>6.9746285714285721</v>
      </c>
      <c r="AF422" s="566">
        <v>0</v>
      </c>
      <c r="AG422" s="566">
        <f t="shared" si="399"/>
        <v>0.69746285714285716</v>
      </c>
      <c r="AH422" s="563"/>
      <c r="AI422" s="345">
        <v>1</v>
      </c>
      <c r="AJ422" s="343">
        <v>0</v>
      </c>
      <c r="AL422" s="345">
        <v>14</v>
      </c>
      <c r="AM422" s="557">
        <v>0.3</v>
      </c>
      <c r="AN422" s="561">
        <v>3.9</v>
      </c>
      <c r="AO422" s="561">
        <v>0.1</v>
      </c>
      <c r="AP422" s="567">
        <f>(AN422*365)*(AO422*0.67*0.015*1)</f>
        <v>1.4306175000000001</v>
      </c>
      <c r="AQ422" s="567">
        <f>(AN422*365)*(AO422*0.67*0.005*1)</f>
        <v>0.47687250000000003</v>
      </c>
      <c r="AR422" s="568"/>
      <c r="AS422" s="567">
        <f>(AN422*365)*(AO422*0.67*0.04*1)</f>
        <v>3.8149800000000003</v>
      </c>
      <c r="AT422" s="567">
        <f>(AN422*365)*(AO422*0.67*0.015*1)</f>
        <v>1.4306175000000001</v>
      </c>
      <c r="AU422" s="567">
        <f>(AN422*365)*(AO422*0.67*0.65*1)</f>
        <v>61.993425000000009</v>
      </c>
      <c r="AV422" s="567">
        <f>(AN422*365)*(AO422*0.67*0.79*1)</f>
        <v>75.345855</v>
      </c>
      <c r="AW422" s="567">
        <f>(AN422*365)*(AO422*0.67*0.03*1)</f>
        <v>2.8612350000000002</v>
      </c>
      <c r="AX422" s="568"/>
      <c r="AY422" s="567">
        <f>(AN422*365)*(AO422*0.67*0.65*1)</f>
        <v>61.993425000000009</v>
      </c>
      <c r="AZ422" s="567">
        <f t="shared" si="386"/>
        <v>95.374500000000012</v>
      </c>
      <c r="BA422" s="567">
        <f t="shared" si="387"/>
        <v>9.5374500000000015</v>
      </c>
      <c r="BB422" s="567">
        <f t="shared" si="388"/>
        <v>0.47687250000000003</v>
      </c>
      <c r="BC422" s="567">
        <f>(AN422*365)*(AO422*0.67*0.01*1)</f>
        <v>0.95374500000000006</v>
      </c>
      <c r="BD422" s="567">
        <v>0</v>
      </c>
      <c r="BE422" s="567">
        <v>0</v>
      </c>
      <c r="BH422" s="364"/>
      <c r="BI422" s="586" t="s">
        <v>284</v>
      </c>
      <c r="BJ422" s="505" t="s">
        <v>308</v>
      </c>
      <c r="BK422" s="511">
        <f t="shared" si="389"/>
        <v>1</v>
      </c>
      <c r="BL422" s="505" t="s">
        <v>611</v>
      </c>
      <c r="BM422" s="504">
        <v>0.2</v>
      </c>
      <c r="BN422" s="504">
        <v>0.5</v>
      </c>
      <c r="BO422" s="503" t="s">
        <v>417</v>
      </c>
      <c r="BP422" s="511">
        <f t="shared" si="390"/>
        <v>1.2445714285714284</v>
      </c>
      <c r="BQ422" s="505" t="s">
        <v>613</v>
      </c>
      <c r="BR422" s="504">
        <v>0.2</v>
      </c>
      <c r="BS422" s="504">
        <v>0.5</v>
      </c>
      <c r="BT422" s="503" t="s">
        <v>417</v>
      </c>
      <c r="BU422" s="475"/>
      <c r="BV422" s="511">
        <v>25</v>
      </c>
      <c r="BW422" s="505" t="s">
        <v>612</v>
      </c>
      <c r="BX422" s="475"/>
      <c r="BY422" s="511">
        <v>370.88228571428567</v>
      </c>
      <c r="BZ422" s="505" t="s">
        <v>612</v>
      </c>
      <c r="CA422" s="475"/>
      <c r="CB422" s="475"/>
      <c r="CC422" s="473"/>
      <c r="CD422" s="473"/>
      <c r="CE422" s="475"/>
      <c r="CF422" s="475"/>
      <c r="CG422" s="475"/>
      <c r="CH422" s="475"/>
      <c r="CI422" s="473"/>
      <c r="CJ422" s="473"/>
      <c r="CK422" s="475"/>
      <c r="CL422" s="475"/>
      <c r="CM422" s="475"/>
      <c r="CN422" s="360"/>
      <c r="CO422" s="346">
        <v>0.2</v>
      </c>
      <c r="CP422" s="346">
        <f t="shared" si="383"/>
        <v>0.5</v>
      </c>
      <c r="CX422" s="132" t="s">
        <v>284</v>
      </c>
      <c r="CY422" s="132">
        <v>1</v>
      </c>
      <c r="CZ422" s="387">
        <f t="shared" si="391"/>
        <v>21</v>
      </c>
      <c r="DA422" s="387">
        <f t="shared" si="392"/>
        <v>25</v>
      </c>
      <c r="DB422" s="132">
        <v>40</v>
      </c>
      <c r="DC422" s="132">
        <v>0.99</v>
      </c>
      <c r="DD422" s="387">
        <f t="shared" si="393"/>
        <v>39.6</v>
      </c>
      <c r="DE422" s="132">
        <v>0.02</v>
      </c>
      <c r="DF422" s="418">
        <f t="shared" si="394"/>
        <v>1.2445714285714284</v>
      </c>
      <c r="DG422" s="418">
        <f t="shared" si="395"/>
        <v>385.81714285714281</v>
      </c>
      <c r="DH422" s="418">
        <f t="shared" si="396"/>
        <v>370.88228571428567</v>
      </c>
      <c r="DI422" s="419">
        <f t="shared" si="397"/>
        <v>406.81714285714281</v>
      </c>
      <c r="DJ422" s="419">
        <f t="shared" si="397"/>
        <v>395.88228571428567</v>
      </c>
      <c r="DK422" s="360" t="s">
        <v>308</v>
      </c>
      <c r="DL422" s="344" t="s">
        <v>578</v>
      </c>
    </row>
    <row r="423" spans="15:116" s="344" customFormat="1" ht="33.75" hidden="1" thickBot="1" x14ac:dyDescent="0.4">
      <c r="O423" s="543" t="s">
        <v>285</v>
      </c>
      <c r="Q423" s="563">
        <v>0.32</v>
      </c>
      <c r="R423" s="563">
        <v>380</v>
      </c>
      <c r="S423" s="566">
        <f t="shared" si="384"/>
        <v>0</v>
      </c>
      <c r="T423" s="566">
        <f t="shared" si="398"/>
        <v>0</v>
      </c>
      <c r="U423" s="566">
        <f t="shared" si="398"/>
        <v>0.34873142857142858</v>
      </c>
      <c r="V423" s="566">
        <f t="shared" si="398"/>
        <v>1.3949257142857143</v>
      </c>
      <c r="W423" s="566">
        <f t="shared" si="398"/>
        <v>0.34873142857142858</v>
      </c>
      <c r="X423" s="566">
        <f t="shared" si="398"/>
        <v>0</v>
      </c>
      <c r="Y423" s="566">
        <f t="shared" si="398"/>
        <v>0.69746285714285716</v>
      </c>
      <c r="Z423" s="566">
        <f t="shared" si="398"/>
        <v>4.8822400000000004</v>
      </c>
      <c r="AA423" s="566">
        <f t="shared" si="398"/>
        <v>0</v>
      </c>
      <c r="AB423" s="566">
        <f t="shared" si="398"/>
        <v>0</v>
      </c>
      <c r="AC423" s="566">
        <f t="shared" si="398"/>
        <v>0.41847771428571423</v>
      </c>
      <c r="AD423" s="566">
        <f t="shared" si="398"/>
        <v>0</v>
      </c>
      <c r="AE423" s="566">
        <f t="shared" si="398"/>
        <v>6.9746285714285721</v>
      </c>
      <c r="AF423" s="566">
        <v>0</v>
      </c>
      <c r="AG423" s="566">
        <f t="shared" si="399"/>
        <v>0.69746285714285716</v>
      </c>
      <c r="AH423" s="563"/>
      <c r="AI423" s="345">
        <v>2</v>
      </c>
      <c r="AJ423" s="343">
        <v>0</v>
      </c>
      <c r="AL423" s="345">
        <v>17</v>
      </c>
      <c r="AM423" s="557">
        <v>0.3</v>
      </c>
      <c r="AN423" s="561">
        <v>3.9</v>
      </c>
      <c r="AO423" s="561">
        <v>0.1</v>
      </c>
      <c r="AP423" s="567">
        <f>(AN423*365)*(AO423*0.67*0.02*1)</f>
        <v>1.9074900000000001</v>
      </c>
      <c r="AQ423" s="567">
        <f>(AN423*365)*(AO423*0.67*0.01*1)</f>
        <v>0.95374500000000006</v>
      </c>
      <c r="AR423" s="568"/>
      <c r="AS423" s="567">
        <f>(AN423*365)*(AO423*0.67*0.05*1)</f>
        <v>4.7687250000000008</v>
      </c>
      <c r="AT423" s="567">
        <f>(AN423*365)*(AO423*0.67*0.02*1)</f>
        <v>1.9074900000000001</v>
      </c>
      <c r="AU423" s="567">
        <f>(AN423*365)*(AO423*0.67*0.8*1)</f>
        <v>76.299600000000012</v>
      </c>
      <c r="AV423" s="567">
        <f>(AN423*365)*(AO423*0.67*0.8*1)</f>
        <v>76.299600000000012</v>
      </c>
      <c r="AW423" s="567">
        <f>(AN423*365)*(AO423*0.67*0.3*1)</f>
        <v>28.612349999999999</v>
      </c>
      <c r="AX423" s="568"/>
      <c r="AY423" s="567">
        <f>(AN423*365)*(AO423*0.67*0.8*1)</f>
        <v>76.299600000000012</v>
      </c>
      <c r="AZ423" s="567">
        <f t="shared" si="386"/>
        <v>95.374500000000012</v>
      </c>
      <c r="BA423" s="567">
        <f t="shared" si="387"/>
        <v>9.5374500000000015</v>
      </c>
      <c r="BB423" s="567">
        <f t="shared" si="388"/>
        <v>0.47687250000000003</v>
      </c>
      <c r="BC423" s="567">
        <f>(AN423*365)*(AO423*0.67*0.015*1)</f>
        <v>1.4306175000000001</v>
      </c>
      <c r="BD423" s="567">
        <v>0</v>
      </c>
      <c r="BE423" s="567">
        <v>0</v>
      </c>
      <c r="BH423" s="364"/>
      <c r="BI423" s="586" t="s">
        <v>285</v>
      </c>
      <c r="BJ423" s="505" t="s">
        <v>308</v>
      </c>
      <c r="BK423" s="511">
        <f t="shared" si="389"/>
        <v>2</v>
      </c>
      <c r="BL423" s="505" t="s">
        <v>611</v>
      </c>
      <c r="BM423" s="504">
        <v>0.2</v>
      </c>
      <c r="BN423" s="504">
        <v>0.5</v>
      </c>
      <c r="BO423" s="503" t="s">
        <v>417</v>
      </c>
      <c r="BP423" s="511">
        <f t="shared" si="390"/>
        <v>1.2445714285714284</v>
      </c>
      <c r="BQ423" s="505" t="s">
        <v>613</v>
      </c>
      <c r="BR423" s="504">
        <v>0.2</v>
      </c>
      <c r="BS423" s="504">
        <v>0.5</v>
      </c>
      <c r="BT423" s="503" t="s">
        <v>417</v>
      </c>
      <c r="BU423" s="475"/>
      <c r="BV423" s="511">
        <v>50</v>
      </c>
      <c r="BW423" s="505" t="s">
        <v>612</v>
      </c>
      <c r="BX423" s="475"/>
      <c r="BY423" s="511">
        <v>370.88228571428567</v>
      </c>
      <c r="BZ423" s="505" t="s">
        <v>612</v>
      </c>
      <c r="CA423" s="475"/>
      <c r="CB423" s="475"/>
      <c r="CC423" s="473"/>
      <c r="CD423" s="473"/>
      <c r="CE423" s="475"/>
      <c r="CF423" s="475"/>
      <c r="CG423" s="475"/>
      <c r="CH423" s="475"/>
      <c r="CI423" s="473"/>
      <c r="CJ423" s="473"/>
      <c r="CK423" s="475"/>
      <c r="CL423" s="475"/>
      <c r="CM423" s="475"/>
      <c r="CN423" s="360"/>
      <c r="CO423" s="346">
        <v>0.2</v>
      </c>
      <c r="CP423" s="346">
        <f t="shared" si="383"/>
        <v>0.5</v>
      </c>
      <c r="CX423" s="132" t="s">
        <v>285</v>
      </c>
      <c r="CY423" s="132">
        <v>2</v>
      </c>
      <c r="CZ423" s="387">
        <f t="shared" si="391"/>
        <v>42</v>
      </c>
      <c r="DA423" s="387">
        <f t="shared" si="392"/>
        <v>50</v>
      </c>
      <c r="DB423" s="132">
        <v>40</v>
      </c>
      <c r="DC423" s="132">
        <v>0.99</v>
      </c>
      <c r="DD423" s="387">
        <f t="shared" si="393"/>
        <v>39.6</v>
      </c>
      <c r="DE423" s="132">
        <v>0.02</v>
      </c>
      <c r="DF423" s="418">
        <f t="shared" si="394"/>
        <v>1.2445714285714284</v>
      </c>
      <c r="DG423" s="418">
        <f t="shared" si="395"/>
        <v>385.81714285714281</v>
      </c>
      <c r="DH423" s="418">
        <f t="shared" si="396"/>
        <v>370.88228571428567</v>
      </c>
      <c r="DI423" s="419">
        <f t="shared" si="397"/>
        <v>427.81714285714281</v>
      </c>
      <c r="DJ423" s="419">
        <f t="shared" si="397"/>
        <v>420.88228571428567</v>
      </c>
      <c r="DK423" s="360" t="s">
        <v>308</v>
      </c>
      <c r="DL423" s="344" t="s">
        <v>578</v>
      </c>
    </row>
    <row r="424" spans="15:116" s="344" customFormat="1" ht="33.75" hidden="1" thickBot="1" x14ac:dyDescent="0.4">
      <c r="O424" s="543" t="s">
        <v>286</v>
      </c>
      <c r="Q424" s="563">
        <v>1.37</v>
      </c>
      <c r="R424" s="563">
        <v>30</v>
      </c>
      <c r="S424" s="566">
        <f t="shared" si="384"/>
        <v>0</v>
      </c>
      <c r="T424" s="566">
        <f t="shared" si="398"/>
        <v>0</v>
      </c>
      <c r="U424" s="566">
        <f t="shared" si="398"/>
        <v>0.11786892857142858</v>
      </c>
      <c r="V424" s="566">
        <f t="shared" si="398"/>
        <v>0.47147571428571433</v>
      </c>
      <c r="W424" s="566">
        <f t="shared" si="398"/>
        <v>0.11786892857142858</v>
      </c>
      <c r="X424" s="566">
        <f t="shared" si="398"/>
        <v>0</v>
      </c>
      <c r="Y424" s="566">
        <f t="shared" si="398"/>
        <v>0.23573785714285717</v>
      </c>
      <c r="Z424" s="566">
        <f t="shared" si="398"/>
        <v>1.6501650000000003</v>
      </c>
      <c r="AA424" s="566">
        <f t="shared" si="398"/>
        <v>0</v>
      </c>
      <c r="AB424" s="566">
        <f t="shared" si="398"/>
        <v>0</v>
      </c>
      <c r="AC424" s="566">
        <f t="shared" si="398"/>
        <v>0.14144271428571431</v>
      </c>
      <c r="AD424" s="566">
        <f t="shared" si="398"/>
        <v>0</v>
      </c>
      <c r="AE424" s="566">
        <f t="shared" si="398"/>
        <v>2.3573785714285718</v>
      </c>
      <c r="AF424" s="566">
        <v>0</v>
      </c>
      <c r="AG424" s="566">
        <f t="shared" si="399"/>
        <v>0.23573785714285717</v>
      </c>
      <c r="AH424" s="563"/>
      <c r="AI424" s="345">
        <v>0.11</v>
      </c>
      <c r="AJ424" s="343">
        <v>0</v>
      </c>
      <c r="AL424" s="343">
        <v>0</v>
      </c>
      <c r="AM424" s="557">
        <v>0.3</v>
      </c>
      <c r="AN424" s="561">
        <v>0.35</v>
      </c>
      <c r="AO424" s="561">
        <v>0.13</v>
      </c>
      <c r="AP424" s="567">
        <f>(AN424*365)*(AO424*0.67*0.01*1)</f>
        <v>0.11127025</v>
      </c>
      <c r="AQ424" s="567">
        <f>(AN424*365)*(AO424*0.67*0.001*1)</f>
        <v>1.1127025E-2</v>
      </c>
      <c r="AR424" s="568"/>
      <c r="AS424" s="567">
        <f>(AN424*365)*(AO424*0.67*0.02*1)</f>
        <v>0.2225405</v>
      </c>
      <c r="AT424" s="567">
        <f>(AN424*365)*(AO424*0.67*0.01*1)</f>
        <v>0.11127025</v>
      </c>
      <c r="AU424" s="567">
        <f>(AN424*365)*(AO424*0.67*0.25*1)</f>
        <v>2.7817562499999999</v>
      </c>
      <c r="AV424" s="567">
        <f>(AN424*365)*(AO424*0.67*0.73*1)</f>
        <v>8.1227282499999998</v>
      </c>
      <c r="AW424" s="567">
        <f>(AN424*365)*(AO424*0.67*0.03*1)</f>
        <v>0.33381074999999999</v>
      </c>
      <c r="AX424" s="568"/>
      <c r="AY424" s="567">
        <f>(AN424*365)*(AO424*0.67*0.25*1)</f>
        <v>2.7817562499999999</v>
      </c>
      <c r="AZ424" s="567">
        <f t="shared" si="386"/>
        <v>11.127025</v>
      </c>
      <c r="BA424" s="567">
        <f t="shared" si="387"/>
        <v>1.1127024999999999</v>
      </c>
      <c r="BB424" s="567">
        <f t="shared" si="388"/>
        <v>5.5635125000000001E-2</v>
      </c>
      <c r="BC424" s="567">
        <f>(AN424*365)*(AO424*0.67*0.005*1)</f>
        <v>5.5635125000000001E-2</v>
      </c>
      <c r="BD424" s="567">
        <v>0</v>
      </c>
      <c r="BE424" s="567">
        <v>0</v>
      </c>
      <c r="BH424" s="364"/>
      <c r="BI424" s="586" t="s">
        <v>286</v>
      </c>
      <c r="BJ424" s="505" t="s">
        <v>308</v>
      </c>
      <c r="BK424" s="511">
        <f t="shared" si="389"/>
        <v>0.11</v>
      </c>
      <c r="BL424" s="505" t="s">
        <v>611</v>
      </c>
      <c r="BM424" s="504">
        <v>0.2</v>
      </c>
      <c r="BN424" s="504">
        <v>0.5</v>
      </c>
      <c r="BO424" s="503" t="s">
        <v>417</v>
      </c>
      <c r="BP424" s="511">
        <f t="shared" si="390"/>
        <v>1.2445714285714284</v>
      </c>
      <c r="BQ424" s="505" t="s">
        <v>613</v>
      </c>
      <c r="BR424" s="504">
        <v>0.2</v>
      </c>
      <c r="BS424" s="504">
        <v>0.5</v>
      </c>
      <c r="BT424" s="503" t="s">
        <v>417</v>
      </c>
      <c r="BU424" s="475"/>
      <c r="BV424" s="511">
        <v>2.75</v>
      </c>
      <c r="BW424" s="505" t="s">
        <v>612</v>
      </c>
      <c r="BX424" s="475"/>
      <c r="BY424" s="511">
        <v>370.88228571428567</v>
      </c>
      <c r="BZ424" s="505" t="s">
        <v>612</v>
      </c>
      <c r="CA424" s="473"/>
      <c r="CB424" s="475"/>
      <c r="CC424" s="473"/>
      <c r="CD424" s="473"/>
      <c r="CE424" s="475"/>
      <c r="CF424" s="475"/>
      <c r="CG424" s="475"/>
      <c r="CH424" s="475"/>
      <c r="CI424" s="473"/>
      <c r="CJ424" s="473"/>
      <c r="CK424" s="475"/>
      <c r="CL424" s="475"/>
      <c r="CM424" s="475"/>
      <c r="CN424" s="360"/>
      <c r="CO424" s="346">
        <v>0.2</v>
      </c>
      <c r="CP424" s="346">
        <f t="shared" si="383"/>
        <v>0.5</v>
      </c>
      <c r="CX424" s="132" t="s">
        <v>286</v>
      </c>
      <c r="CY424" s="132">
        <v>0.11</v>
      </c>
      <c r="CZ424" s="387">
        <f t="shared" si="391"/>
        <v>2.31</v>
      </c>
      <c r="DA424" s="387">
        <f t="shared" si="392"/>
        <v>2.75</v>
      </c>
      <c r="DB424" s="132">
        <v>40</v>
      </c>
      <c r="DC424" s="132">
        <v>0.99</v>
      </c>
      <c r="DD424" s="387">
        <f t="shared" si="393"/>
        <v>39.6</v>
      </c>
      <c r="DE424" s="132">
        <v>0.02</v>
      </c>
      <c r="DF424" s="418">
        <f t="shared" si="394"/>
        <v>1.2445714285714284</v>
      </c>
      <c r="DG424" s="418">
        <f t="shared" si="395"/>
        <v>385.81714285714281</v>
      </c>
      <c r="DH424" s="418">
        <f t="shared" si="396"/>
        <v>370.88228571428567</v>
      </c>
      <c r="DI424" s="419">
        <f t="shared" si="397"/>
        <v>388.12714285714281</v>
      </c>
      <c r="DJ424" s="419">
        <f t="shared" si="397"/>
        <v>373.63228571428567</v>
      </c>
      <c r="DK424" s="360" t="s">
        <v>308</v>
      </c>
      <c r="DL424" s="344" t="s">
        <v>578</v>
      </c>
    </row>
    <row r="425" spans="15:116" s="344" customFormat="1" ht="33.75" hidden="1" thickBot="1" x14ac:dyDescent="0.4">
      <c r="O425" s="543" t="s">
        <v>287</v>
      </c>
      <c r="Q425" s="563">
        <v>1.37</v>
      </c>
      <c r="R425" s="563">
        <v>30</v>
      </c>
      <c r="S425" s="566">
        <f t="shared" si="384"/>
        <v>0</v>
      </c>
      <c r="T425" s="566">
        <f t="shared" si="398"/>
        <v>0</v>
      </c>
      <c r="U425" s="566">
        <f t="shared" si="398"/>
        <v>0.11786892857142858</v>
      </c>
      <c r="V425" s="566">
        <f t="shared" si="398"/>
        <v>0.47147571428571433</v>
      </c>
      <c r="W425" s="566">
        <f t="shared" si="398"/>
        <v>0.11786892857142858</v>
      </c>
      <c r="X425" s="566">
        <f t="shared" si="398"/>
        <v>0</v>
      </c>
      <c r="Y425" s="566">
        <f t="shared" si="398"/>
        <v>0.23573785714285717</v>
      </c>
      <c r="Z425" s="566">
        <f t="shared" si="398"/>
        <v>1.6501650000000003</v>
      </c>
      <c r="AA425" s="566">
        <f t="shared" si="398"/>
        <v>0</v>
      </c>
      <c r="AB425" s="566">
        <f t="shared" si="398"/>
        <v>0</v>
      </c>
      <c r="AC425" s="566">
        <f t="shared" si="398"/>
        <v>0.14144271428571431</v>
      </c>
      <c r="AD425" s="566">
        <f t="shared" si="398"/>
        <v>0</v>
      </c>
      <c r="AE425" s="566">
        <f t="shared" si="398"/>
        <v>2.3573785714285718</v>
      </c>
      <c r="AF425" s="566">
        <v>0</v>
      </c>
      <c r="AG425" s="566">
        <f t="shared" si="399"/>
        <v>0.23573785714285717</v>
      </c>
      <c r="AH425" s="563"/>
      <c r="AI425" s="345">
        <v>0.17</v>
      </c>
      <c r="AJ425" s="343">
        <v>0</v>
      </c>
      <c r="AL425" s="343">
        <v>0</v>
      </c>
      <c r="AM425" s="557">
        <v>0.3</v>
      </c>
      <c r="AN425" s="561">
        <v>0.35</v>
      </c>
      <c r="AO425" s="561">
        <v>0.13</v>
      </c>
      <c r="AP425" s="567">
        <f>(AN425*365)*(AO425*0.67*0.015*1)</f>
        <v>0.16690537499999999</v>
      </c>
      <c r="AQ425" s="567">
        <f>(AN425*365)*(AO425*0.67*0.005*1)</f>
        <v>5.5635125000000001E-2</v>
      </c>
      <c r="AR425" s="568"/>
      <c r="AS425" s="567">
        <f>(AN425*365)*(AO425*0.67*0.04*1)</f>
        <v>0.445081</v>
      </c>
      <c r="AT425" s="567">
        <f>(AN425*365)*(AO425*0.67*0.015*1)</f>
        <v>0.16690537499999999</v>
      </c>
      <c r="AU425" s="567">
        <f>(AN425*365)*(AO425*0.67*0.65*1)</f>
        <v>7.2325662499999996</v>
      </c>
      <c r="AV425" s="567">
        <f>(AN425*365)*(AO425*0.67*0.79*1)</f>
        <v>8.7903497500000007</v>
      </c>
      <c r="AW425" s="567">
        <f>(AN425*365)*(AO425*0.67*0.03*1)</f>
        <v>0.33381074999999999</v>
      </c>
      <c r="AX425" s="568"/>
      <c r="AY425" s="567">
        <f>(AN425*365)*(AO425*0.67*0.65*1)</f>
        <v>7.2325662499999996</v>
      </c>
      <c r="AZ425" s="567">
        <f t="shared" si="386"/>
        <v>11.127025</v>
      </c>
      <c r="BA425" s="567">
        <f t="shared" si="387"/>
        <v>1.1127024999999999</v>
      </c>
      <c r="BB425" s="567">
        <f t="shared" si="388"/>
        <v>5.5635125000000001E-2</v>
      </c>
      <c r="BC425" s="567">
        <f>(AN425*365)*(AO425*0.67*0.01*1)</f>
        <v>0.11127025</v>
      </c>
      <c r="BD425" s="567">
        <v>0</v>
      </c>
      <c r="BE425" s="567">
        <v>0</v>
      </c>
      <c r="BH425" s="364"/>
      <c r="BI425" s="586" t="s">
        <v>287</v>
      </c>
      <c r="BJ425" s="505" t="s">
        <v>308</v>
      </c>
      <c r="BK425" s="511">
        <f t="shared" si="389"/>
        <v>0.17</v>
      </c>
      <c r="BL425" s="505" t="s">
        <v>611</v>
      </c>
      <c r="BM425" s="504">
        <v>0.2</v>
      </c>
      <c r="BN425" s="504">
        <v>0.5</v>
      </c>
      <c r="BO425" s="503" t="s">
        <v>417</v>
      </c>
      <c r="BP425" s="511">
        <f t="shared" si="390"/>
        <v>1.2445714285714284</v>
      </c>
      <c r="BQ425" s="505" t="s">
        <v>613</v>
      </c>
      <c r="BR425" s="504">
        <v>0.2</v>
      </c>
      <c r="BS425" s="504">
        <v>0.5</v>
      </c>
      <c r="BT425" s="503" t="s">
        <v>417</v>
      </c>
      <c r="BU425" s="475"/>
      <c r="BV425" s="511">
        <v>4.25</v>
      </c>
      <c r="BW425" s="505" t="s">
        <v>612</v>
      </c>
      <c r="BX425" s="475"/>
      <c r="BY425" s="511">
        <v>370.88228571428567</v>
      </c>
      <c r="BZ425" s="505" t="s">
        <v>612</v>
      </c>
      <c r="CA425" s="473"/>
      <c r="CB425" s="475"/>
      <c r="CC425" s="473"/>
      <c r="CD425" s="473"/>
      <c r="CE425" s="475"/>
      <c r="CF425" s="475"/>
      <c r="CG425" s="475"/>
      <c r="CH425" s="475"/>
      <c r="CI425" s="473"/>
      <c r="CJ425" s="473"/>
      <c r="CK425" s="475"/>
      <c r="CL425" s="475"/>
      <c r="CM425" s="475"/>
      <c r="CN425" s="360"/>
      <c r="CO425" s="346">
        <v>0.2</v>
      </c>
      <c r="CP425" s="346">
        <f t="shared" si="383"/>
        <v>0.5</v>
      </c>
      <c r="CX425" s="132" t="s">
        <v>287</v>
      </c>
      <c r="CY425" s="132">
        <v>0.17</v>
      </c>
      <c r="CZ425" s="387">
        <f t="shared" si="391"/>
        <v>3.5700000000000003</v>
      </c>
      <c r="DA425" s="387">
        <f t="shared" si="392"/>
        <v>4.25</v>
      </c>
      <c r="DB425" s="132">
        <v>40</v>
      </c>
      <c r="DC425" s="132">
        <v>0.99</v>
      </c>
      <c r="DD425" s="387">
        <f t="shared" si="393"/>
        <v>39.6</v>
      </c>
      <c r="DE425" s="132">
        <v>0.02</v>
      </c>
      <c r="DF425" s="418">
        <f t="shared" si="394"/>
        <v>1.2445714285714284</v>
      </c>
      <c r="DG425" s="418">
        <f t="shared" si="395"/>
        <v>385.81714285714281</v>
      </c>
      <c r="DH425" s="418">
        <f t="shared" si="396"/>
        <v>370.88228571428567</v>
      </c>
      <c r="DI425" s="419">
        <f t="shared" si="397"/>
        <v>389.38714285714281</v>
      </c>
      <c r="DJ425" s="419">
        <f t="shared" si="397"/>
        <v>375.13228571428567</v>
      </c>
      <c r="DK425" s="360" t="s">
        <v>308</v>
      </c>
      <c r="DL425" s="344" t="s">
        <v>578</v>
      </c>
    </row>
    <row r="426" spans="15:116" s="344" customFormat="1" ht="22.5" hidden="1" customHeight="1" thickBot="1" x14ac:dyDescent="0.4">
      <c r="O426" s="543" t="s">
        <v>288</v>
      </c>
      <c r="Q426" s="563">
        <v>1.37</v>
      </c>
      <c r="R426" s="563">
        <v>30</v>
      </c>
      <c r="S426" s="566">
        <f t="shared" si="384"/>
        <v>0</v>
      </c>
      <c r="T426" s="566">
        <f t="shared" si="398"/>
        <v>0</v>
      </c>
      <c r="U426" s="566">
        <f t="shared" si="398"/>
        <v>0.11786892857142858</v>
      </c>
      <c r="V426" s="566">
        <f t="shared" si="398"/>
        <v>0.47147571428571433</v>
      </c>
      <c r="W426" s="566">
        <f t="shared" si="398"/>
        <v>0.11786892857142858</v>
      </c>
      <c r="X426" s="566">
        <f t="shared" si="398"/>
        <v>0</v>
      </c>
      <c r="Y426" s="566">
        <f t="shared" si="398"/>
        <v>0.23573785714285717</v>
      </c>
      <c r="Z426" s="566">
        <f t="shared" si="398"/>
        <v>1.6501650000000003</v>
      </c>
      <c r="AA426" s="566">
        <f t="shared" si="398"/>
        <v>0</v>
      </c>
      <c r="AB426" s="566">
        <f t="shared" si="398"/>
        <v>0</v>
      </c>
      <c r="AC426" s="566">
        <f t="shared" si="398"/>
        <v>0.14144271428571431</v>
      </c>
      <c r="AD426" s="566">
        <f t="shared" si="398"/>
        <v>0</v>
      </c>
      <c r="AE426" s="566">
        <f t="shared" si="398"/>
        <v>2.3573785714285718</v>
      </c>
      <c r="AF426" s="566">
        <v>0</v>
      </c>
      <c r="AG426" s="566">
        <f t="shared" si="399"/>
        <v>0.23573785714285717</v>
      </c>
      <c r="AH426" s="563"/>
      <c r="AI426" s="345">
        <v>0.22</v>
      </c>
      <c r="AJ426" s="343">
        <v>0</v>
      </c>
      <c r="AL426" s="343">
        <v>0</v>
      </c>
      <c r="AM426" s="557">
        <v>0.3</v>
      </c>
      <c r="AN426" s="561">
        <v>0.35</v>
      </c>
      <c r="AO426" s="561">
        <v>0.13</v>
      </c>
      <c r="AP426" s="567">
        <f>(AN426*365)*(AO426*0.67*0.02*1)</f>
        <v>0.2225405</v>
      </c>
      <c r="AQ426" s="567">
        <f>(AN426*365)*(AO426*0.67*0.01*1)</f>
        <v>0.11127025</v>
      </c>
      <c r="AR426" s="568"/>
      <c r="AS426" s="567">
        <f>(AN426*365)*(AO426*0.67*0.05*1)</f>
        <v>0.55635124999999996</v>
      </c>
      <c r="AT426" s="567">
        <f>(AN426*365)*(AO426*0.67*0.02*1)</f>
        <v>0.2225405</v>
      </c>
      <c r="AU426" s="567">
        <f>(AN426*365)*(AO426*0.67*0.8*1)</f>
        <v>8.9016199999999994</v>
      </c>
      <c r="AV426" s="567">
        <f>(AN426*365)*(AO426*0.67*0.8*1)</f>
        <v>8.9016199999999994</v>
      </c>
      <c r="AW426" s="567">
        <f>(AN426*365)*(AO426*0.67*0.3*1)</f>
        <v>3.3381075</v>
      </c>
      <c r="AX426" s="568"/>
      <c r="AY426" s="567">
        <f>(AN426*365)*(AO426*0.67*0.8*1)</f>
        <v>8.9016199999999994</v>
      </c>
      <c r="AZ426" s="567">
        <f t="shared" si="386"/>
        <v>11.127025</v>
      </c>
      <c r="BA426" s="567">
        <f t="shared" si="387"/>
        <v>1.1127024999999999</v>
      </c>
      <c r="BB426" s="567">
        <f t="shared" si="388"/>
        <v>5.5635125000000001E-2</v>
      </c>
      <c r="BC426" s="567">
        <f>(AN426*365)*(AO426*0.67*0.015*1)</f>
        <v>0.16690537499999999</v>
      </c>
      <c r="BD426" s="567">
        <v>0</v>
      </c>
      <c r="BE426" s="567">
        <v>0</v>
      </c>
      <c r="BH426" s="364"/>
      <c r="BI426" s="586" t="s">
        <v>288</v>
      </c>
      <c r="BJ426" s="505" t="s">
        <v>308</v>
      </c>
      <c r="BK426" s="511">
        <f t="shared" si="389"/>
        <v>0.22</v>
      </c>
      <c r="BL426" s="505" t="s">
        <v>611</v>
      </c>
      <c r="BM426" s="504">
        <v>0.2</v>
      </c>
      <c r="BN426" s="504">
        <v>0.5</v>
      </c>
      <c r="BO426" s="503" t="s">
        <v>417</v>
      </c>
      <c r="BP426" s="511">
        <f t="shared" si="390"/>
        <v>1.2445714285714284</v>
      </c>
      <c r="BQ426" s="505" t="s">
        <v>613</v>
      </c>
      <c r="BR426" s="504">
        <v>0.2</v>
      </c>
      <c r="BS426" s="504">
        <v>0.5</v>
      </c>
      <c r="BT426" s="503" t="s">
        <v>417</v>
      </c>
      <c r="BU426" s="519"/>
      <c r="BV426" s="511">
        <v>5.5</v>
      </c>
      <c r="BW426" s="505" t="s">
        <v>612</v>
      </c>
      <c r="BX426" s="519"/>
      <c r="BY426" s="511">
        <v>370.88228571428567</v>
      </c>
      <c r="BZ426" s="505" t="s">
        <v>612</v>
      </c>
      <c r="CA426" s="520"/>
      <c r="CB426" s="475"/>
      <c r="CC426" s="473"/>
      <c r="CD426" s="473"/>
      <c r="CE426" s="475"/>
      <c r="CF426" s="475"/>
      <c r="CG426" s="475"/>
      <c r="CH426" s="475"/>
      <c r="CI426" s="473"/>
      <c r="CJ426" s="473"/>
      <c r="CK426" s="475"/>
      <c r="CL426" s="475"/>
      <c r="CM426" s="475"/>
      <c r="CN426" s="360"/>
      <c r="CO426" s="346">
        <v>0.2</v>
      </c>
      <c r="CP426" s="346">
        <f t="shared" si="383"/>
        <v>0.5</v>
      </c>
      <c r="CX426" s="132" t="s">
        <v>288</v>
      </c>
      <c r="CY426" s="132">
        <v>0.22</v>
      </c>
      <c r="CZ426" s="387">
        <f t="shared" si="391"/>
        <v>4.62</v>
      </c>
      <c r="DA426" s="387">
        <f t="shared" si="392"/>
        <v>5.5</v>
      </c>
      <c r="DB426" s="132">
        <v>40</v>
      </c>
      <c r="DC426" s="132">
        <v>0.99</v>
      </c>
      <c r="DD426" s="387">
        <f t="shared" si="393"/>
        <v>39.6</v>
      </c>
      <c r="DE426" s="132">
        <v>0.02</v>
      </c>
      <c r="DF426" s="418">
        <f t="shared" si="394"/>
        <v>1.2445714285714284</v>
      </c>
      <c r="DG426" s="418">
        <f t="shared" si="395"/>
        <v>385.81714285714281</v>
      </c>
      <c r="DH426" s="418">
        <f t="shared" si="396"/>
        <v>370.88228571428567</v>
      </c>
      <c r="DI426" s="419">
        <f t="shared" si="397"/>
        <v>390.43714285714282</v>
      </c>
      <c r="DJ426" s="419">
        <f t="shared" si="397"/>
        <v>376.38228571428567</v>
      </c>
      <c r="DK426" s="360" t="s">
        <v>308</v>
      </c>
      <c r="DL426" s="344" t="s">
        <v>578</v>
      </c>
    </row>
    <row r="427" spans="15:116" s="344" customFormat="1" ht="24.75" hidden="1" customHeight="1" thickBot="1" x14ac:dyDescent="0.4">
      <c r="O427" s="543" t="s">
        <v>289</v>
      </c>
      <c r="Q427" s="563">
        <v>1.37</v>
      </c>
      <c r="R427" s="563">
        <v>30</v>
      </c>
      <c r="S427" s="566">
        <f t="shared" ref="S427:AG435" si="400">((($Q427*($R427/1000)*365)*1)*S$401)*(44/28)</f>
        <v>0</v>
      </c>
      <c r="T427" s="566">
        <f t="shared" si="400"/>
        <v>0</v>
      </c>
      <c r="U427" s="566">
        <f t="shared" si="400"/>
        <v>0.11786892857142858</v>
      </c>
      <c r="V427" s="566">
        <f t="shared" si="400"/>
        <v>0.47147571428571433</v>
      </c>
      <c r="W427" s="566">
        <f t="shared" si="400"/>
        <v>0.11786892857142858</v>
      </c>
      <c r="X427" s="566">
        <f t="shared" si="400"/>
        <v>0</v>
      </c>
      <c r="Y427" s="566">
        <f t="shared" si="400"/>
        <v>0.23573785714285717</v>
      </c>
      <c r="Z427" s="566">
        <f t="shared" si="400"/>
        <v>1.6501650000000003</v>
      </c>
      <c r="AA427" s="566">
        <f t="shared" si="400"/>
        <v>0</v>
      </c>
      <c r="AB427" s="566">
        <f t="shared" si="400"/>
        <v>0</v>
      </c>
      <c r="AC427" s="566">
        <f t="shared" si="400"/>
        <v>0.14144271428571431</v>
      </c>
      <c r="AD427" s="566">
        <f t="shared" si="400"/>
        <v>0</v>
      </c>
      <c r="AE427" s="566">
        <f t="shared" si="400"/>
        <v>2.3573785714285718</v>
      </c>
      <c r="AF427" s="566">
        <v>0</v>
      </c>
      <c r="AG427" s="566">
        <f t="shared" si="400"/>
        <v>0.23573785714285717</v>
      </c>
      <c r="AH427" s="563"/>
      <c r="AI427" s="345">
        <v>1.0900000000000001</v>
      </c>
      <c r="AJ427" s="343">
        <v>0</v>
      </c>
      <c r="AL427" s="343">
        <v>0</v>
      </c>
      <c r="AM427" s="557">
        <v>0.3</v>
      </c>
      <c r="AN427" s="561">
        <v>1.72</v>
      </c>
      <c r="AO427" s="561">
        <v>0.26</v>
      </c>
      <c r="AP427" s="567">
        <f>(AN427*365)*(AO427*0.67*0.01*1)</f>
        <v>1.0936276</v>
      </c>
      <c r="AQ427" s="567">
        <f>(AN427*365)*(AO427*0.67*0.001*1)</f>
        <v>0.10936276000000002</v>
      </c>
      <c r="AR427" s="568"/>
      <c r="AS427" s="567">
        <f>(AN427*365)*(AO427*0.67*0.02*1)</f>
        <v>2.1872552000000001</v>
      </c>
      <c r="AT427" s="567">
        <f>(AN427*365)*(AO427*0.67*0.01*1)</f>
        <v>1.0936276</v>
      </c>
      <c r="AU427" s="567">
        <f>(AN427*365)*(AO427*0.67*0.25*1)</f>
        <v>27.340690000000002</v>
      </c>
      <c r="AV427" s="567">
        <f>(AN427*365)*(AO427*0.67*0.73*1)</f>
        <v>79.83481479999999</v>
      </c>
      <c r="AW427" s="567">
        <f>(AN427*365)*(AO427*0.67*0.03*1)</f>
        <v>3.2808828000000001</v>
      </c>
      <c r="AX427" s="568"/>
      <c r="AY427" s="567">
        <f>(AN427*365)*(AO427*0.67*0.25*1)</f>
        <v>27.340690000000002</v>
      </c>
      <c r="AZ427" s="567">
        <f t="shared" si="386"/>
        <v>109.36276000000001</v>
      </c>
      <c r="BA427" s="567">
        <f t="shared" si="387"/>
        <v>10.936275999999999</v>
      </c>
      <c r="BB427" s="567">
        <f t="shared" si="388"/>
        <v>0.54681380000000002</v>
      </c>
      <c r="BC427" s="567">
        <f>(AN427*365)*(AO427*0.67*0.005*1)</f>
        <v>0.54681380000000002</v>
      </c>
      <c r="BD427" s="567">
        <v>0</v>
      </c>
      <c r="BE427" s="567">
        <v>0</v>
      </c>
      <c r="BH427" s="364"/>
      <c r="BI427" s="586" t="s">
        <v>289</v>
      </c>
      <c r="BJ427" s="505" t="s">
        <v>308</v>
      </c>
      <c r="BK427" s="511">
        <f t="shared" si="389"/>
        <v>1.0900000000000001</v>
      </c>
      <c r="BL427" s="505" t="s">
        <v>611</v>
      </c>
      <c r="BM427" s="504">
        <v>0.2</v>
      </c>
      <c r="BN427" s="504">
        <v>0.5</v>
      </c>
      <c r="BO427" s="503" t="s">
        <v>417</v>
      </c>
      <c r="BP427" s="511">
        <f t="shared" si="390"/>
        <v>1.2445714285714284</v>
      </c>
      <c r="BQ427" s="505" t="s">
        <v>613</v>
      </c>
      <c r="BR427" s="504">
        <v>0.2</v>
      </c>
      <c r="BS427" s="504">
        <v>0.5</v>
      </c>
      <c r="BT427" s="503" t="s">
        <v>417</v>
      </c>
      <c r="BU427" s="519"/>
      <c r="BV427" s="511">
        <v>27.250000000000004</v>
      </c>
      <c r="BW427" s="505" t="s">
        <v>612</v>
      </c>
      <c r="BX427" s="519"/>
      <c r="BY427" s="511">
        <v>370.88228571428567</v>
      </c>
      <c r="BZ427" s="505" t="s">
        <v>612</v>
      </c>
      <c r="CA427" s="520"/>
      <c r="CB427" s="475"/>
      <c r="CC427" s="473"/>
      <c r="CD427" s="473"/>
      <c r="CE427" s="475"/>
      <c r="CF427" s="475"/>
      <c r="CG427" s="475"/>
      <c r="CH427" s="475"/>
      <c r="CI427" s="473"/>
      <c r="CJ427" s="473"/>
      <c r="CK427" s="475"/>
      <c r="CL427" s="475"/>
      <c r="CM427" s="475"/>
      <c r="CN427" s="360"/>
      <c r="CO427" s="346">
        <v>0.2</v>
      </c>
      <c r="CP427" s="346">
        <f t="shared" si="383"/>
        <v>0.5</v>
      </c>
      <c r="CX427" s="132" t="s">
        <v>289</v>
      </c>
      <c r="CY427" s="132">
        <v>1.0900000000000001</v>
      </c>
      <c r="CZ427" s="387">
        <f t="shared" si="391"/>
        <v>22.89</v>
      </c>
      <c r="DA427" s="387">
        <f t="shared" si="392"/>
        <v>27.250000000000004</v>
      </c>
      <c r="DB427" s="132">
        <v>40</v>
      </c>
      <c r="DC427" s="132">
        <v>0.99</v>
      </c>
      <c r="DD427" s="387">
        <f t="shared" si="393"/>
        <v>39.6</v>
      </c>
      <c r="DE427" s="132">
        <v>0.02</v>
      </c>
      <c r="DF427" s="418">
        <f t="shared" si="394"/>
        <v>1.2445714285714284</v>
      </c>
      <c r="DG427" s="418">
        <f t="shared" si="395"/>
        <v>385.81714285714281</v>
      </c>
      <c r="DH427" s="418">
        <f t="shared" si="396"/>
        <v>370.88228571428567</v>
      </c>
      <c r="DI427" s="419">
        <f t="shared" si="397"/>
        <v>408.7071428571428</v>
      </c>
      <c r="DJ427" s="419">
        <f t="shared" si="397"/>
        <v>398.13228571428567</v>
      </c>
      <c r="DK427" s="360" t="s">
        <v>308</v>
      </c>
      <c r="DL427" s="344" t="s">
        <v>578</v>
      </c>
    </row>
    <row r="428" spans="15:116" s="344" customFormat="1" ht="33.75" hidden="1" thickBot="1" x14ac:dyDescent="0.4">
      <c r="O428" s="543" t="s">
        <v>290</v>
      </c>
      <c r="Q428" s="563">
        <v>1.37</v>
      </c>
      <c r="R428" s="563">
        <v>30</v>
      </c>
      <c r="S428" s="566">
        <f t="shared" si="400"/>
        <v>0</v>
      </c>
      <c r="T428" s="566">
        <f t="shared" si="400"/>
        <v>0</v>
      </c>
      <c r="U428" s="566">
        <f t="shared" si="400"/>
        <v>0.11786892857142858</v>
      </c>
      <c r="V428" s="566">
        <f t="shared" si="400"/>
        <v>0.47147571428571433</v>
      </c>
      <c r="W428" s="566">
        <f t="shared" si="400"/>
        <v>0.11786892857142858</v>
      </c>
      <c r="X428" s="566">
        <f t="shared" si="400"/>
        <v>0</v>
      </c>
      <c r="Y428" s="566">
        <f t="shared" si="400"/>
        <v>0.23573785714285717</v>
      </c>
      <c r="Z428" s="566">
        <f t="shared" si="400"/>
        <v>1.6501650000000003</v>
      </c>
      <c r="AA428" s="566">
        <f t="shared" si="400"/>
        <v>0</v>
      </c>
      <c r="AB428" s="566">
        <f t="shared" si="400"/>
        <v>0</v>
      </c>
      <c r="AC428" s="566">
        <f t="shared" si="400"/>
        <v>0.14144271428571431</v>
      </c>
      <c r="AD428" s="566">
        <f t="shared" si="400"/>
        <v>0</v>
      </c>
      <c r="AE428" s="566">
        <f t="shared" si="400"/>
        <v>2.3573785714285718</v>
      </c>
      <c r="AF428" s="566">
        <v>0</v>
      </c>
      <c r="AG428" s="566">
        <f t="shared" si="400"/>
        <v>0.23573785714285717</v>
      </c>
      <c r="AH428" s="563"/>
      <c r="AI428" s="345">
        <v>1.64</v>
      </c>
      <c r="AJ428" s="343">
        <v>0</v>
      </c>
      <c r="AL428" s="343">
        <v>0</v>
      </c>
      <c r="AM428" s="557">
        <v>0.3</v>
      </c>
      <c r="AN428" s="561">
        <v>1.72</v>
      </c>
      <c r="AO428" s="561">
        <v>0.26</v>
      </c>
      <c r="AP428" s="567">
        <f>(AN428*365)*(AO428*0.67*0.015*1)</f>
        <v>1.6404414</v>
      </c>
      <c r="AQ428" s="567">
        <f>(AN428*365)*(AO428*0.67*0.005*1)</f>
        <v>0.54681380000000002</v>
      </c>
      <c r="AR428" s="568"/>
      <c r="AS428" s="567">
        <f>(AN428*365)*(AO428*0.67*0.04*1)</f>
        <v>4.3745104000000001</v>
      </c>
      <c r="AT428" s="567">
        <f>(AN428*365)*(AO428*0.67*0.015*1)</f>
        <v>1.6404414</v>
      </c>
      <c r="AU428" s="567">
        <f>(AN428*365)*(AO428*0.67*0.65*1)</f>
        <v>71.085794000000007</v>
      </c>
      <c r="AV428" s="567">
        <f>(AN428*365)*(AO428*0.67*0.79*1)</f>
        <v>86.396580400000005</v>
      </c>
      <c r="AW428" s="567">
        <f>(AN428*365)*(AO428*0.67*0.03*1)</f>
        <v>3.2808828000000001</v>
      </c>
      <c r="AX428" s="568"/>
      <c r="AY428" s="567">
        <f>(AN428*365)*(AO428*0.67*0.65*1)</f>
        <v>71.085794000000007</v>
      </c>
      <c r="AZ428" s="567">
        <f t="shared" si="386"/>
        <v>109.36276000000001</v>
      </c>
      <c r="BA428" s="567">
        <f t="shared" si="387"/>
        <v>10.936275999999999</v>
      </c>
      <c r="BB428" s="567">
        <f t="shared" si="388"/>
        <v>0.54681380000000002</v>
      </c>
      <c r="BC428" s="567">
        <f>(AN428*365)*(AO428*0.67*0.01*1)</f>
        <v>1.0936276</v>
      </c>
      <c r="BD428" s="567">
        <v>0</v>
      </c>
      <c r="BE428" s="567">
        <v>0</v>
      </c>
      <c r="BH428" s="364"/>
      <c r="BI428" s="586" t="s">
        <v>290</v>
      </c>
      <c r="BJ428" s="505" t="s">
        <v>308</v>
      </c>
      <c r="BK428" s="511">
        <f t="shared" si="389"/>
        <v>1.64</v>
      </c>
      <c r="BL428" s="505" t="s">
        <v>611</v>
      </c>
      <c r="BM428" s="504">
        <v>0.2</v>
      </c>
      <c r="BN428" s="504">
        <v>0.5</v>
      </c>
      <c r="BO428" s="503" t="s">
        <v>417</v>
      </c>
      <c r="BP428" s="511">
        <f t="shared" si="390"/>
        <v>1.2445714285714284</v>
      </c>
      <c r="BQ428" s="505" t="s">
        <v>613</v>
      </c>
      <c r="BR428" s="504">
        <v>0.2</v>
      </c>
      <c r="BS428" s="504">
        <v>0.5</v>
      </c>
      <c r="BT428" s="503" t="s">
        <v>417</v>
      </c>
      <c r="BU428" s="519"/>
      <c r="BV428" s="511">
        <v>41</v>
      </c>
      <c r="BW428" s="505" t="s">
        <v>612</v>
      </c>
      <c r="BX428" s="519"/>
      <c r="BY428" s="511">
        <v>370.88228571428567</v>
      </c>
      <c r="BZ428" s="505" t="s">
        <v>612</v>
      </c>
      <c r="CA428" s="520"/>
      <c r="CB428" s="475"/>
      <c r="CC428" s="473"/>
      <c r="CD428" s="473"/>
      <c r="CE428" s="475"/>
      <c r="CF428" s="475"/>
      <c r="CG428" s="475"/>
      <c r="CH428" s="475"/>
      <c r="CI428" s="473"/>
      <c r="CJ428" s="473"/>
      <c r="CK428" s="475"/>
      <c r="CL428" s="475"/>
      <c r="CM428" s="475"/>
      <c r="CN428" s="360"/>
      <c r="CO428" s="346">
        <v>0.2</v>
      </c>
      <c r="CP428" s="346">
        <f t="shared" si="383"/>
        <v>0.5</v>
      </c>
      <c r="CX428" s="132" t="s">
        <v>290</v>
      </c>
      <c r="CY428" s="132">
        <v>1.64</v>
      </c>
      <c r="CZ428" s="387">
        <f t="shared" si="391"/>
        <v>34.44</v>
      </c>
      <c r="DA428" s="387">
        <f t="shared" si="392"/>
        <v>41</v>
      </c>
      <c r="DB428" s="132">
        <v>40</v>
      </c>
      <c r="DC428" s="132">
        <v>0.99</v>
      </c>
      <c r="DD428" s="387">
        <f t="shared" si="393"/>
        <v>39.6</v>
      </c>
      <c r="DE428" s="132">
        <v>0.02</v>
      </c>
      <c r="DF428" s="418">
        <f t="shared" si="394"/>
        <v>1.2445714285714284</v>
      </c>
      <c r="DG428" s="418">
        <f t="shared" si="395"/>
        <v>385.81714285714281</v>
      </c>
      <c r="DH428" s="418">
        <f t="shared" si="396"/>
        <v>370.88228571428567</v>
      </c>
      <c r="DI428" s="419">
        <f t="shared" si="397"/>
        <v>420.25714285714281</v>
      </c>
      <c r="DJ428" s="419">
        <f t="shared" si="397"/>
        <v>411.88228571428567</v>
      </c>
      <c r="DK428" s="360" t="s">
        <v>308</v>
      </c>
      <c r="DL428" s="344" t="s">
        <v>578</v>
      </c>
    </row>
    <row r="429" spans="15:116" s="344" customFormat="1" ht="33.75" hidden="1" thickBot="1" x14ac:dyDescent="0.4">
      <c r="O429" s="543" t="s">
        <v>291</v>
      </c>
      <c r="Q429" s="563">
        <v>1.37</v>
      </c>
      <c r="R429" s="563">
        <v>30</v>
      </c>
      <c r="S429" s="566">
        <f t="shared" si="400"/>
        <v>0</v>
      </c>
      <c r="T429" s="566">
        <f t="shared" si="400"/>
        <v>0</v>
      </c>
      <c r="U429" s="566">
        <f t="shared" si="400"/>
        <v>0.11786892857142858</v>
      </c>
      <c r="V429" s="566">
        <f t="shared" si="400"/>
        <v>0.47147571428571433</v>
      </c>
      <c r="W429" s="566">
        <f t="shared" si="400"/>
        <v>0.11786892857142858</v>
      </c>
      <c r="X429" s="566">
        <f t="shared" si="400"/>
        <v>0</v>
      </c>
      <c r="Y429" s="566">
        <f t="shared" si="400"/>
        <v>0.23573785714285717</v>
      </c>
      <c r="Z429" s="566">
        <f t="shared" si="400"/>
        <v>1.6501650000000003</v>
      </c>
      <c r="AA429" s="566">
        <f t="shared" si="400"/>
        <v>0</v>
      </c>
      <c r="AB429" s="566">
        <f t="shared" si="400"/>
        <v>0</v>
      </c>
      <c r="AC429" s="566">
        <f t="shared" si="400"/>
        <v>0.14144271428571431</v>
      </c>
      <c r="AD429" s="566">
        <f t="shared" si="400"/>
        <v>0</v>
      </c>
      <c r="AE429" s="566">
        <f t="shared" si="400"/>
        <v>2.3573785714285718</v>
      </c>
      <c r="AF429" s="566">
        <v>0</v>
      </c>
      <c r="AG429" s="566">
        <f t="shared" si="400"/>
        <v>0.23573785714285717</v>
      </c>
      <c r="AH429" s="563"/>
      <c r="AI429" s="345">
        <v>2.19</v>
      </c>
      <c r="AJ429" s="343">
        <v>0</v>
      </c>
      <c r="AL429" s="343">
        <v>0</v>
      </c>
      <c r="AM429" s="557">
        <v>0.3</v>
      </c>
      <c r="AN429" s="561">
        <v>1.72</v>
      </c>
      <c r="AO429" s="561">
        <v>0.26</v>
      </c>
      <c r="AP429" s="567">
        <f>(AN429*365)*(AO429*0.67*0.02*1)</f>
        <v>2.1872552000000001</v>
      </c>
      <c r="AQ429" s="567">
        <f>(AN429*365)*(AO429*0.67*0.01*1)</f>
        <v>1.0936276</v>
      </c>
      <c r="AR429" s="568"/>
      <c r="AS429" s="567">
        <f>(AN429*365)*(AO429*0.67*0.05*1)</f>
        <v>5.4681379999999997</v>
      </c>
      <c r="AT429" s="567">
        <f>(AN429*365)*(AO429*0.67*0.02*1)</f>
        <v>2.1872552000000001</v>
      </c>
      <c r="AU429" s="567">
        <f>(AN429*365)*(AO429*0.67*0.8*1)</f>
        <v>87.490207999999996</v>
      </c>
      <c r="AV429" s="567">
        <f>(AN429*365)*(AO429*0.67*0.8*1)</f>
        <v>87.490207999999996</v>
      </c>
      <c r="AW429" s="567">
        <f>(AN429*365)*(AO429*0.67*0.3*1)</f>
        <v>32.808828000000005</v>
      </c>
      <c r="AX429" s="568"/>
      <c r="AY429" s="567">
        <f>(AN429*365)*(AO429*0.67*0.8*1)</f>
        <v>87.490207999999996</v>
      </c>
      <c r="AZ429" s="567">
        <f t="shared" si="386"/>
        <v>109.36276000000001</v>
      </c>
      <c r="BA429" s="567">
        <f t="shared" si="387"/>
        <v>10.936275999999999</v>
      </c>
      <c r="BB429" s="567">
        <f t="shared" si="388"/>
        <v>0.54681380000000002</v>
      </c>
      <c r="BC429" s="567">
        <f>(AN429*365)*(AO429*0.67*0.015*1)</f>
        <v>1.6404414</v>
      </c>
      <c r="BD429" s="567">
        <v>0</v>
      </c>
      <c r="BE429" s="567">
        <v>0</v>
      </c>
      <c r="BH429" s="364"/>
      <c r="BI429" s="586" t="s">
        <v>291</v>
      </c>
      <c r="BJ429" s="505" t="s">
        <v>308</v>
      </c>
      <c r="BK429" s="511">
        <f t="shared" si="389"/>
        <v>2.1800000000000002</v>
      </c>
      <c r="BL429" s="505" t="s">
        <v>611</v>
      </c>
      <c r="BM429" s="504">
        <v>0.2</v>
      </c>
      <c r="BN429" s="504">
        <v>0.5</v>
      </c>
      <c r="BO429" s="503" t="s">
        <v>417</v>
      </c>
      <c r="BP429" s="511">
        <f t="shared" si="390"/>
        <v>1.2445714285714284</v>
      </c>
      <c r="BQ429" s="505" t="s">
        <v>613</v>
      </c>
      <c r="BR429" s="504">
        <v>0.2</v>
      </c>
      <c r="BS429" s="504">
        <v>0.5</v>
      </c>
      <c r="BT429" s="503" t="s">
        <v>417</v>
      </c>
      <c r="BU429" s="521"/>
      <c r="BV429" s="511">
        <v>54.500000000000007</v>
      </c>
      <c r="BW429" s="505" t="s">
        <v>612</v>
      </c>
      <c r="BX429" s="521"/>
      <c r="BY429" s="511">
        <v>370.88228571428567</v>
      </c>
      <c r="BZ429" s="505" t="s">
        <v>612</v>
      </c>
      <c r="CA429" s="522"/>
      <c r="CB429" s="475"/>
      <c r="CC429" s="473"/>
      <c r="CD429" s="473"/>
      <c r="CE429" s="475"/>
      <c r="CF429" s="475"/>
      <c r="CG429" s="475"/>
      <c r="CH429" s="475"/>
      <c r="CI429" s="473"/>
      <c r="CJ429" s="473"/>
      <c r="CK429" s="475"/>
      <c r="CL429" s="475"/>
      <c r="CM429" s="475"/>
      <c r="CN429" s="360"/>
      <c r="CO429" s="346">
        <v>0.2</v>
      </c>
      <c r="CP429" s="346">
        <f t="shared" si="383"/>
        <v>0.5</v>
      </c>
      <c r="CX429" s="132" t="s">
        <v>291</v>
      </c>
      <c r="CY429" s="132">
        <v>2.1800000000000002</v>
      </c>
      <c r="CZ429" s="387">
        <f t="shared" si="391"/>
        <v>45.78</v>
      </c>
      <c r="DA429" s="387">
        <f t="shared" si="392"/>
        <v>54.500000000000007</v>
      </c>
      <c r="DB429" s="132">
        <v>40</v>
      </c>
      <c r="DC429" s="132">
        <v>0.99</v>
      </c>
      <c r="DD429" s="387">
        <f t="shared" si="393"/>
        <v>39.6</v>
      </c>
      <c r="DE429" s="132">
        <v>0.02</v>
      </c>
      <c r="DF429" s="418">
        <f t="shared" si="394"/>
        <v>1.2445714285714284</v>
      </c>
      <c r="DG429" s="418">
        <f t="shared" si="395"/>
        <v>385.81714285714281</v>
      </c>
      <c r="DH429" s="418">
        <f t="shared" si="396"/>
        <v>370.88228571428567</v>
      </c>
      <c r="DI429" s="419">
        <f t="shared" si="397"/>
        <v>431.59714285714279</v>
      </c>
      <c r="DJ429" s="419">
        <f t="shared" si="397"/>
        <v>425.38228571428567</v>
      </c>
      <c r="DK429" s="360" t="s">
        <v>308</v>
      </c>
      <c r="DL429" s="344" t="s">
        <v>578</v>
      </c>
    </row>
    <row r="430" spans="15:116" s="344" customFormat="1" ht="33.75" hidden="1" thickBot="1" x14ac:dyDescent="0.4">
      <c r="O430" s="543" t="s">
        <v>292</v>
      </c>
      <c r="Q430" s="563">
        <v>1.37</v>
      </c>
      <c r="R430" s="563">
        <v>30</v>
      </c>
      <c r="S430" s="566">
        <f t="shared" si="400"/>
        <v>0</v>
      </c>
      <c r="T430" s="566">
        <f t="shared" si="400"/>
        <v>0</v>
      </c>
      <c r="U430" s="566">
        <f t="shared" si="400"/>
        <v>0.11786892857142858</v>
      </c>
      <c r="V430" s="566">
        <f t="shared" si="400"/>
        <v>0.47147571428571433</v>
      </c>
      <c r="W430" s="566">
        <f t="shared" si="400"/>
        <v>0.11786892857142858</v>
      </c>
      <c r="X430" s="566">
        <f t="shared" si="400"/>
        <v>0</v>
      </c>
      <c r="Y430" s="566">
        <f t="shared" si="400"/>
        <v>0.23573785714285717</v>
      </c>
      <c r="Z430" s="566">
        <f t="shared" si="400"/>
        <v>1.6501650000000003</v>
      </c>
      <c r="AA430" s="566">
        <f t="shared" si="400"/>
        <v>0</v>
      </c>
      <c r="AB430" s="566">
        <f t="shared" si="400"/>
        <v>0</v>
      </c>
      <c r="AC430" s="566">
        <f t="shared" si="400"/>
        <v>0.14144271428571431</v>
      </c>
      <c r="AD430" s="566">
        <f t="shared" si="400"/>
        <v>0</v>
      </c>
      <c r="AE430" s="566">
        <f t="shared" si="400"/>
        <v>2.3573785714285718</v>
      </c>
      <c r="AF430" s="566">
        <v>0</v>
      </c>
      <c r="AG430" s="566">
        <f t="shared" si="400"/>
        <v>0.23573785714285717</v>
      </c>
      <c r="AH430" s="563"/>
      <c r="AI430" s="345">
        <v>0.6</v>
      </c>
      <c r="AJ430" s="343">
        <v>0</v>
      </c>
      <c r="AL430" s="343">
        <v>0</v>
      </c>
      <c r="AM430" s="557">
        <v>0.3</v>
      </c>
      <c r="AN430" s="561">
        <v>0.94</v>
      </c>
      <c r="AO430" s="561">
        <v>0.26</v>
      </c>
      <c r="AP430" s="567">
        <f>(AN430*365)*(AO430*0.67*0.01*1)</f>
        <v>0.59768019999999999</v>
      </c>
      <c r="AQ430" s="567">
        <f>(AN430*365)*(AO430*0.67*0.001*1)</f>
        <v>5.9768020000000005E-2</v>
      </c>
      <c r="AR430" s="568"/>
      <c r="AS430" s="567">
        <f>(AN430*365)*(AO430*0.67*0.02*1)</f>
        <v>1.1953604</v>
      </c>
      <c r="AT430" s="567">
        <f>(AN430*365)*(AO430*0.67*0.01*1)</f>
        <v>0.59768019999999999</v>
      </c>
      <c r="AU430" s="567">
        <f>(AN430*365)*(AO430*0.67*0.25*1)</f>
        <v>14.942005</v>
      </c>
      <c r="AV430" s="567">
        <f>(AN430*365)*(AO430*0.67*0.73*1)</f>
        <v>43.630654599999993</v>
      </c>
      <c r="AW430" s="567">
        <f>(AN430*365)*(AO430*0.67*0.03*1)</f>
        <v>1.7930406000000001</v>
      </c>
      <c r="AX430" s="568"/>
      <c r="AY430" s="567">
        <f>(AN430*365)*(AO430*0.67*0.25*1)</f>
        <v>14.942005</v>
      </c>
      <c r="AZ430" s="567">
        <f t="shared" si="386"/>
        <v>59.76802</v>
      </c>
      <c r="BA430" s="567">
        <f t="shared" si="387"/>
        <v>5.9768020000000002</v>
      </c>
      <c r="BB430" s="567">
        <f t="shared" si="388"/>
        <v>0.2988401</v>
      </c>
      <c r="BC430" s="567">
        <f>(AN430*365)*(AO430*0.67*0.005*1)</f>
        <v>0.2988401</v>
      </c>
      <c r="BD430" s="567">
        <v>0</v>
      </c>
      <c r="BE430" s="567">
        <v>0</v>
      </c>
      <c r="BH430" s="364"/>
      <c r="BI430" s="586" t="s">
        <v>292</v>
      </c>
      <c r="BJ430" s="505" t="s">
        <v>308</v>
      </c>
      <c r="BK430" s="511">
        <f t="shared" si="389"/>
        <v>0.6</v>
      </c>
      <c r="BL430" s="505" t="s">
        <v>611</v>
      </c>
      <c r="BM430" s="504">
        <v>0.2</v>
      </c>
      <c r="BN430" s="504">
        <v>0.5</v>
      </c>
      <c r="BO430" s="503" t="s">
        <v>417</v>
      </c>
      <c r="BP430" s="511">
        <f t="shared" si="390"/>
        <v>1.2445714285714284</v>
      </c>
      <c r="BQ430" s="505" t="s">
        <v>613</v>
      </c>
      <c r="BR430" s="504">
        <v>0.2</v>
      </c>
      <c r="BS430" s="504">
        <v>0.5</v>
      </c>
      <c r="BT430" s="503" t="s">
        <v>417</v>
      </c>
      <c r="BU430" s="521"/>
      <c r="BV430" s="511">
        <v>15</v>
      </c>
      <c r="BW430" s="505" t="s">
        <v>612</v>
      </c>
      <c r="BX430" s="521"/>
      <c r="BY430" s="511">
        <v>370.88228571428567</v>
      </c>
      <c r="BZ430" s="505" t="s">
        <v>612</v>
      </c>
      <c r="CA430" s="522"/>
      <c r="CB430" s="475"/>
      <c r="CC430" s="473"/>
      <c r="CD430" s="473"/>
      <c r="CE430" s="475"/>
      <c r="CF430" s="475"/>
      <c r="CG430" s="475"/>
      <c r="CH430" s="475"/>
      <c r="CI430" s="473"/>
      <c r="CJ430" s="473"/>
      <c r="CK430" s="475"/>
      <c r="CL430" s="475"/>
      <c r="CM430" s="475"/>
      <c r="CN430" s="360"/>
      <c r="CO430" s="346">
        <v>0.2</v>
      </c>
      <c r="CP430" s="346">
        <f t="shared" si="383"/>
        <v>0.5</v>
      </c>
      <c r="CX430" s="132" t="s">
        <v>292</v>
      </c>
      <c r="CY430" s="132">
        <v>0.6</v>
      </c>
      <c r="CZ430" s="387">
        <f t="shared" si="391"/>
        <v>12.6</v>
      </c>
      <c r="DA430" s="387">
        <f t="shared" si="392"/>
        <v>15</v>
      </c>
      <c r="DB430" s="132">
        <v>40</v>
      </c>
      <c r="DC430" s="132">
        <v>0.99</v>
      </c>
      <c r="DD430" s="387">
        <f t="shared" si="393"/>
        <v>39.6</v>
      </c>
      <c r="DE430" s="132">
        <v>0.02</v>
      </c>
      <c r="DF430" s="418">
        <f t="shared" si="394"/>
        <v>1.2445714285714284</v>
      </c>
      <c r="DG430" s="418">
        <f t="shared" si="395"/>
        <v>385.81714285714281</v>
      </c>
      <c r="DH430" s="418">
        <f t="shared" si="396"/>
        <v>370.88228571428567</v>
      </c>
      <c r="DI430" s="419">
        <f t="shared" si="397"/>
        <v>398.41714285714284</v>
      </c>
      <c r="DJ430" s="419">
        <f t="shared" si="397"/>
        <v>385.88228571428567</v>
      </c>
      <c r="DK430" s="360" t="s">
        <v>308</v>
      </c>
      <c r="DL430" s="344" t="s">
        <v>578</v>
      </c>
    </row>
    <row r="431" spans="15:116" s="344" customFormat="1" ht="33.75" hidden="1" thickBot="1" x14ac:dyDescent="0.4">
      <c r="O431" s="543" t="s">
        <v>293</v>
      </c>
      <c r="Q431" s="563">
        <v>1.37</v>
      </c>
      <c r="R431" s="563">
        <v>30</v>
      </c>
      <c r="S431" s="566">
        <f t="shared" si="400"/>
        <v>0</v>
      </c>
      <c r="T431" s="566">
        <f t="shared" si="400"/>
        <v>0</v>
      </c>
      <c r="U431" s="566">
        <f t="shared" si="400"/>
        <v>0.11786892857142858</v>
      </c>
      <c r="V431" s="566">
        <f t="shared" si="400"/>
        <v>0.47147571428571433</v>
      </c>
      <c r="W431" s="566">
        <f t="shared" si="400"/>
        <v>0.11786892857142858</v>
      </c>
      <c r="X431" s="566">
        <f t="shared" si="400"/>
        <v>0</v>
      </c>
      <c r="Y431" s="566">
        <f t="shared" si="400"/>
        <v>0.23573785714285717</v>
      </c>
      <c r="Z431" s="566">
        <f t="shared" si="400"/>
        <v>1.6501650000000003</v>
      </c>
      <c r="AA431" s="566">
        <f t="shared" si="400"/>
        <v>0</v>
      </c>
      <c r="AB431" s="566">
        <f t="shared" si="400"/>
        <v>0</v>
      </c>
      <c r="AC431" s="566">
        <f t="shared" si="400"/>
        <v>0.14144271428571431</v>
      </c>
      <c r="AD431" s="566">
        <f t="shared" si="400"/>
        <v>0</v>
      </c>
      <c r="AE431" s="566">
        <f t="shared" si="400"/>
        <v>2.3573785714285718</v>
      </c>
      <c r="AF431" s="566">
        <v>0</v>
      </c>
      <c r="AG431" s="566">
        <f t="shared" si="400"/>
        <v>0.23573785714285717</v>
      </c>
      <c r="AH431" s="563"/>
      <c r="AI431" s="345">
        <v>0.9</v>
      </c>
      <c r="AJ431" s="343">
        <v>0</v>
      </c>
      <c r="AL431" s="343">
        <v>0</v>
      </c>
      <c r="AM431" s="557">
        <v>0.3</v>
      </c>
      <c r="AN431" s="561">
        <v>0.94</v>
      </c>
      <c r="AO431" s="561">
        <v>0.26</v>
      </c>
      <c r="AP431" s="567">
        <f>(AN431*365)*(AO431*0.67*0.015*1)</f>
        <v>0.89652030000000005</v>
      </c>
      <c r="AQ431" s="567">
        <f>(AN431*365)*(AO431*0.67*0.005*1)</f>
        <v>0.2988401</v>
      </c>
      <c r="AR431" s="568"/>
      <c r="AS431" s="567">
        <f>(AN431*365)*(AO431*0.67*0.04*1)</f>
        <v>2.3907208</v>
      </c>
      <c r="AT431" s="567">
        <f>(AN431*365)*(AO431*0.67*0.015*1)</f>
        <v>0.89652030000000005</v>
      </c>
      <c r="AU431" s="567">
        <f>(AN431*365)*(AO431*0.67*0.65*1)</f>
        <v>38.849212999999999</v>
      </c>
      <c r="AV431" s="567">
        <f>(AN431*365)*(AO431*0.67*0.79*1)</f>
        <v>47.216735800000002</v>
      </c>
      <c r="AW431" s="567">
        <f>(AN431*365)*(AO431*0.67*0.03*1)</f>
        <v>1.7930406000000001</v>
      </c>
      <c r="AX431" s="568"/>
      <c r="AY431" s="567">
        <f>(AN431*365)*(AO431*0.67*0.65*1)</f>
        <v>38.849212999999999</v>
      </c>
      <c r="AZ431" s="567">
        <f t="shared" si="386"/>
        <v>59.76802</v>
      </c>
      <c r="BA431" s="567">
        <f t="shared" si="387"/>
        <v>5.9768020000000002</v>
      </c>
      <c r="BB431" s="567">
        <f t="shared" si="388"/>
        <v>0.2988401</v>
      </c>
      <c r="BC431" s="567">
        <f>(AN431*365)*(AO431*0.67*0.01*1)</f>
        <v>0.59768019999999999</v>
      </c>
      <c r="BD431" s="567">
        <v>0</v>
      </c>
      <c r="BE431" s="567">
        <v>0</v>
      </c>
      <c r="BH431" s="364"/>
      <c r="BI431" s="586" t="s">
        <v>293</v>
      </c>
      <c r="BJ431" s="505" t="s">
        <v>308</v>
      </c>
      <c r="BK431" s="511">
        <f t="shared" si="389"/>
        <v>0.9</v>
      </c>
      <c r="BL431" s="505" t="s">
        <v>611</v>
      </c>
      <c r="BM431" s="504">
        <v>0.2</v>
      </c>
      <c r="BN431" s="504">
        <v>0.5</v>
      </c>
      <c r="BO431" s="503" t="s">
        <v>417</v>
      </c>
      <c r="BP431" s="511">
        <f t="shared" si="390"/>
        <v>1.2445714285714284</v>
      </c>
      <c r="BQ431" s="505" t="s">
        <v>613</v>
      </c>
      <c r="BR431" s="504">
        <v>0.2</v>
      </c>
      <c r="BS431" s="504">
        <v>0.5</v>
      </c>
      <c r="BT431" s="503" t="s">
        <v>417</v>
      </c>
      <c r="BU431" s="521"/>
      <c r="BV431" s="511">
        <v>22.5</v>
      </c>
      <c r="BW431" s="505" t="s">
        <v>612</v>
      </c>
      <c r="BX431" s="521"/>
      <c r="BY431" s="511">
        <v>370.88228571428567</v>
      </c>
      <c r="BZ431" s="505" t="s">
        <v>612</v>
      </c>
      <c r="CA431" s="522"/>
      <c r="CB431" s="475"/>
      <c r="CC431" s="473"/>
      <c r="CD431" s="473"/>
      <c r="CE431" s="475"/>
      <c r="CF431" s="475"/>
      <c r="CG431" s="475"/>
      <c r="CH431" s="475"/>
      <c r="CI431" s="473"/>
      <c r="CJ431" s="473"/>
      <c r="CK431" s="475"/>
      <c r="CL431" s="475"/>
      <c r="CM431" s="475"/>
      <c r="CN431" s="360"/>
      <c r="CO431" s="346">
        <v>0.2</v>
      </c>
      <c r="CP431" s="346">
        <f t="shared" si="383"/>
        <v>0.5</v>
      </c>
      <c r="CX431" s="132" t="s">
        <v>293</v>
      </c>
      <c r="CY431" s="132">
        <v>0.9</v>
      </c>
      <c r="CZ431" s="387">
        <f t="shared" si="391"/>
        <v>18.900000000000002</v>
      </c>
      <c r="DA431" s="387">
        <f t="shared" si="392"/>
        <v>22.5</v>
      </c>
      <c r="DB431" s="132">
        <v>40</v>
      </c>
      <c r="DC431" s="132">
        <v>0.99</v>
      </c>
      <c r="DD431" s="387">
        <f t="shared" si="393"/>
        <v>39.6</v>
      </c>
      <c r="DE431" s="132">
        <v>0.02</v>
      </c>
      <c r="DF431" s="418">
        <f t="shared" si="394"/>
        <v>1.2445714285714284</v>
      </c>
      <c r="DG431" s="418">
        <f t="shared" si="395"/>
        <v>385.81714285714281</v>
      </c>
      <c r="DH431" s="418">
        <f t="shared" si="396"/>
        <v>370.88228571428567</v>
      </c>
      <c r="DI431" s="419">
        <f t="shared" si="397"/>
        <v>404.71714285714279</v>
      </c>
      <c r="DJ431" s="419">
        <f t="shared" si="397"/>
        <v>393.38228571428567</v>
      </c>
      <c r="DK431" s="360" t="s">
        <v>308</v>
      </c>
      <c r="DL431" s="344" t="s">
        <v>578</v>
      </c>
    </row>
    <row r="432" spans="15:116" s="344" customFormat="1" ht="33.75" hidden="1" thickBot="1" x14ac:dyDescent="0.4">
      <c r="O432" s="543" t="s">
        <v>294</v>
      </c>
      <c r="Q432" s="563">
        <v>1.37</v>
      </c>
      <c r="R432" s="563">
        <v>30</v>
      </c>
      <c r="S432" s="566">
        <f t="shared" si="400"/>
        <v>0</v>
      </c>
      <c r="T432" s="566">
        <f t="shared" si="400"/>
        <v>0</v>
      </c>
      <c r="U432" s="566">
        <f t="shared" si="400"/>
        <v>0.11786892857142858</v>
      </c>
      <c r="V432" s="566">
        <f t="shared" si="400"/>
        <v>0.47147571428571433</v>
      </c>
      <c r="W432" s="566">
        <f t="shared" si="400"/>
        <v>0.11786892857142858</v>
      </c>
      <c r="X432" s="566">
        <f t="shared" si="400"/>
        <v>0</v>
      </c>
      <c r="Y432" s="566">
        <f t="shared" si="400"/>
        <v>0.23573785714285717</v>
      </c>
      <c r="Z432" s="566">
        <f t="shared" si="400"/>
        <v>1.6501650000000003</v>
      </c>
      <c r="AA432" s="566">
        <f t="shared" si="400"/>
        <v>0</v>
      </c>
      <c r="AB432" s="566">
        <f t="shared" si="400"/>
        <v>0</v>
      </c>
      <c r="AC432" s="566">
        <f t="shared" si="400"/>
        <v>0.14144271428571431</v>
      </c>
      <c r="AD432" s="566">
        <f t="shared" si="400"/>
        <v>0</v>
      </c>
      <c r="AE432" s="566">
        <f t="shared" si="400"/>
        <v>2.3573785714285718</v>
      </c>
      <c r="AF432" s="566">
        <v>0</v>
      </c>
      <c r="AG432" s="566">
        <f t="shared" si="400"/>
        <v>0.23573785714285717</v>
      </c>
      <c r="AH432" s="563"/>
      <c r="AI432" s="345">
        <v>1.2</v>
      </c>
      <c r="AJ432" s="343">
        <v>0</v>
      </c>
      <c r="AL432" s="343">
        <v>0</v>
      </c>
      <c r="AM432" s="557">
        <v>0.3</v>
      </c>
      <c r="AN432" s="561">
        <v>0.94</v>
      </c>
      <c r="AO432" s="561">
        <v>0.26</v>
      </c>
      <c r="AP432" s="567">
        <f>(AN432*365)*(AO432*0.67*0.02*1)</f>
        <v>1.1953604</v>
      </c>
      <c r="AQ432" s="567">
        <f>(AN432*365)*(AO432*0.67*0.01*1)</f>
        <v>0.59768019999999999</v>
      </c>
      <c r="AR432" s="568"/>
      <c r="AS432" s="567">
        <f>(AN432*365)*(AO432*0.67*0.05*1)</f>
        <v>2.9884010000000001</v>
      </c>
      <c r="AT432" s="567">
        <f>(AN432*365)*(AO432*0.67*0.02*1)</f>
        <v>1.1953604</v>
      </c>
      <c r="AU432" s="567">
        <f>(AN432*365)*(AO432*0.67*0.8*1)</f>
        <v>47.814416000000001</v>
      </c>
      <c r="AV432" s="567">
        <f>(AN432*365)*(AO432*0.67*0.8*1)</f>
        <v>47.814416000000001</v>
      </c>
      <c r="AW432" s="567">
        <f>(AN432*365)*(AO432*0.67*0.3*1)</f>
        <v>17.930406000000001</v>
      </c>
      <c r="AX432" s="568"/>
      <c r="AY432" s="567">
        <f>(AN432*365)*(AO432*0.67*0.8*1)</f>
        <v>47.814416000000001</v>
      </c>
      <c r="AZ432" s="567">
        <f t="shared" si="386"/>
        <v>59.76802</v>
      </c>
      <c r="BA432" s="567">
        <f t="shared" si="387"/>
        <v>5.9768020000000002</v>
      </c>
      <c r="BB432" s="567">
        <f t="shared" si="388"/>
        <v>0.2988401</v>
      </c>
      <c r="BC432" s="567">
        <f>(AN432*365)*(AO432*0.67*0.015*1)</f>
        <v>0.89652030000000005</v>
      </c>
      <c r="BD432" s="567">
        <v>0</v>
      </c>
      <c r="BE432" s="567">
        <v>0</v>
      </c>
      <c r="BH432" s="364"/>
      <c r="BI432" s="586" t="s">
        <v>294</v>
      </c>
      <c r="BJ432" s="505" t="s">
        <v>308</v>
      </c>
      <c r="BK432" s="511">
        <f t="shared" si="389"/>
        <v>1.19</v>
      </c>
      <c r="BL432" s="505" t="s">
        <v>611</v>
      </c>
      <c r="BM432" s="504">
        <v>0.2</v>
      </c>
      <c r="BN432" s="504">
        <v>0.5</v>
      </c>
      <c r="BO432" s="503" t="s">
        <v>417</v>
      </c>
      <c r="BP432" s="511">
        <f t="shared" si="390"/>
        <v>1.2445714285714284</v>
      </c>
      <c r="BQ432" s="505" t="s">
        <v>613</v>
      </c>
      <c r="BR432" s="504">
        <v>0.2</v>
      </c>
      <c r="BS432" s="504">
        <v>0.5</v>
      </c>
      <c r="BT432" s="503" t="s">
        <v>417</v>
      </c>
      <c r="BU432" s="521"/>
      <c r="BV432" s="511">
        <v>29.75</v>
      </c>
      <c r="BW432" s="505" t="s">
        <v>612</v>
      </c>
      <c r="BX432" s="521"/>
      <c r="BY432" s="511">
        <v>370.88228571428567</v>
      </c>
      <c r="BZ432" s="505" t="s">
        <v>612</v>
      </c>
      <c r="CA432" s="522"/>
      <c r="CB432" s="475"/>
      <c r="CC432" s="473"/>
      <c r="CD432" s="473"/>
      <c r="CE432" s="475"/>
      <c r="CF432" s="475"/>
      <c r="CG432" s="475"/>
      <c r="CH432" s="475"/>
      <c r="CI432" s="473"/>
      <c r="CJ432" s="473"/>
      <c r="CK432" s="475"/>
      <c r="CL432" s="475"/>
      <c r="CM432" s="475"/>
      <c r="CN432" s="360"/>
      <c r="CO432" s="346">
        <v>0.2</v>
      </c>
      <c r="CP432" s="346">
        <f t="shared" si="383"/>
        <v>0.5</v>
      </c>
      <c r="CX432" s="132" t="s">
        <v>294</v>
      </c>
      <c r="CY432" s="132">
        <v>1.19</v>
      </c>
      <c r="CZ432" s="387">
        <f t="shared" si="391"/>
        <v>24.99</v>
      </c>
      <c r="DA432" s="387">
        <f t="shared" si="392"/>
        <v>29.75</v>
      </c>
      <c r="DB432" s="132">
        <v>40</v>
      </c>
      <c r="DC432" s="132">
        <v>0.99</v>
      </c>
      <c r="DD432" s="387">
        <f t="shared" si="393"/>
        <v>39.6</v>
      </c>
      <c r="DE432" s="132">
        <v>0.02</v>
      </c>
      <c r="DF432" s="418">
        <f t="shared" si="394"/>
        <v>1.2445714285714284</v>
      </c>
      <c r="DG432" s="418">
        <f t="shared" si="395"/>
        <v>385.81714285714281</v>
      </c>
      <c r="DH432" s="418">
        <f t="shared" si="396"/>
        <v>370.88228571428567</v>
      </c>
      <c r="DI432" s="419">
        <f t="shared" si="397"/>
        <v>410.80714285714282</v>
      </c>
      <c r="DJ432" s="419">
        <f t="shared" si="397"/>
        <v>400.63228571428567</v>
      </c>
      <c r="DK432" s="360" t="s">
        <v>308</v>
      </c>
      <c r="DL432" s="344" t="s">
        <v>578</v>
      </c>
    </row>
    <row r="433" spans="15:116" s="344" customFormat="1" hidden="1" x14ac:dyDescent="0.25">
      <c r="O433" s="543" t="s">
        <v>747</v>
      </c>
      <c r="Q433" s="563">
        <v>1.37</v>
      </c>
      <c r="R433" s="563">
        <v>30</v>
      </c>
      <c r="S433" s="566">
        <f t="shared" si="400"/>
        <v>0</v>
      </c>
      <c r="T433" s="566">
        <f t="shared" si="400"/>
        <v>0</v>
      </c>
      <c r="U433" s="566">
        <f t="shared" si="400"/>
        <v>0.11786892857142858</v>
      </c>
      <c r="V433" s="566">
        <f t="shared" si="400"/>
        <v>0.47147571428571433</v>
      </c>
      <c r="W433" s="566">
        <f t="shared" si="400"/>
        <v>0.11786892857142858</v>
      </c>
      <c r="X433" s="566">
        <f t="shared" si="400"/>
        <v>0</v>
      </c>
      <c r="Y433" s="566">
        <f t="shared" si="400"/>
        <v>0.23573785714285717</v>
      </c>
      <c r="Z433" s="566">
        <f t="shared" si="400"/>
        <v>1.6501650000000003</v>
      </c>
      <c r="AA433" s="566">
        <f t="shared" si="400"/>
        <v>0</v>
      </c>
      <c r="AB433" s="566">
        <f t="shared" si="400"/>
        <v>0</v>
      </c>
      <c r="AC433" s="566">
        <f t="shared" si="400"/>
        <v>0.14144271428571431</v>
      </c>
      <c r="AD433" s="566">
        <f t="shared" si="400"/>
        <v>0</v>
      </c>
      <c r="AE433" s="566">
        <f t="shared" si="400"/>
        <v>2.3573785714285718</v>
      </c>
      <c r="AF433" s="566">
        <v>0</v>
      </c>
      <c r="AG433" s="566">
        <f t="shared" si="400"/>
        <v>0.23573785714285717</v>
      </c>
      <c r="AH433" s="563"/>
      <c r="AI433" s="345">
        <v>0.08</v>
      </c>
      <c r="AJ433" s="343"/>
      <c r="AK433" s="343"/>
      <c r="AL433" s="343"/>
      <c r="AM433" s="343"/>
      <c r="AN433" s="561">
        <v>0.1</v>
      </c>
      <c r="AO433" s="561">
        <v>0.32</v>
      </c>
      <c r="AP433" s="567">
        <f>(AN433*365)*(AO433*0.67*0.01*1)</f>
        <v>7.8256000000000006E-2</v>
      </c>
      <c r="AQ433" s="567">
        <f>(AN433*365)*(AO433*0.67*0.001*1)</f>
        <v>7.8256000000000003E-3</v>
      </c>
      <c r="AR433" s="568"/>
      <c r="AS433" s="567">
        <f>(AN433*365)*(AO433*0.67*0.02*1)</f>
        <v>0.15651200000000001</v>
      </c>
      <c r="AT433" s="567">
        <f>(AN433*365)*(AO433*0.67*0.01*1)</f>
        <v>7.8256000000000006E-2</v>
      </c>
      <c r="AU433" s="567">
        <f>(AN433*365)*(AO433*0.67*0.25*1)</f>
        <v>1.9564000000000001</v>
      </c>
      <c r="AV433" s="567">
        <f>(AN433*365)*(AO433*0.67*0.73*1)</f>
        <v>5.7126880000000009</v>
      </c>
      <c r="AW433" s="567">
        <f>(AN433*365)*(AO433*0.67*0.03*1)</f>
        <v>0.234768</v>
      </c>
      <c r="AX433" s="568"/>
      <c r="AY433" s="567">
        <f>(AN433*365)*(AO433*0.67*0.25*1)</f>
        <v>1.9564000000000001</v>
      </c>
      <c r="AZ433" s="567">
        <f t="shared" si="386"/>
        <v>7.8256000000000006</v>
      </c>
      <c r="BA433" s="567">
        <f t="shared" si="387"/>
        <v>0.78256000000000003</v>
      </c>
      <c r="BB433" s="567">
        <f t="shared" si="388"/>
        <v>3.9128000000000003E-2</v>
      </c>
      <c r="BC433" s="567">
        <f>(AN433*365)*(AO433*0.67*0.005*1)</f>
        <v>3.9128000000000003E-2</v>
      </c>
      <c r="BD433" s="567">
        <v>0</v>
      </c>
      <c r="BE433" s="567">
        <v>0</v>
      </c>
      <c r="BH433" s="342"/>
      <c r="BI433" s="345"/>
      <c r="BJ433" s="473"/>
      <c r="BK433" s="473"/>
      <c r="BL433" s="473"/>
      <c r="BM433" s="463"/>
      <c r="BN433" s="463"/>
      <c r="BO433" s="463"/>
      <c r="BP433" s="521"/>
      <c r="BQ433" s="521"/>
      <c r="BR433" s="521"/>
      <c r="BS433" s="521"/>
      <c r="BT433" s="521"/>
      <c r="BU433" s="521"/>
      <c r="BV433" s="522"/>
      <c r="BW433" s="521"/>
      <c r="BX433" s="521"/>
      <c r="BY433" s="522"/>
      <c r="BZ433" s="522"/>
      <c r="CA433" s="522"/>
      <c r="CB433" s="475"/>
      <c r="CC433" s="473"/>
      <c r="CD433" s="473"/>
      <c r="CE433" s="475"/>
      <c r="CF433" s="475"/>
      <c r="CG433" s="475"/>
      <c r="CH433" s="475"/>
      <c r="CI433" s="473"/>
      <c r="CJ433" s="473"/>
      <c r="CK433" s="475"/>
      <c r="CL433" s="475"/>
      <c r="CM433" s="475"/>
      <c r="CN433" s="360"/>
      <c r="CO433" s="346"/>
      <c r="CP433" s="346">
        <f t="shared" si="383"/>
        <v>0</v>
      </c>
      <c r="CZ433" s="360"/>
      <c r="DA433" s="386"/>
      <c r="DB433" s="360"/>
      <c r="DC433" s="360"/>
      <c r="DD433" s="360"/>
      <c r="DE433" s="360"/>
      <c r="DF433" s="360"/>
    </row>
    <row r="434" spans="15:116" s="344" customFormat="1" hidden="1" x14ac:dyDescent="0.25">
      <c r="O434" s="543" t="s">
        <v>748</v>
      </c>
      <c r="Q434" s="563">
        <v>1.37</v>
      </c>
      <c r="R434" s="563">
        <v>30</v>
      </c>
      <c r="S434" s="566">
        <f t="shared" si="400"/>
        <v>0</v>
      </c>
      <c r="T434" s="566">
        <f t="shared" si="400"/>
        <v>0</v>
      </c>
      <c r="U434" s="566">
        <f t="shared" si="400"/>
        <v>0.11786892857142858</v>
      </c>
      <c r="V434" s="566">
        <f t="shared" si="400"/>
        <v>0.47147571428571433</v>
      </c>
      <c r="W434" s="566">
        <f t="shared" si="400"/>
        <v>0.11786892857142858</v>
      </c>
      <c r="X434" s="566">
        <f t="shared" si="400"/>
        <v>0</v>
      </c>
      <c r="Y434" s="566">
        <f t="shared" si="400"/>
        <v>0.23573785714285717</v>
      </c>
      <c r="Z434" s="566">
        <f t="shared" si="400"/>
        <v>1.6501650000000003</v>
      </c>
      <c r="AA434" s="566">
        <f t="shared" si="400"/>
        <v>0</v>
      </c>
      <c r="AB434" s="566">
        <f t="shared" si="400"/>
        <v>0</v>
      </c>
      <c r="AC434" s="566">
        <f t="shared" si="400"/>
        <v>0.14144271428571431</v>
      </c>
      <c r="AD434" s="566">
        <f t="shared" si="400"/>
        <v>0</v>
      </c>
      <c r="AE434" s="566">
        <f t="shared" si="400"/>
        <v>2.3573785714285718</v>
      </c>
      <c r="AF434" s="566">
        <v>0</v>
      </c>
      <c r="AG434" s="566">
        <f t="shared" si="400"/>
        <v>0.23573785714285717</v>
      </c>
      <c r="AH434" s="563"/>
      <c r="AN434" s="561">
        <v>0.1</v>
      </c>
      <c r="AO434" s="561">
        <v>0.32</v>
      </c>
      <c r="AP434" s="567">
        <f>(AN434*365)*(AO434*0.67*0.015*1)</f>
        <v>0.117384</v>
      </c>
      <c r="AQ434" s="567">
        <f>(AN434*365)*(AO434*0.67*0.005*1)</f>
        <v>3.9128000000000003E-2</v>
      </c>
      <c r="AR434" s="568"/>
      <c r="AS434" s="567">
        <f>(AN434*365)*(AO434*0.67*0.04*1)</f>
        <v>0.31302400000000002</v>
      </c>
      <c r="AT434" s="567">
        <f>(AN434*365)*(AO434*0.67*0.015*1)</f>
        <v>0.117384</v>
      </c>
      <c r="AU434" s="567">
        <f>(AN434*365)*(AO434*0.67*0.65*1)</f>
        <v>5.0866400000000001</v>
      </c>
      <c r="AV434" s="567">
        <f>(AN434*365)*(AO434*0.67*0.79*1)</f>
        <v>6.1822240000000006</v>
      </c>
      <c r="AW434" s="567">
        <f>(AN434*365)*(AO434*0.67*0.03*1)</f>
        <v>0.234768</v>
      </c>
      <c r="AX434" s="568"/>
      <c r="AY434" s="567">
        <f>(AN434*365)*(AO434*0.67*0.65*1)</f>
        <v>5.0866400000000001</v>
      </c>
      <c r="AZ434" s="567">
        <f t="shared" si="386"/>
        <v>7.8256000000000006</v>
      </c>
      <c r="BA434" s="567">
        <f t="shared" si="387"/>
        <v>0.78256000000000003</v>
      </c>
      <c r="BB434" s="567">
        <f t="shared" si="388"/>
        <v>3.9128000000000003E-2</v>
      </c>
      <c r="BC434" s="567">
        <f>(AN434*365)*(AO434*0.67*0.01*1)</f>
        <v>7.8256000000000006E-2</v>
      </c>
      <c r="BD434" s="567">
        <v>0</v>
      </c>
      <c r="BE434" s="567">
        <v>0</v>
      </c>
      <c r="BI434" s="345"/>
      <c r="BJ434" s="473"/>
      <c r="BK434" s="473"/>
      <c r="BL434" s="473"/>
      <c r="BM434" s="463"/>
      <c r="BN434" s="463"/>
      <c r="BO434" s="463"/>
      <c r="BP434" s="521"/>
      <c r="BQ434" s="521"/>
      <c r="BR434" s="521"/>
      <c r="BS434" s="521"/>
      <c r="BT434" s="521"/>
      <c r="BU434" s="521"/>
      <c r="BV434" s="522"/>
      <c r="BW434" s="521"/>
      <c r="BX434" s="521"/>
      <c r="BY434" s="522"/>
      <c r="BZ434" s="522"/>
      <c r="CA434" s="522"/>
      <c r="CB434" s="475"/>
      <c r="CC434" s="473"/>
      <c r="CD434" s="473"/>
      <c r="CE434" s="475"/>
      <c r="CF434" s="475"/>
      <c r="CG434" s="475"/>
      <c r="CH434" s="475"/>
      <c r="CI434" s="473"/>
      <c r="CJ434" s="473"/>
      <c r="CK434" s="475"/>
      <c r="CL434" s="475"/>
      <c r="CM434" s="475"/>
      <c r="CN434" s="360"/>
      <c r="CO434" s="346"/>
      <c r="CP434" s="346">
        <f t="shared" si="383"/>
        <v>0</v>
      </c>
      <c r="CZ434" s="360" t="s">
        <v>151</v>
      </c>
      <c r="DB434" s="360" t="s">
        <v>192</v>
      </c>
      <c r="DC434" s="360" t="s">
        <v>193</v>
      </c>
      <c r="DD434" s="360"/>
      <c r="DE434" s="360"/>
      <c r="DF434" s="360"/>
      <c r="DG434" s="360" t="s">
        <v>194</v>
      </c>
      <c r="DH434" s="360" t="s">
        <v>195</v>
      </c>
      <c r="DI434" s="360" t="s">
        <v>196</v>
      </c>
      <c r="DJ434" s="360"/>
      <c r="DK434" s="360" t="s">
        <v>197</v>
      </c>
    </row>
    <row r="435" spans="15:116" s="344" customFormat="1" ht="18.75" hidden="1" thickBot="1" x14ac:dyDescent="0.3">
      <c r="O435" s="543" t="s">
        <v>749</v>
      </c>
      <c r="Q435" s="563">
        <v>1.37</v>
      </c>
      <c r="R435" s="563">
        <v>30</v>
      </c>
      <c r="S435" s="566">
        <f t="shared" si="400"/>
        <v>0</v>
      </c>
      <c r="T435" s="566">
        <f t="shared" si="400"/>
        <v>0</v>
      </c>
      <c r="U435" s="566">
        <f t="shared" si="400"/>
        <v>0.11786892857142858</v>
      </c>
      <c r="V435" s="566">
        <f t="shared" si="400"/>
        <v>0.47147571428571433</v>
      </c>
      <c r="W435" s="566">
        <f t="shared" si="400"/>
        <v>0.11786892857142858</v>
      </c>
      <c r="X435" s="566">
        <f t="shared" si="400"/>
        <v>0</v>
      </c>
      <c r="Y435" s="566">
        <f t="shared" si="400"/>
        <v>0.23573785714285717</v>
      </c>
      <c r="Z435" s="566">
        <f t="shared" si="400"/>
        <v>1.6501650000000003</v>
      </c>
      <c r="AA435" s="566">
        <f t="shared" si="400"/>
        <v>0</v>
      </c>
      <c r="AB435" s="566">
        <f t="shared" si="400"/>
        <v>0</v>
      </c>
      <c r="AC435" s="566">
        <f t="shared" si="400"/>
        <v>0.14144271428571431</v>
      </c>
      <c r="AD435" s="566">
        <f t="shared" si="400"/>
        <v>0</v>
      </c>
      <c r="AE435" s="566">
        <f t="shared" si="400"/>
        <v>2.3573785714285718</v>
      </c>
      <c r="AF435" s="566">
        <v>0</v>
      </c>
      <c r="AG435" s="566">
        <f t="shared" si="400"/>
        <v>0.23573785714285717</v>
      </c>
      <c r="AH435" s="563"/>
      <c r="AN435" s="561">
        <v>0.1</v>
      </c>
      <c r="AO435" s="561">
        <v>0.32</v>
      </c>
      <c r="AP435" s="567">
        <f>(AN435*365)*(AO435*0.67*0.02*1)</f>
        <v>0.15651200000000001</v>
      </c>
      <c r="AQ435" s="567">
        <f>(AN435*365)*(AO435*0.67*0.01*1)</f>
        <v>7.8256000000000006E-2</v>
      </c>
      <c r="AR435" s="568"/>
      <c r="AS435" s="567">
        <f>(AN435*365)*(AO435*0.67*0.05*1)</f>
        <v>0.39128000000000002</v>
      </c>
      <c r="AT435" s="567">
        <f>(AN435*365)*(AO435*0.67*0.02*1)</f>
        <v>0.15651200000000001</v>
      </c>
      <c r="AU435" s="567">
        <f>(AN435*365)*(AO435*0.67*0.8*1)</f>
        <v>6.2604800000000003</v>
      </c>
      <c r="AV435" s="567">
        <f>(AN435*365)*(AO435*0.67*0.8*1)</f>
        <v>6.2604800000000003</v>
      </c>
      <c r="AW435" s="567">
        <f>(AN435*365)*(AO435*0.67*0.3*1)</f>
        <v>2.34768</v>
      </c>
      <c r="AX435" s="568"/>
      <c r="AY435" s="567">
        <f>(AN435*365)*(AO435*0.67*0.8*1)</f>
        <v>6.2604800000000003</v>
      </c>
      <c r="AZ435" s="567">
        <f t="shared" si="386"/>
        <v>7.8256000000000006</v>
      </c>
      <c r="BA435" s="567">
        <f t="shared" si="387"/>
        <v>0.78256000000000003</v>
      </c>
      <c r="BB435" s="567">
        <f t="shared" si="388"/>
        <v>3.9128000000000003E-2</v>
      </c>
      <c r="BC435" s="567">
        <f>(AN435*365)*(AO435*0.67*0.015*1)</f>
        <v>0.117384</v>
      </c>
      <c r="BD435" s="567">
        <v>0</v>
      </c>
      <c r="BE435" s="567">
        <v>0</v>
      </c>
      <c r="BI435" s="345"/>
      <c r="BJ435" s="473"/>
      <c r="BK435" s="473"/>
      <c r="BL435" s="473"/>
      <c r="BM435" s="463"/>
      <c r="BN435" s="463"/>
      <c r="BO435" s="463"/>
      <c r="BP435" s="521"/>
      <c r="BQ435" s="521"/>
      <c r="BR435" s="521"/>
      <c r="BS435" s="521"/>
      <c r="BT435" s="521"/>
      <c r="BU435" s="521"/>
      <c r="BV435" s="522"/>
      <c r="BW435" s="521"/>
      <c r="BX435" s="521"/>
      <c r="BY435" s="522"/>
      <c r="BZ435" s="522"/>
      <c r="CA435" s="522"/>
      <c r="CB435" s="475"/>
      <c r="CC435" s="473"/>
      <c r="CD435" s="473"/>
      <c r="CE435" s="475"/>
      <c r="CF435" s="475"/>
      <c r="CG435" s="475"/>
      <c r="CH435" s="475"/>
      <c r="CI435" s="473"/>
      <c r="CJ435" s="473"/>
      <c r="CK435" s="475"/>
      <c r="CL435" s="475"/>
      <c r="CM435" s="475"/>
      <c r="CN435" s="360"/>
      <c r="CO435" s="346"/>
      <c r="CP435" s="346">
        <f t="shared" si="383"/>
        <v>0</v>
      </c>
      <c r="CX435" s="344" t="s">
        <v>145</v>
      </c>
      <c r="CY435" s="344" t="s">
        <v>132</v>
      </c>
      <c r="CZ435" s="344">
        <f>+DK435</f>
        <v>6.1897500000000008E-2</v>
      </c>
      <c r="DB435" s="360">
        <v>1</v>
      </c>
      <c r="DC435" s="360">
        <v>0.9</v>
      </c>
      <c r="DD435" s="360"/>
      <c r="DE435" s="360"/>
      <c r="DF435" s="360"/>
      <c r="DG435" s="360">
        <v>0.5</v>
      </c>
      <c r="DH435" s="360">
        <v>5.0000000000000001E-3</v>
      </c>
      <c r="DI435" s="360">
        <f>+DB435*DC435*DG435*DH435*21</f>
        <v>4.7250000000000007E-2</v>
      </c>
      <c r="DJ435" s="360"/>
      <c r="DK435" s="344">
        <f>+DI435+DJ446</f>
        <v>6.1897500000000008E-2</v>
      </c>
      <c r="DL435" s="360" t="s">
        <v>561</v>
      </c>
    </row>
    <row r="436" spans="15:116" s="344" customFormat="1" ht="15" hidden="1" customHeight="1" x14ac:dyDescent="0.25">
      <c r="O436" s="543" t="s">
        <v>750</v>
      </c>
      <c r="Q436" s="563"/>
      <c r="R436" s="563"/>
      <c r="S436" s="562"/>
      <c r="T436" s="562"/>
      <c r="U436" s="562"/>
      <c r="V436" s="562"/>
      <c r="W436" s="562"/>
      <c r="X436" s="562"/>
      <c r="Y436" s="562"/>
      <c r="Z436" s="562"/>
      <c r="AA436" s="562"/>
      <c r="AB436" s="562"/>
      <c r="AC436" s="562"/>
      <c r="AD436" s="562"/>
      <c r="AE436" s="562"/>
      <c r="AF436" s="562"/>
      <c r="AG436" s="562"/>
      <c r="AH436" s="563"/>
      <c r="AI436" s="345">
        <v>5.67</v>
      </c>
      <c r="AN436" s="561">
        <v>1.1599999999999999</v>
      </c>
      <c r="AO436" s="561">
        <v>0.25</v>
      </c>
      <c r="AP436" s="567">
        <f>(AN436*365)*(AO436*0.67*0.01*1)</f>
        <v>0.70919500000000002</v>
      </c>
      <c r="AQ436" s="567">
        <f>(AN436*365)*(AO436*0.67*0.001*1)</f>
        <v>7.0919499999999996E-2</v>
      </c>
      <c r="AR436" s="568"/>
      <c r="AS436" s="567">
        <f>(AN436*365)*(AO436*0.67*0.02*1)</f>
        <v>1.41839</v>
      </c>
      <c r="AT436" s="567">
        <f>(AN436*365)*(AO436*0.67*0.01*1)</f>
        <v>0.70919500000000002</v>
      </c>
      <c r="AU436" s="567">
        <f>(AN436*365)*(AO436*0.67*0.25*1)</f>
        <v>17.729875</v>
      </c>
      <c r="AV436" s="567">
        <f>(AN436*365)*(AO436*0.67*0.73*1)</f>
        <v>51.771235000000004</v>
      </c>
      <c r="AW436" s="567">
        <f>(AN436*365)*(AO436*0.67*0.03*1)</f>
        <v>2.1275849999999998</v>
      </c>
      <c r="AX436" s="568"/>
      <c r="AY436" s="567">
        <f>(AN436*365)*(AO436*0.67*0.25*1)</f>
        <v>17.729875</v>
      </c>
      <c r="AZ436" s="567">
        <f t="shared" si="386"/>
        <v>70.919499999999999</v>
      </c>
      <c r="BA436" s="567">
        <f t="shared" si="387"/>
        <v>7.0919499999999998</v>
      </c>
      <c r="BB436" s="567">
        <f t="shared" si="388"/>
        <v>0.35459750000000001</v>
      </c>
      <c r="BC436" s="567">
        <f>(AN436*365)*(AO436*0.67*0.005*1)</f>
        <v>0.35459750000000001</v>
      </c>
      <c r="BD436" s="567">
        <v>0</v>
      </c>
      <c r="BE436" s="567">
        <v>0</v>
      </c>
      <c r="BI436" s="733" t="s">
        <v>141</v>
      </c>
      <c r="BJ436" s="498"/>
      <c r="BK436" s="733" t="s">
        <v>438</v>
      </c>
      <c r="BL436" s="498"/>
      <c r="BM436" s="733" t="s">
        <v>392</v>
      </c>
      <c r="BN436" s="733" t="s">
        <v>392</v>
      </c>
      <c r="BO436" s="733" t="s">
        <v>399</v>
      </c>
      <c r="BP436" s="733" t="s">
        <v>441</v>
      </c>
      <c r="BQ436" s="498"/>
      <c r="BR436" s="733" t="s">
        <v>392</v>
      </c>
      <c r="BS436" s="733" t="s">
        <v>392</v>
      </c>
      <c r="BT436" s="733" t="s">
        <v>399</v>
      </c>
      <c r="BU436" s="345"/>
      <c r="BV436" s="522"/>
      <c r="BW436" s="521"/>
      <c r="BX436" s="521"/>
      <c r="BY436" s="522"/>
      <c r="BZ436" s="522"/>
      <c r="CA436" s="522"/>
      <c r="CB436" s="475"/>
      <c r="CC436" s="473"/>
      <c r="CD436" s="473"/>
      <c r="CE436" s="475"/>
      <c r="CF436" s="475"/>
      <c r="CG436" s="475"/>
      <c r="CH436" s="475"/>
      <c r="CI436" s="473"/>
      <c r="CJ436" s="473"/>
      <c r="CK436" s="475"/>
      <c r="CL436" s="475"/>
      <c r="CM436" s="475"/>
      <c r="CN436" s="360"/>
      <c r="CO436" s="346"/>
      <c r="CP436" s="346" t="str">
        <f t="shared" si="383"/>
        <v>Incertidumbre (+/- %)</v>
      </c>
      <c r="DC436" s="360"/>
      <c r="DD436" s="360"/>
      <c r="DE436" s="360"/>
      <c r="DF436" s="360"/>
    </row>
    <row r="437" spans="15:116" s="344" customFormat="1" ht="15.75" hidden="1" thickBot="1" x14ac:dyDescent="0.3">
      <c r="O437" s="543" t="s">
        <v>751</v>
      </c>
      <c r="Q437" s="563"/>
      <c r="R437" s="563"/>
      <c r="S437" s="562"/>
      <c r="T437" s="562"/>
      <c r="U437" s="562"/>
      <c r="V437" s="562"/>
      <c r="W437" s="562"/>
      <c r="X437" s="562"/>
      <c r="Y437" s="562"/>
      <c r="Z437" s="562"/>
      <c r="AA437" s="562"/>
      <c r="AB437" s="562"/>
      <c r="AC437" s="562"/>
      <c r="AD437" s="562"/>
      <c r="AE437" s="562"/>
      <c r="AF437" s="562"/>
      <c r="AG437" s="562"/>
      <c r="AH437" s="563"/>
      <c r="AN437" s="561">
        <v>1.1599999999999999</v>
      </c>
      <c r="AO437" s="561">
        <v>0.25</v>
      </c>
      <c r="AP437" s="567">
        <f>(AN437*365)*(AO437*0.67*0.015*1)</f>
        <v>1.0637924999999999</v>
      </c>
      <c r="AQ437" s="567">
        <f>(AN437*365)*(AO437*0.67*0.005*1)</f>
        <v>0.35459750000000001</v>
      </c>
      <c r="AR437" s="568"/>
      <c r="AS437" s="567">
        <f>(AN437*365)*(AO437*0.67*0.04*1)</f>
        <v>2.8367800000000001</v>
      </c>
      <c r="AT437" s="567">
        <f>(AN437*365)*(AO437*0.67*0.015*1)</f>
        <v>1.0637924999999999</v>
      </c>
      <c r="AU437" s="567">
        <f>(AN437*365)*(AO437*0.67*0.65*1)</f>
        <v>46.097675000000002</v>
      </c>
      <c r="AV437" s="567">
        <f>(AN437*365)*(AO437*0.67*0.79*1)</f>
        <v>56.026405000000011</v>
      </c>
      <c r="AW437" s="567">
        <f>(AN437*365)*(AO437*0.67*0.03*1)</f>
        <v>2.1275849999999998</v>
      </c>
      <c r="AX437" s="568"/>
      <c r="AY437" s="567">
        <f>(AN437*365)*(AO437*0.67*0.65*1)</f>
        <v>46.097675000000002</v>
      </c>
      <c r="AZ437" s="567">
        <f t="shared" si="386"/>
        <v>70.919499999999999</v>
      </c>
      <c r="BA437" s="567">
        <f t="shared" si="387"/>
        <v>7.0919499999999998</v>
      </c>
      <c r="BB437" s="567">
        <f t="shared" si="388"/>
        <v>0.35459750000000001</v>
      </c>
      <c r="BC437" s="567">
        <f>(AN437*365)*(AO437*0.67*0.01*1)</f>
        <v>0.70919500000000002</v>
      </c>
      <c r="BD437" s="567">
        <v>0</v>
      </c>
      <c r="BE437" s="567">
        <v>0</v>
      </c>
      <c r="BI437" s="734"/>
      <c r="BJ437" s="499" t="s">
        <v>412</v>
      </c>
      <c r="BK437" s="734"/>
      <c r="BL437" s="499" t="s">
        <v>410</v>
      </c>
      <c r="BM437" s="734"/>
      <c r="BN437" s="734"/>
      <c r="BO437" s="734"/>
      <c r="BP437" s="734"/>
      <c r="BQ437" s="499" t="s">
        <v>410</v>
      </c>
      <c r="BR437" s="734"/>
      <c r="BS437" s="734"/>
      <c r="BT437" s="734"/>
      <c r="BU437" s="345"/>
      <c r="BV437" s="522"/>
      <c r="BW437" s="521"/>
      <c r="BX437" s="521"/>
      <c r="BY437" s="522"/>
      <c r="BZ437" s="522"/>
      <c r="CA437" s="522"/>
      <c r="CB437" s="475"/>
      <c r="CC437" s="473"/>
      <c r="CD437" s="473"/>
      <c r="CE437" s="475"/>
      <c r="CF437" s="475"/>
      <c r="CG437" s="475"/>
      <c r="CH437" s="475"/>
      <c r="CI437" s="473"/>
      <c r="CJ437" s="473"/>
      <c r="CK437" s="475"/>
      <c r="CL437" s="475"/>
      <c r="CM437" s="475"/>
      <c r="CN437" s="360"/>
      <c r="CO437" s="346"/>
      <c r="CP437" s="346">
        <f t="shared" si="383"/>
        <v>0</v>
      </c>
      <c r="DC437" s="360"/>
      <c r="DD437" s="360"/>
      <c r="DE437" s="360"/>
      <c r="DF437" s="360"/>
      <c r="DI437" s="360">
        <f>+DB435*DC435*DG435*DH435*25</f>
        <v>5.6250000000000008E-2</v>
      </c>
      <c r="DK437" s="344">
        <f>+DI437+DJ448</f>
        <v>7.0330500000000004E-2</v>
      </c>
    </row>
    <row r="438" spans="15:116" s="344" customFormat="1" ht="18.75" hidden="1" thickBot="1" x14ac:dyDescent="0.3">
      <c r="O438" s="543" t="s">
        <v>752</v>
      </c>
      <c r="Q438" s="563"/>
      <c r="R438" s="563"/>
      <c r="S438" s="562"/>
      <c r="T438" s="562"/>
      <c r="U438" s="562"/>
      <c r="V438" s="562"/>
      <c r="W438" s="562"/>
      <c r="X438" s="562"/>
      <c r="Y438" s="562"/>
      <c r="Z438" s="562"/>
      <c r="AA438" s="562"/>
      <c r="AB438" s="562"/>
      <c r="AC438" s="562"/>
      <c r="AD438" s="562"/>
      <c r="AE438" s="562"/>
      <c r="AF438" s="562"/>
      <c r="AG438" s="562"/>
      <c r="AH438" s="563"/>
      <c r="AN438" s="561">
        <v>1.1599999999999999</v>
      </c>
      <c r="AO438" s="561">
        <v>0.25</v>
      </c>
      <c r="AP438" s="567">
        <f>(AN438*365)*(AO438*0.67*0.02*1)</f>
        <v>1.41839</v>
      </c>
      <c r="AQ438" s="567">
        <f>(AN438*365)*(AO438*0.67*0.01*1)</f>
        <v>0.70919500000000002</v>
      </c>
      <c r="AR438" s="568"/>
      <c r="AS438" s="567">
        <f>(AN438*365)*(AO438*0.67*0.05*1)</f>
        <v>3.5459749999999999</v>
      </c>
      <c r="AT438" s="567">
        <f>(AN438*365)*(AO438*0.67*0.02*1)</f>
        <v>1.41839</v>
      </c>
      <c r="AU438" s="567">
        <f>(AN438*365)*(AO438*0.67*0.8*1)</f>
        <v>56.735599999999998</v>
      </c>
      <c r="AV438" s="567">
        <f>(AN438*365)*(AO438*0.67*0.8*1)</f>
        <v>56.735599999999998</v>
      </c>
      <c r="AW438" s="567">
        <f>(AN438*365)*(AO438*0.67*0.3*1)</f>
        <v>21.275849999999998</v>
      </c>
      <c r="AX438" s="568"/>
      <c r="AY438" s="567">
        <f>(AN438*365)*(AO438*0.67*0.8*1)</f>
        <v>56.735599999999998</v>
      </c>
      <c r="AZ438" s="567">
        <f t="shared" si="386"/>
        <v>70.919499999999999</v>
      </c>
      <c r="BA438" s="567">
        <f t="shared" si="387"/>
        <v>7.0919499999999998</v>
      </c>
      <c r="BB438" s="567">
        <f t="shared" si="388"/>
        <v>0.35459750000000001</v>
      </c>
      <c r="BC438" s="567">
        <f>(AN438*365)*(AO438*0.67*0.015*1)</f>
        <v>1.0637924999999999</v>
      </c>
      <c r="BD438" s="567">
        <v>0</v>
      </c>
      <c r="BE438" s="567">
        <v>0</v>
      </c>
      <c r="BI438" s="518" t="s">
        <v>669</v>
      </c>
      <c r="BJ438" s="505" t="s">
        <v>670</v>
      </c>
      <c r="BK438" s="511">
        <f>10/1000</f>
        <v>0.01</v>
      </c>
      <c r="BL438" s="505" t="s">
        <v>614</v>
      </c>
      <c r="BM438" s="504">
        <f>0.08/10</f>
        <v>8.0000000000000002E-3</v>
      </c>
      <c r="BN438" s="504">
        <f>20/10</f>
        <v>2</v>
      </c>
      <c r="BO438" s="503" t="s">
        <v>417</v>
      </c>
      <c r="BP438" s="511">
        <f>0.6/1000</f>
        <v>5.9999999999999995E-4</v>
      </c>
      <c r="BQ438" s="505" t="s">
        <v>615</v>
      </c>
      <c r="BR438" s="504">
        <f>0.2/0.6</f>
        <v>0.33333333333333337</v>
      </c>
      <c r="BS438" s="504">
        <f>1.2/0.6</f>
        <v>2</v>
      </c>
      <c r="BT438" s="503" t="s">
        <v>417</v>
      </c>
      <c r="BU438" s="345"/>
      <c r="BV438" s="522"/>
      <c r="BW438" s="521"/>
      <c r="BX438" s="521"/>
      <c r="BY438" s="522"/>
      <c r="BZ438" s="522"/>
      <c r="CA438" s="522"/>
      <c r="CB438" s="475"/>
      <c r="CC438" s="473"/>
      <c r="CD438" s="473"/>
      <c r="CE438" s="475"/>
      <c r="CF438" s="475"/>
      <c r="CG438" s="475"/>
      <c r="CH438" s="475"/>
      <c r="CI438" s="473"/>
      <c r="CJ438" s="473"/>
      <c r="CK438" s="475"/>
      <c r="CL438" s="475"/>
      <c r="CM438" s="475"/>
      <c r="CN438" s="360"/>
      <c r="CO438" s="346">
        <v>0.9</v>
      </c>
      <c r="CP438" s="346">
        <f t="shared" si="383"/>
        <v>2</v>
      </c>
      <c r="DC438" s="360"/>
      <c r="DD438" s="360"/>
      <c r="DE438" s="360"/>
      <c r="DF438" s="360"/>
      <c r="DI438" s="360"/>
    </row>
    <row r="439" spans="15:116" s="344" customFormat="1" ht="18.75" hidden="1" thickBot="1" x14ac:dyDescent="0.3">
      <c r="BD439" s="344">
        <v>0</v>
      </c>
      <c r="BI439" s="518" t="s">
        <v>671</v>
      </c>
      <c r="BJ439" s="505" t="s">
        <v>674</v>
      </c>
      <c r="BK439" s="511">
        <f>4/1000</f>
        <v>4.0000000000000001E-3</v>
      </c>
      <c r="BL439" s="505" t="s">
        <v>614</v>
      </c>
      <c r="BM439" s="504">
        <f>0.03/4</f>
        <v>7.4999999999999997E-3</v>
      </c>
      <c r="BN439" s="504">
        <f>8/4</f>
        <v>2</v>
      </c>
      <c r="BO439" s="503" t="s">
        <v>417</v>
      </c>
      <c r="BP439" s="511">
        <f>0.3/1000</f>
        <v>2.9999999999999997E-4</v>
      </c>
      <c r="BQ439" s="505" t="s">
        <v>615</v>
      </c>
      <c r="BR439" s="504">
        <f>0.06/0.3</f>
        <v>0.2</v>
      </c>
      <c r="BS439" s="504">
        <f>0.6/0.3</f>
        <v>2</v>
      </c>
      <c r="BT439" s="503" t="s">
        <v>417</v>
      </c>
      <c r="BU439" s="345"/>
      <c r="BV439" s="522"/>
      <c r="BW439" s="521"/>
      <c r="BX439" s="521"/>
      <c r="BY439" s="522"/>
      <c r="BZ439" s="522"/>
      <c r="CA439" s="522"/>
      <c r="CB439" s="475"/>
      <c r="CC439" s="473"/>
      <c r="CD439" s="473"/>
      <c r="CE439" s="475"/>
      <c r="CF439" s="475"/>
      <c r="CG439" s="475"/>
      <c r="CH439" s="475"/>
      <c r="CI439" s="473"/>
      <c r="CJ439" s="473"/>
      <c r="CK439" s="475"/>
      <c r="CL439" s="475"/>
      <c r="CM439" s="475"/>
      <c r="CN439" s="360"/>
      <c r="CO439" s="346">
        <v>0.9</v>
      </c>
      <c r="CP439" s="346">
        <f t="shared" si="383"/>
        <v>2</v>
      </c>
      <c r="DC439" s="360"/>
      <c r="DD439" s="360"/>
      <c r="DE439" s="360"/>
      <c r="DF439" s="360"/>
      <c r="DI439" s="360"/>
    </row>
    <row r="440" spans="15:116" s="344" customFormat="1" ht="18.75" hidden="1" thickBot="1" x14ac:dyDescent="0.3">
      <c r="BI440" s="518" t="s">
        <v>672</v>
      </c>
      <c r="BJ440" s="505" t="s">
        <v>670</v>
      </c>
      <c r="BK440" s="511">
        <f>2/1000</f>
        <v>2E-3</v>
      </c>
      <c r="BL440" s="505" t="s">
        <v>614</v>
      </c>
      <c r="BM440" s="504">
        <f>0/2</f>
        <v>0</v>
      </c>
      <c r="BN440" s="504">
        <f>20/2</f>
        <v>10</v>
      </c>
      <c r="BO440" s="503" t="s">
        <v>417</v>
      </c>
      <c r="BP440" s="511">
        <v>0</v>
      </c>
      <c r="BQ440" s="505" t="s">
        <v>615</v>
      </c>
      <c r="BR440" s="504">
        <v>0</v>
      </c>
      <c r="BS440" s="504">
        <v>0</v>
      </c>
      <c r="BT440" s="503" t="s">
        <v>417</v>
      </c>
      <c r="BU440" s="345"/>
      <c r="BV440" s="522"/>
      <c r="BW440" s="521"/>
      <c r="BX440" s="521"/>
      <c r="BY440" s="522"/>
      <c r="BZ440" s="522"/>
      <c r="CA440" s="522"/>
      <c r="CB440" s="475"/>
      <c r="CC440" s="473"/>
      <c r="CD440" s="473"/>
      <c r="CE440" s="475"/>
      <c r="CF440" s="475"/>
      <c r="CG440" s="475"/>
      <c r="CH440" s="475"/>
      <c r="CI440" s="473"/>
      <c r="CJ440" s="473"/>
      <c r="CK440" s="475"/>
      <c r="CL440" s="475"/>
      <c r="CM440" s="475"/>
      <c r="CN440" s="360"/>
      <c r="CO440" s="346">
        <v>0.9</v>
      </c>
      <c r="CP440" s="346">
        <f t="shared" si="383"/>
        <v>10</v>
      </c>
      <c r="DC440" s="360"/>
      <c r="DD440" s="360"/>
      <c r="DE440" s="360"/>
      <c r="DF440" s="360"/>
      <c r="DI440" s="360"/>
    </row>
    <row r="441" spans="15:116" s="344" customFormat="1" ht="18.75" hidden="1" thickBot="1" x14ac:dyDescent="0.3">
      <c r="BB441" s="343" t="s">
        <v>708</v>
      </c>
      <c r="BC441" s="343" t="s">
        <v>709</v>
      </c>
      <c r="BD441" s="343" t="s">
        <v>711</v>
      </c>
      <c r="BE441" s="343"/>
      <c r="BF441" s="343" t="s">
        <v>710</v>
      </c>
      <c r="BI441" s="518" t="s">
        <v>673</v>
      </c>
      <c r="BJ441" s="505" t="s">
        <v>674</v>
      </c>
      <c r="BK441" s="511">
        <f>1/1000</f>
        <v>1E-3</v>
      </c>
      <c r="BL441" s="505" t="s">
        <v>614</v>
      </c>
      <c r="BM441" s="504">
        <f>0/2</f>
        <v>0</v>
      </c>
      <c r="BN441" s="504">
        <f>8/1</f>
        <v>8</v>
      </c>
      <c r="BO441" s="503" t="s">
        <v>417</v>
      </c>
      <c r="BP441" s="511">
        <v>0</v>
      </c>
      <c r="BQ441" s="505" t="s">
        <v>615</v>
      </c>
      <c r="BR441" s="504">
        <v>0</v>
      </c>
      <c r="BS441" s="504">
        <v>0</v>
      </c>
      <c r="BT441" s="503" t="s">
        <v>417</v>
      </c>
      <c r="BU441" s="345"/>
      <c r="BV441" s="522"/>
      <c r="BW441" s="521"/>
      <c r="BX441" s="521"/>
      <c r="BY441" s="522"/>
      <c r="BZ441" s="522"/>
      <c r="CA441" s="522"/>
      <c r="CB441" s="475"/>
      <c r="CC441" s="473"/>
      <c r="CD441" s="473"/>
      <c r="CE441" s="475"/>
      <c r="CF441" s="475"/>
      <c r="CG441" s="475"/>
      <c r="CH441" s="475"/>
      <c r="CI441" s="473"/>
      <c r="CJ441" s="473"/>
      <c r="CK441" s="475"/>
      <c r="CL441" s="475"/>
      <c r="CM441" s="475"/>
      <c r="CN441" s="360"/>
      <c r="CO441" s="346">
        <v>0.9</v>
      </c>
      <c r="CP441" s="346">
        <f t="shared" si="383"/>
        <v>8</v>
      </c>
      <c r="DC441" s="360"/>
      <c r="DD441" s="360"/>
      <c r="DE441" s="360"/>
      <c r="DF441" s="360"/>
      <c r="DI441" s="360"/>
    </row>
    <row r="442" spans="15:116" s="344" customFormat="1" ht="26.25" hidden="1" thickBot="1" x14ac:dyDescent="0.3">
      <c r="BB442" s="343">
        <v>50.4</v>
      </c>
      <c r="BC442" s="343">
        <v>22</v>
      </c>
      <c r="BD442" s="343">
        <f>BC442/((BB442*1000*1000)/(1000*1000))</f>
        <v>0.43650793650793651</v>
      </c>
      <c r="BE442" s="343"/>
      <c r="BF442" s="343">
        <v>0.63500999999999996</v>
      </c>
      <c r="BI442" s="518" t="s">
        <v>706</v>
      </c>
      <c r="BJ442" s="505" t="s">
        <v>704</v>
      </c>
      <c r="BK442" s="511">
        <f>BD442*BF442</f>
        <v>0.27718690476190477</v>
      </c>
      <c r="BL442" s="505" t="s">
        <v>705</v>
      </c>
      <c r="BM442" s="504">
        <f>0%/5%</f>
        <v>0</v>
      </c>
      <c r="BN442" s="504">
        <f>10%/5%</f>
        <v>2</v>
      </c>
      <c r="BO442" s="503" t="s">
        <v>417</v>
      </c>
      <c r="BP442" s="511">
        <v>0</v>
      </c>
      <c r="BQ442" s="505" t="s">
        <v>707</v>
      </c>
      <c r="BR442" s="504">
        <v>0</v>
      </c>
      <c r="BS442" s="504">
        <v>0</v>
      </c>
      <c r="BT442" s="503" t="s">
        <v>417</v>
      </c>
      <c r="BU442" s="345"/>
      <c r="BV442" s="522"/>
      <c r="BW442" s="521"/>
      <c r="BX442" s="521"/>
      <c r="BY442" s="522"/>
      <c r="BZ442" s="522"/>
      <c r="CA442" s="522"/>
      <c r="CB442" s="475"/>
      <c r="CC442" s="473"/>
      <c r="CD442" s="473"/>
      <c r="CE442" s="475"/>
      <c r="CF442" s="475"/>
      <c r="CG442" s="475"/>
      <c r="CH442" s="475"/>
      <c r="CI442" s="473"/>
      <c r="CJ442" s="473"/>
      <c r="CK442" s="475"/>
      <c r="CL442" s="475"/>
      <c r="CM442" s="475"/>
      <c r="CN442" s="360"/>
      <c r="CO442" s="346"/>
      <c r="CP442" s="346">
        <f t="shared" si="383"/>
        <v>2</v>
      </c>
      <c r="DC442" s="360"/>
      <c r="DD442" s="360"/>
      <c r="DE442" s="360"/>
      <c r="DF442" s="360"/>
      <c r="DI442" s="360"/>
    </row>
    <row r="443" spans="15:116" s="344" customFormat="1" ht="18.75" hidden="1" thickBot="1" x14ac:dyDescent="0.3">
      <c r="BI443" s="586" t="s">
        <v>489</v>
      </c>
      <c r="BJ443" s="505" t="s">
        <v>132</v>
      </c>
      <c r="BK443" s="511">
        <f>2.7/1000</f>
        <v>2.7000000000000001E-3</v>
      </c>
      <c r="BL443" s="505" t="s">
        <v>614</v>
      </c>
      <c r="BM443" s="504">
        <f>0.9/2.7</f>
        <v>0.33333333333333331</v>
      </c>
      <c r="BN443" s="504">
        <f>0.9/2.7</f>
        <v>0.33333333333333331</v>
      </c>
      <c r="BO443" s="503" t="s">
        <v>417</v>
      </c>
      <c r="BP443" s="511">
        <f>0.07/1000</f>
        <v>7.0000000000000007E-5</v>
      </c>
      <c r="BQ443" s="505" t="s">
        <v>615</v>
      </c>
      <c r="BR443" s="504">
        <f>0.1/0.07</f>
        <v>1.4285714285714286</v>
      </c>
      <c r="BS443" s="504">
        <f>0.1/0.07</f>
        <v>1.4285714285714286</v>
      </c>
      <c r="BT443" s="503" t="s">
        <v>417</v>
      </c>
      <c r="BU443" s="345"/>
      <c r="BV443" s="511">
        <v>1515</v>
      </c>
      <c r="BW443" s="505" t="s">
        <v>660</v>
      </c>
      <c r="BX443" s="504">
        <f>177/1515</f>
        <v>0.11683168316831684</v>
      </c>
      <c r="BY443" s="504">
        <f>177/1515</f>
        <v>0.11683168316831684</v>
      </c>
      <c r="BZ443" s="503" t="s">
        <v>417</v>
      </c>
      <c r="CA443" s="522"/>
      <c r="CB443" s="475"/>
      <c r="CC443" s="473"/>
      <c r="CD443" s="473"/>
      <c r="CE443" s="475"/>
      <c r="CF443" s="475"/>
      <c r="CG443" s="475"/>
      <c r="CH443" s="475"/>
      <c r="CI443" s="473"/>
      <c r="CJ443" s="473"/>
      <c r="CK443" s="475"/>
      <c r="CL443" s="475"/>
      <c r="CM443" s="475"/>
      <c r="CN443" s="360"/>
      <c r="CO443" s="346"/>
      <c r="CP443" s="346">
        <f t="shared" si="383"/>
        <v>0.33333333333333331</v>
      </c>
      <c r="DC443" s="360"/>
      <c r="DD443" s="360"/>
      <c r="DE443" s="360"/>
      <c r="DF443" s="360"/>
      <c r="DI443" s="360"/>
    </row>
    <row r="444" spans="15:116" s="344" customFormat="1" ht="18.75" hidden="1" thickBot="1" x14ac:dyDescent="0.3">
      <c r="BI444" s="586" t="s">
        <v>659</v>
      </c>
      <c r="BJ444" s="505" t="s">
        <v>132</v>
      </c>
      <c r="BK444" s="511">
        <f>2.3/1000</f>
        <v>2.3E-3</v>
      </c>
      <c r="BL444" s="505" t="s">
        <v>614</v>
      </c>
      <c r="BM444" s="504">
        <f>0.9/2.3</f>
        <v>0.39130434782608697</v>
      </c>
      <c r="BN444" s="504">
        <f>0.9/2.3</f>
        <v>0.39130434782608697</v>
      </c>
      <c r="BO444" s="503" t="s">
        <v>417</v>
      </c>
      <c r="BP444" s="511">
        <f>0.21/1000</f>
        <v>2.0999999999999998E-4</v>
      </c>
      <c r="BQ444" s="505" t="s">
        <v>615</v>
      </c>
      <c r="BR444" s="504">
        <f>0.1/0.21</f>
        <v>0.47619047619047622</v>
      </c>
      <c r="BS444" s="504">
        <f>0.1/0.21</f>
        <v>0.47619047619047622</v>
      </c>
      <c r="BT444" s="503" t="s">
        <v>417</v>
      </c>
      <c r="BU444" s="345"/>
      <c r="BV444" s="511">
        <v>1613</v>
      </c>
      <c r="BW444" s="505" t="s">
        <v>660</v>
      </c>
      <c r="BX444" s="504">
        <f>95/1613</f>
        <v>5.8896466212027279E-2</v>
      </c>
      <c r="BY444" s="504">
        <f>95/1613</f>
        <v>5.8896466212027279E-2</v>
      </c>
      <c r="BZ444" s="503" t="s">
        <v>417</v>
      </c>
      <c r="CA444" s="522"/>
      <c r="CB444" s="475"/>
      <c r="CC444" s="473"/>
      <c r="CD444" s="473"/>
      <c r="CE444" s="475"/>
      <c r="CF444" s="475"/>
      <c r="CG444" s="475"/>
      <c r="CH444" s="475"/>
      <c r="CI444" s="473"/>
      <c r="CJ444" s="473"/>
      <c r="CK444" s="475"/>
      <c r="CL444" s="475"/>
      <c r="CM444" s="475"/>
      <c r="CN444" s="360"/>
      <c r="CO444" s="346"/>
      <c r="CP444" s="346">
        <f t="shared" si="383"/>
        <v>0.39130434782608697</v>
      </c>
      <c r="DC444" s="360"/>
      <c r="DD444" s="360"/>
      <c r="DE444" s="360"/>
      <c r="DF444" s="360"/>
      <c r="DI444" s="360"/>
    </row>
    <row r="445" spans="15:116" s="344" customFormat="1" hidden="1" x14ac:dyDescent="0.25">
      <c r="BI445" s="345"/>
      <c r="BJ445" s="473"/>
      <c r="BK445" s="473"/>
      <c r="BL445" s="473"/>
      <c r="BM445" s="463"/>
      <c r="BN445" s="463"/>
      <c r="BO445" s="463"/>
      <c r="BP445" s="521"/>
      <c r="BQ445" s="473"/>
      <c r="BR445" s="521"/>
      <c r="BS445" s="521"/>
      <c r="BT445" s="521"/>
      <c r="BU445" s="521"/>
      <c r="BV445" s="522"/>
      <c r="BW445" s="521"/>
      <c r="BX445" s="521"/>
      <c r="BY445" s="522"/>
      <c r="BZ445" s="522"/>
      <c r="CA445" s="522"/>
      <c r="CB445" s="475"/>
      <c r="CC445" s="473"/>
      <c r="CD445" s="473"/>
      <c r="CE445" s="475"/>
      <c r="CF445" s="475"/>
      <c r="CG445" s="475"/>
      <c r="CH445" s="475"/>
      <c r="CI445" s="473"/>
      <c r="CJ445" s="473"/>
      <c r="CK445" s="475"/>
      <c r="CL445" s="475"/>
      <c r="CM445" s="475"/>
      <c r="CN445" s="360"/>
      <c r="CO445" s="346"/>
      <c r="CP445" s="346">
        <f t="shared" si="383"/>
        <v>0</v>
      </c>
      <c r="DC445" s="360"/>
      <c r="DD445" s="360"/>
      <c r="DE445" s="360"/>
      <c r="DF445" s="360"/>
      <c r="DH445" s="344" t="s">
        <v>198</v>
      </c>
      <c r="DI445" s="344" t="s">
        <v>199</v>
      </c>
      <c r="DJ445" s="344" t="s">
        <v>196</v>
      </c>
    </row>
    <row r="446" spans="15:116" s="344" customFormat="1" ht="15.75" hidden="1" thickBot="1" x14ac:dyDescent="0.3">
      <c r="BI446" s="345"/>
      <c r="BJ446" s="473"/>
      <c r="BK446" s="473"/>
      <c r="BL446" s="473"/>
      <c r="BM446" s="463"/>
      <c r="BN446" s="463"/>
      <c r="BO446" s="463"/>
      <c r="BP446" s="521"/>
      <c r="BQ446" s="521"/>
      <c r="BR446" s="521"/>
      <c r="BS446" s="521"/>
      <c r="BT446" s="521"/>
      <c r="BU446" s="521"/>
      <c r="BV446" s="522"/>
      <c r="BW446" s="521"/>
      <c r="BX446" s="521"/>
      <c r="BY446" s="522"/>
      <c r="BZ446" s="522"/>
      <c r="CA446" s="522"/>
      <c r="CB446" s="475"/>
      <c r="CC446" s="473"/>
      <c r="CD446" s="473"/>
      <c r="CE446" s="475"/>
      <c r="CF446" s="475"/>
      <c r="CG446" s="475"/>
      <c r="CH446" s="475"/>
      <c r="CI446" s="473"/>
      <c r="CJ446" s="473"/>
      <c r="CK446" s="475"/>
      <c r="CL446" s="475"/>
      <c r="CM446" s="475"/>
      <c r="CN446" s="360"/>
      <c r="CO446" s="346"/>
      <c r="CP446" s="346">
        <f t="shared" si="383"/>
        <v>0</v>
      </c>
      <c r="DC446" s="360"/>
      <c r="DD446" s="360"/>
      <c r="DE446" s="360"/>
      <c r="DF446" s="360"/>
      <c r="DH446" s="344">
        <v>1.4999999999999999E-2</v>
      </c>
      <c r="DI446" s="344">
        <v>7.0000000000000001E-3</v>
      </c>
      <c r="DJ446" s="344">
        <f>+DB435*DC435*DG435*DH446*DI446*310</f>
        <v>1.4647500000000001E-2</v>
      </c>
    </row>
    <row r="447" spans="15:116" s="344" customFormat="1" hidden="1" x14ac:dyDescent="0.25">
      <c r="BI447" s="733" t="s">
        <v>420</v>
      </c>
      <c r="BJ447" s="498"/>
      <c r="BK447" s="733" t="s">
        <v>441</v>
      </c>
      <c r="BL447" s="498"/>
      <c r="BM447" s="733" t="s">
        <v>392</v>
      </c>
      <c r="BN447" s="733" t="s">
        <v>392</v>
      </c>
      <c r="BO447" s="733" t="s">
        <v>399</v>
      </c>
      <c r="BP447" s="521"/>
      <c r="BQ447" s="521"/>
      <c r="BR447" s="521"/>
      <c r="BS447" s="521"/>
      <c r="BT447" s="521"/>
      <c r="BU447" s="521"/>
      <c r="BV447" s="522"/>
      <c r="BW447" s="521"/>
      <c r="BX447" s="521"/>
      <c r="BY447" s="522"/>
      <c r="BZ447" s="522"/>
      <c r="CA447" s="522"/>
      <c r="CB447" s="475"/>
      <c r="CC447" s="473"/>
      <c r="CD447" s="473"/>
      <c r="CE447" s="475"/>
      <c r="CF447" s="475"/>
      <c r="CG447" s="475"/>
      <c r="CH447" s="475"/>
      <c r="CI447" s="473"/>
      <c r="CJ447" s="473"/>
      <c r="CK447" s="475"/>
      <c r="CL447" s="475"/>
      <c r="CM447" s="475"/>
      <c r="CN447" s="360"/>
      <c r="CO447" s="346"/>
      <c r="CP447" s="346" t="str">
        <f t="shared" si="383"/>
        <v>Incertidumbre (+/- %)</v>
      </c>
      <c r="DC447" s="360"/>
      <c r="DD447" s="360"/>
      <c r="DE447" s="360"/>
      <c r="DF447" s="360"/>
    </row>
    <row r="448" spans="15:116" s="344" customFormat="1" ht="15.75" hidden="1" thickBot="1" x14ac:dyDescent="0.3">
      <c r="BI448" s="734"/>
      <c r="BJ448" s="499" t="s">
        <v>412</v>
      </c>
      <c r="BK448" s="734"/>
      <c r="BL448" s="499" t="s">
        <v>410</v>
      </c>
      <c r="BM448" s="734"/>
      <c r="BN448" s="734"/>
      <c r="BO448" s="734"/>
      <c r="BP448" s="521"/>
      <c r="BQ448" s="521"/>
      <c r="BR448" s="521"/>
      <c r="BS448" s="521"/>
      <c r="BT448" s="521"/>
      <c r="BU448" s="521"/>
      <c r="BV448" s="522"/>
      <c r="BW448" s="521"/>
      <c r="BX448" s="521"/>
      <c r="BY448" s="522"/>
      <c r="BZ448" s="522"/>
      <c r="CA448" s="522"/>
      <c r="CB448" s="475"/>
      <c r="CC448" s="473"/>
      <c r="CD448" s="473"/>
      <c r="CE448" s="475"/>
      <c r="CF448" s="475"/>
      <c r="CG448" s="475"/>
      <c r="CH448" s="475"/>
      <c r="CI448" s="473"/>
      <c r="CJ448" s="473"/>
      <c r="CK448" s="475"/>
      <c r="CL448" s="475"/>
      <c r="CM448" s="475"/>
      <c r="CN448" s="360"/>
      <c r="CO448" s="346"/>
      <c r="CP448" s="346">
        <f t="shared" si="383"/>
        <v>0</v>
      </c>
      <c r="DC448" s="360"/>
      <c r="DD448" s="360"/>
      <c r="DE448" s="360"/>
      <c r="DF448" s="360"/>
      <c r="DJ448" s="344">
        <f>+DB435*DC435*DG435*DH446*DI446*298</f>
        <v>1.4080500000000001E-2</v>
      </c>
    </row>
    <row r="449" spans="61:116" s="344" customFormat="1" ht="18.75" hidden="1" thickBot="1" x14ac:dyDescent="0.3">
      <c r="BI449" s="586" t="s">
        <v>648</v>
      </c>
      <c r="BJ449" s="505" t="s">
        <v>617</v>
      </c>
      <c r="BK449" s="511">
        <v>3.6666999999999998E-2</v>
      </c>
      <c r="BL449" s="505" t="s">
        <v>651</v>
      </c>
      <c r="BM449" s="504">
        <v>0.1</v>
      </c>
      <c r="BN449" s="504">
        <v>3</v>
      </c>
      <c r="BO449" s="503" t="s">
        <v>417</v>
      </c>
      <c r="BP449" s="521"/>
      <c r="BQ449" s="521"/>
      <c r="BR449" s="521"/>
      <c r="BS449" s="521"/>
      <c r="BT449" s="521"/>
      <c r="BU449" s="521"/>
      <c r="BV449" s="522"/>
      <c r="BW449" s="521"/>
      <c r="BX449" s="521"/>
      <c r="BY449" s="522"/>
      <c r="BZ449" s="522"/>
      <c r="CA449" s="522"/>
      <c r="CB449" s="475"/>
      <c r="CC449" s="473"/>
      <c r="CD449" s="473"/>
      <c r="CE449" s="475"/>
      <c r="CF449" s="475"/>
      <c r="CG449" s="475"/>
      <c r="CH449" s="475"/>
      <c r="CI449" s="473"/>
      <c r="CJ449" s="473"/>
      <c r="CK449" s="475"/>
      <c r="CL449" s="475"/>
      <c r="CM449" s="475"/>
      <c r="CN449" s="360"/>
      <c r="CO449" s="346"/>
      <c r="CP449" s="346">
        <f t="shared" si="383"/>
        <v>3</v>
      </c>
      <c r="DC449" s="360"/>
      <c r="DD449" s="360"/>
      <c r="DE449" s="360"/>
      <c r="DF449" s="360"/>
    </row>
    <row r="450" spans="61:116" s="344" customFormat="1" ht="18.75" hidden="1" thickBot="1" x14ac:dyDescent="0.3">
      <c r="BI450" s="586" t="s">
        <v>649</v>
      </c>
      <c r="BJ450" s="505" t="s">
        <v>617</v>
      </c>
      <c r="BK450" s="511">
        <v>7.3332999999999995E-2</v>
      </c>
      <c r="BL450" s="505" t="s">
        <v>651</v>
      </c>
      <c r="BM450" s="504">
        <v>0.35</v>
      </c>
      <c r="BN450" s="504">
        <v>3</v>
      </c>
      <c r="BO450" s="503" t="s">
        <v>417</v>
      </c>
      <c r="BP450" s="521"/>
      <c r="BQ450" s="521"/>
      <c r="BR450" s="521"/>
      <c r="BS450" s="521"/>
      <c r="BT450" s="521"/>
      <c r="BU450" s="521"/>
      <c r="BV450" s="522"/>
      <c r="BW450" s="521"/>
      <c r="BX450" s="521"/>
      <c r="BY450" s="522"/>
      <c r="BZ450" s="522"/>
      <c r="CA450" s="522"/>
      <c r="CB450" s="475"/>
      <c r="CC450" s="473"/>
      <c r="CD450" s="473"/>
      <c r="CE450" s="475"/>
      <c r="CF450" s="475"/>
      <c r="CG450" s="475"/>
      <c r="CH450" s="475"/>
      <c r="CI450" s="473"/>
      <c r="CJ450" s="473"/>
      <c r="CK450" s="475"/>
      <c r="CL450" s="475"/>
      <c r="CM450" s="475"/>
      <c r="CN450" s="360"/>
      <c r="CO450" s="346"/>
      <c r="CP450" s="346">
        <f t="shared" si="383"/>
        <v>3</v>
      </c>
      <c r="DC450" s="360"/>
      <c r="DD450" s="360"/>
      <c r="DE450" s="360"/>
      <c r="DF450" s="360"/>
    </row>
    <row r="451" spans="61:116" s="344" customFormat="1" ht="18.75" hidden="1" thickBot="1" x14ac:dyDescent="0.3">
      <c r="BI451" s="586" t="s">
        <v>650</v>
      </c>
      <c r="BJ451" s="505" t="s">
        <v>617</v>
      </c>
      <c r="BK451" s="511">
        <v>3.6666999999999998E-2</v>
      </c>
      <c r="BL451" s="505" t="s">
        <v>651</v>
      </c>
      <c r="BM451" s="504">
        <v>0.33329999999999999</v>
      </c>
      <c r="BN451" s="504">
        <v>3</v>
      </c>
      <c r="BO451" s="503" t="s">
        <v>417</v>
      </c>
      <c r="BP451" s="521"/>
      <c r="BQ451" s="521"/>
      <c r="BR451" s="521"/>
      <c r="BS451" s="521"/>
      <c r="BT451" s="521"/>
      <c r="BU451" s="521"/>
      <c r="BV451" s="522"/>
      <c r="BW451" s="521"/>
      <c r="BX451" s="521"/>
      <c r="BY451" s="522"/>
      <c r="BZ451" s="522"/>
      <c r="CA451" s="522"/>
      <c r="CB451" s="475"/>
      <c r="CC451" s="473"/>
      <c r="CD451" s="473"/>
      <c r="CE451" s="475"/>
      <c r="CF451" s="475"/>
      <c r="CG451" s="475"/>
      <c r="CH451" s="475"/>
      <c r="CI451" s="473"/>
      <c r="CJ451" s="473"/>
      <c r="CK451" s="475"/>
      <c r="CL451" s="475"/>
      <c r="CM451" s="475"/>
      <c r="CN451" s="360"/>
      <c r="CO451" s="346"/>
      <c r="CP451" s="346">
        <f t="shared" si="383"/>
        <v>3</v>
      </c>
      <c r="DC451" s="360"/>
      <c r="DD451" s="360"/>
      <c r="DE451" s="360"/>
      <c r="DF451" s="360"/>
    </row>
    <row r="452" spans="61:116" s="344" customFormat="1" ht="18.75" hidden="1" thickBot="1" x14ac:dyDescent="0.3">
      <c r="BI452" s="586" t="s">
        <v>647</v>
      </c>
      <c r="BJ452" s="505" t="s">
        <v>617</v>
      </c>
      <c r="BK452" s="511">
        <v>1.0999999999999999E-2</v>
      </c>
      <c r="BL452" s="505" t="s">
        <v>651</v>
      </c>
      <c r="BM452" s="504">
        <v>0.01</v>
      </c>
      <c r="BN452" s="504">
        <v>2</v>
      </c>
      <c r="BO452" s="503" t="s">
        <v>417</v>
      </c>
      <c r="BP452" s="521"/>
      <c r="BQ452" s="511">
        <v>3.3525000000000005</v>
      </c>
      <c r="BR452" s="505" t="s">
        <v>618</v>
      </c>
      <c r="BS452" s="521"/>
      <c r="BT452" s="521"/>
      <c r="BU452" s="521"/>
      <c r="BV452" s="522"/>
      <c r="BW452" s="521"/>
      <c r="BX452" s="521"/>
      <c r="BY452" s="522"/>
      <c r="BZ452" s="522"/>
      <c r="CA452" s="522"/>
      <c r="CB452" s="475"/>
      <c r="CC452" s="473"/>
      <c r="CD452" s="473"/>
      <c r="CE452" s="475"/>
      <c r="CF452" s="475"/>
      <c r="CG452" s="475"/>
      <c r="CH452" s="475"/>
      <c r="CI452" s="473"/>
      <c r="CJ452" s="473"/>
      <c r="CK452" s="475"/>
      <c r="CL452" s="475"/>
      <c r="CM452" s="475"/>
      <c r="CN452" s="360"/>
      <c r="CO452" s="346"/>
      <c r="CP452" s="346">
        <f t="shared" si="383"/>
        <v>2</v>
      </c>
      <c r="DC452" s="360"/>
      <c r="DD452" s="360"/>
      <c r="DE452" s="360"/>
      <c r="DF452" s="360"/>
    </row>
    <row r="453" spans="61:116" s="344" customFormat="1" ht="18.75" hidden="1" thickBot="1" x14ac:dyDescent="0.3">
      <c r="BI453" s="586" t="s">
        <v>654</v>
      </c>
      <c r="BJ453" s="505" t="s">
        <v>653</v>
      </c>
      <c r="BK453" s="511">
        <f>0.12*(44/12)</f>
        <v>0.43999999999999995</v>
      </c>
      <c r="BL453" s="505" t="s">
        <v>652</v>
      </c>
      <c r="BM453" s="504">
        <v>0.01</v>
      </c>
      <c r="BN453" s="504">
        <v>0.5</v>
      </c>
      <c r="BO453" s="503" t="s">
        <v>417</v>
      </c>
      <c r="BP453" s="521"/>
      <c r="BQ453" s="521"/>
      <c r="BR453" s="521"/>
      <c r="BS453" s="521"/>
      <c r="BT453" s="521"/>
      <c r="BU453" s="521"/>
      <c r="BV453" s="522"/>
      <c r="BW453" s="521"/>
      <c r="BX453" s="521"/>
      <c r="BY453" s="522"/>
      <c r="BZ453" s="522"/>
      <c r="CA453" s="522"/>
      <c r="CB453" s="475"/>
      <c r="CC453" s="473"/>
      <c r="CD453" s="473"/>
      <c r="CE453" s="475"/>
      <c r="CF453" s="475"/>
      <c r="CG453" s="475"/>
      <c r="CH453" s="475"/>
      <c r="CI453" s="473"/>
      <c r="CJ453" s="473"/>
      <c r="CK453" s="475"/>
      <c r="CL453" s="475"/>
      <c r="CM453" s="475"/>
      <c r="CN453" s="360"/>
      <c r="CO453" s="346"/>
      <c r="CP453" s="346">
        <f t="shared" si="383"/>
        <v>0.5</v>
      </c>
      <c r="DC453" s="360"/>
      <c r="DD453" s="360"/>
      <c r="DE453" s="360"/>
      <c r="DF453" s="360"/>
    </row>
    <row r="454" spans="61:116" s="344" customFormat="1" ht="18.75" hidden="1" thickBot="1" x14ac:dyDescent="0.3">
      <c r="BI454" s="586" t="s">
        <v>655</v>
      </c>
      <c r="BJ454" s="505" t="s">
        <v>653</v>
      </c>
      <c r="BK454" s="511">
        <f>0.13*(44/12)</f>
        <v>0.47666666666666668</v>
      </c>
      <c r="BL454" s="505" t="s">
        <v>652</v>
      </c>
      <c r="BM454" s="504">
        <v>0.01</v>
      </c>
      <c r="BN454" s="504">
        <v>0.5</v>
      </c>
      <c r="BO454" s="503" t="s">
        <v>417</v>
      </c>
      <c r="BP454" s="521"/>
      <c r="BQ454" s="521"/>
      <c r="BR454" s="521"/>
      <c r="BS454" s="521"/>
      <c r="BT454" s="521"/>
      <c r="BU454" s="521"/>
      <c r="BV454" s="522"/>
      <c r="BW454" s="521"/>
      <c r="BX454" s="521"/>
      <c r="BY454" s="522"/>
      <c r="BZ454" s="522"/>
      <c r="CA454" s="522"/>
      <c r="CB454" s="475"/>
      <c r="CC454" s="473"/>
      <c r="CD454" s="473"/>
      <c r="CE454" s="475"/>
      <c r="CF454" s="475"/>
      <c r="CG454" s="475"/>
      <c r="CH454" s="475"/>
      <c r="CI454" s="473"/>
      <c r="CJ454" s="473"/>
      <c r="CK454" s="475"/>
      <c r="CL454" s="475"/>
      <c r="CM454" s="475"/>
      <c r="CN454" s="360"/>
      <c r="CO454" s="346"/>
      <c r="CP454" s="346">
        <f t="shared" si="383"/>
        <v>0.5</v>
      </c>
      <c r="DC454" s="360"/>
      <c r="DD454" s="360"/>
      <c r="DE454" s="360"/>
      <c r="DF454" s="360"/>
    </row>
    <row r="455" spans="61:116" s="344" customFormat="1" ht="18.75" hidden="1" thickBot="1" x14ac:dyDescent="0.3">
      <c r="BI455" s="586" t="s">
        <v>692</v>
      </c>
      <c r="BJ455" s="505" t="s">
        <v>657</v>
      </c>
      <c r="BK455" s="511">
        <f>0.2*(44/12)</f>
        <v>0.73333333333333339</v>
      </c>
      <c r="BL455" s="505" t="s">
        <v>658</v>
      </c>
      <c r="BM455" s="504">
        <v>0.01</v>
      </c>
      <c r="BN455" s="504">
        <v>0.5</v>
      </c>
      <c r="BO455" s="503" t="s">
        <v>417</v>
      </c>
      <c r="BP455" s="521"/>
      <c r="BQ455" s="511"/>
      <c r="BR455" s="505"/>
      <c r="BS455" s="521"/>
      <c r="BT455" s="521"/>
      <c r="BU455" s="521"/>
      <c r="BV455" s="522"/>
      <c r="BW455" s="521"/>
      <c r="BX455" s="521"/>
      <c r="BY455" s="522"/>
      <c r="BZ455" s="522"/>
      <c r="CA455" s="522"/>
      <c r="CB455" s="475"/>
      <c r="CC455" s="473"/>
      <c r="CD455" s="473"/>
      <c r="CE455" s="475"/>
      <c r="CF455" s="475"/>
      <c r="CG455" s="475"/>
      <c r="CH455" s="475"/>
      <c r="CI455" s="473"/>
      <c r="CJ455" s="473"/>
      <c r="CK455" s="475"/>
      <c r="CL455" s="475"/>
      <c r="CM455" s="475"/>
      <c r="CN455" s="360"/>
      <c r="CO455" s="346">
        <v>0.5</v>
      </c>
      <c r="CP455" s="346">
        <f t="shared" si="383"/>
        <v>0.5</v>
      </c>
      <c r="DC455" s="360"/>
      <c r="DD455" s="360"/>
      <c r="DE455" s="360"/>
      <c r="DF455" s="360"/>
    </row>
    <row r="456" spans="61:116" s="344" customFormat="1" hidden="1" x14ac:dyDescent="0.25">
      <c r="BI456" s="345"/>
      <c r="BJ456" s="473"/>
      <c r="BK456" s="473"/>
      <c r="BL456" s="473"/>
      <c r="BM456" s="463"/>
      <c r="BN456" s="463"/>
      <c r="BO456" s="463"/>
      <c r="BP456" s="521"/>
      <c r="BQ456" s="521"/>
      <c r="BR456" s="521"/>
      <c r="BS456" s="521"/>
      <c r="BT456" s="521"/>
      <c r="BU456" s="521"/>
      <c r="BV456" s="522"/>
      <c r="BW456" s="521"/>
      <c r="BX456" s="521"/>
      <c r="BY456" s="522"/>
      <c r="BZ456" s="522"/>
      <c r="CA456" s="522"/>
      <c r="CB456" s="475"/>
      <c r="CC456" s="473"/>
      <c r="CD456" s="473"/>
      <c r="CE456" s="475"/>
      <c r="CF456" s="475"/>
      <c r="CG456" s="475"/>
      <c r="CH456" s="475"/>
      <c r="CI456" s="473"/>
      <c r="CJ456" s="473"/>
      <c r="CK456" s="475"/>
      <c r="CL456" s="475"/>
      <c r="CM456" s="475"/>
      <c r="CN456" s="360"/>
      <c r="CO456" s="346"/>
      <c r="CP456" s="346">
        <f t="shared" si="383"/>
        <v>0</v>
      </c>
      <c r="CY456" s="344" t="s">
        <v>200</v>
      </c>
      <c r="CZ456" s="344" t="s">
        <v>201</v>
      </c>
      <c r="DB456" s="344" t="s">
        <v>192</v>
      </c>
      <c r="DC456" s="360" t="s">
        <v>202</v>
      </c>
      <c r="DD456" s="360"/>
      <c r="DE456" s="360"/>
      <c r="DF456" s="360"/>
      <c r="DH456" s="344" t="s">
        <v>203</v>
      </c>
      <c r="DI456" s="368" t="s">
        <v>204</v>
      </c>
      <c r="DJ456" s="359" t="s">
        <v>196</v>
      </c>
    </row>
    <row r="457" spans="61:116" s="344" customFormat="1" hidden="1" x14ac:dyDescent="0.25">
      <c r="BI457" s="345"/>
      <c r="BJ457" s="473"/>
      <c r="BK457" s="473"/>
      <c r="BL457" s="473"/>
      <c r="BM457" s="463"/>
      <c r="BN457" s="463"/>
      <c r="BO457" s="463"/>
      <c r="BP457" s="521"/>
      <c r="BQ457" s="521"/>
      <c r="BR457" s="521"/>
      <c r="BS457" s="521"/>
      <c r="BT457" s="521"/>
      <c r="BU457" s="521"/>
      <c r="BV457" s="522"/>
      <c r="BW457" s="521"/>
      <c r="BX457" s="521"/>
      <c r="BY457" s="522"/>
      <c r="BZ457" s="522"/>
      <c r="CA457" s="522"/>
      <c r="CB457" s="475"/>
      <c r="CC457" s="473"/>
      <c r="CD457" s="473"/>
      <c r="CE457" s="475"/>
      <c r="CF457" s="475"/>
      <c r="CG457" s="475"/>
      <c r="CH457" s="475"/>
      <c r="CI457" s="473"/>
      <c r="CJ457" s="473"/>
      <c r="CK457" s="475"/>
      <c r="CL457" s="475"/>
      <c r="CM457" s="475"/>
      <c r="CN457" s="360"/>
      <c r="CO457" s="346"/>
      <c r="CP457" s="346">
        <f t="shared" ref="CP457:CP520" si="401">BN457</f>
        <v>0</v>
      </c>
      <c r="CX457" s="344" t="s">
        <v>81</v>
      </c>
      <c r="CZ457" s="344">
        <f>+DJ457</f>
        <v>3.4875000000000003</v>
      </c>
      <c r="DB457" s="344">
        <v>1</v>
      </c>
      <c r="DC457" s="360">
        <v>0.9</v>
      </c>
      <c r="DD457" s="360"/>
      <c r="DE457" s="360"/>
      <c r="DF457" s="360"/>
      <c r="DH457" s="344">
        <v>1.2500000000000001E-2</v>
      </c>
      <c r="DI457" s="344">
        <v>310</v>
      </c>
      <c r="DJ457" s="344">
        <f>+DC457*DH457*DI457</f>
        <v>3.4875000000000003</v>
      </c>
    </row>
    <row r="458" spans="61:116" s="344" customFormat="1" hidden="1" x14ac:dyDescent="0.25">
      <c r="BI458" s="345"/>
      <c r="BJ458" s="473"/>
      <c r="BK458" s="473"/>
      <c r="BL458" s="473"/>
      <c r="BM458" s="463"/>
      <c r="BN458" s="463"/>
      <c r="BO458" s="463"/>
      <c r="BP458" s="521"/>
      <c r="BQ458" s="521"/>
      <c r="BR458" s="521"/>
      <c r="BS458" s="521"/>
      <c r="BT458" s="521"/>
      <c r="BU458" s="521"/>
      <c r="BV458" s="522"/>
      <c r="BW458" s="521"/>
      <c r="BX458" s="521"/>
      <c r="BY458" s="522"/>
      <c r="BZ458" s="522"/>
      <c r="CA458" s="522"/>
      <c r="CB458" s="475"/>
      <c r="CC458" s="473"/>
      <c r="CD458" s="473"/>
      <c r="CE458" s="475"/>
      <c r="CF458" s="475"/>
      <c r="CG458" s="475"/>
      <c r="CH458" s="475"/>
      <c r="CI458" s="473"/>
      <c r="CJ458" s="473"/>
      <c r="CK458" s="475"/>
      <c r="CL458" s="475"/>
      <c r="CM458" s="475"/>
      <c r="CN458" s="360"/>
      <c r="CO458" s="346"/>
      <c r="CP458" s="346">
        <f t="shared" si="401"/>
        <v>0</v>
      </c>
      <c r="DC458" s="360"/>
      <c r="DD458" s="360"/>
      <c r="DE458" s="360"/>
      <c r="DF458" s="360"/>
      <c r="DI458" s="344">
        <v>298</v>
      </c>
      <c r="DJ458" s="344">
        <f>+DC457*DH457*DI458</f>
        <v>3.3525000000000005</v>
      </c>
    </row>
    <row r="459" spans="61:116" s="344" customFormat="1" ht="15.75" hidden="1" thickBot="1" x14ac:dyDescent="0.3">
      <c r="BI459" s="345"/>
      <c r="BJ459" s="473"/>
      <c r="BK459" s="473"/>
      <c r="BL459" s="473"/>
      <c r="BM459" s="463"/>
      <c r="BN459" s="463"/>
      <c r="BO459" s="463"/>
      <c r="BP459" s="521"/>
      <c r="BQ459" s="521"/>
      <c r="BR459" s="521"/>
      <c r="BS459" s="521"/>
      <c r="BT459" s="521"/>
      <c r="BU459" s="521"/>
      <c r="BV459" s="522"/>
      <c r="BW459" s="521"/>
      <c r="BX459" s="521"/>
      <c r="BY459" s="522"/>
      <c r="BZ459" s="522"/>
      <c r="CA459" s="522"/>
      <c r="CB459" s="475"/>
      <c r="CC459" s="473"/>
      <c r="CD459" s="473"/>
      <c r="CE459" s="475"/>
      <c r="CF459" s="475"/>
      <c r="CG459" s="475"/>
      <c r="CH459" s="475"/>
      <c r="CI459" s="473"/>
      <c r="CJ459" s="473"/>
      <c r="CK459" s="475"/>
      <c r="CL459" s="475"/>
      <c r="CM459" s="475"/>
      <c r="CN459" s="360"/>
      <c r="CO459" s="346"/>
      <c r="CP459" s="346">
        <f t="shared" si="401"/>
        <v>0</v>
      </c>
      <c r="DC459" s="360"/>
      <c r="DD459" s="360"/>
      <c r="DE459" s="360"/>
      <c r="DF459" s="360"/>
    </row>
    <row r="460" spans="61:116" s="344" customFormat="1" hidden="1" x14ac:dyDescent="0.25">
      <c r="BI460" s="733" t="s">
        <v>458</v>
      </c>
      <c r="BJ460" s="498"/>
      <c r="BK460" s="733" t="s">
        <v>441</v>
      </c>
      <c r="BL460" s="498"/>
      <c r="BM460" s="733" t="s">
        <v>392</v>
      </c>
      <c r="BN460" s="733" t="s">
        <v>392</v>
      </c>
      <c r="BO460" s="733" t="s">
        <v>399</v>
      </c>
      <c r="BP460" s="521"/>
      <c r="BQ460" s="521"/>
      <c r="BR460" s="521"/>
      <c r="BS460" s="521"/>
      <c r="BT460" s="521"/>
      <c r="BU460" s="521"/>
      <c r="BV460" s="522"/>
      <c r="BW460" s="521"/>
      <c r="BX460" s="521"/>
      <c r="BY460" s="522"/>
      <c r="BZ460" s="522"/>
      <c r="CA460" s="522"/>
      <c r="CB460" s="475"/>
      <c r="CC460" s="473"/>
      <c r="CD460" s="473"/>
      <c r="CE460" s="475"/>
      <c r="CF460" s="475"/>
      <c r="CG460" s="475"/>
      <c r="CH460" s="475"/>
      <c r="CI460" s="473"/>
      <c r="CJ460" s="473"/>
      <c r="CK460" s="475"/>
      <c r="CL460" s="475"/>
      <c r="CM460" s="475"/>
      <c r="CN460" s="360"/>
      <c r="CO460" s="346"/>
      <c r="CP460" s="346" t="str">
        <f t="shared" si="401"/>
        <v>Incertidumbre (+/- %)</v>
      </c>
      <c r="DC460" s="360"/>
      <c r="DD460" s="360"/>
      <c r="DE460" s="360"/>
      <c r="DF460" s="360"/>
    </row>
    <row r="461" spans="61:116" s="344" customFormat="1" ht="15.75" hidden="1" thickBot="1" x14ac:dyDescent="0.3">
      <c r="BI461" s="734"/>
      <c r="BJ461" s="499" t="s">
        <v>412</v>
      </c>
      <c r="BK461" s="734"/>
      <c r="BL461" s="499" t="s">
        <v>410</v>
      </c>
      <c r="BM461" s="734"/>
      <c r="BN461" s="734"/>
      <c r="BO461" s="734"/>
      <c r="BP461" s="521"/>
      <c r="BQ461" s="521"/>
      <c r="BR461" s="521"/>
      <c r="BS461" s="521"/>
      <c r="BT461" s="521"/>
      <c r="BU461" s="521"/>
      <c r="BV461" s="522"/>
      <c r="BW461" s="521"/>
      <c r="BX461" s="521"/>
      <c r="BY461" s="522"/>
      <c r="BZ461" s="522"/>
      <c r="CA461" s="522"/>
      <c r="CB461" s="475"/>
      <c r="CC461" s="473"/>
      <c r="CD461" s="473"/>
      <c r="CE461" s="475"/>
      <c r="CF461" s="475"/>
      <c r="CG461" s="475"/>
      <c r="CH461" s="475"/>
      <c r="CI461" s="473"/>
      <c r="CJ461" s="473"/>
      <c r="CK461" s="475"/>
      <c r="CL461" s="475"/>
      <c r="CM461" s="475"/>
      <c r="CN461" s="360"/>
      <c r="CO461" s="346"/>
      <c r="CP461" s="346">
        <f t="shared" si="401"/>
        <v>0</v>
      </c>
      <c r="DC461" s="360"/>
      <c r="DD461" s="360"/>
      <c r="DE461" s="360"/>
      <c r="DF461" s="360"/>
    </row>
    <row r="462" spans="61:116" s="344" customFormat="1" ht="18.75" hidden="1" thickBot="1" x14ac:dyDescent="0.35">
      <c r="BI462" s="588" t="s">
        <v>977</v>
      </c>
      <c r="BJ462" s="505" t="s">
        <v>165</v>
      </c>
      <c r="BK462" s="511">
        <v>0.21</v>
      </c>
      <c r="BL462" s="505" t="s">
        <v>619</v>
      </c>
      <c r="BM462" s="504">
        <v>0.05</v>
      </c>
      <c r="BN462" s="504">
        <v>0.1</v>
      </c>
      <c r="BO462" s="503" t="s">
        <v>421</v>
      </c>
      <c r="BP462" s="521"/>
      <c r="BQ462" s="521"/>
      <c r="BR462" s="652"/>
      <c r="BS462" s="521"/>
      <c r="BT462" s="521"/>
      <c r="BU462" s="521"/>
      <c r="BV462" s="522"/>
      <c r="BW462" s="521"/>
      <c r="BX462" s="521"/>
      <c r="BY462" s="522"/>
      <c r="BZ462" s="522"/>
      <c r="CA462" s="522"/>
      <c r="CB462" s="475"/>
      <c r="CC462" s="473"/>
      <c r="CD462" s="473"/>
      <c r="CE462" s="475"/>
      <c r="CF462" s="475"/>
      <c r="CG462" s="475"/>
      <c r="CH462" s="475"/>
      <c r="CI462" s="473"/>
      <c r="CJ462" s="473"/>
      <c r="CK462" s="475"/>
      <c r="CL462" s="475"/>
      <c r="CM462" s="475"/>
      <c r="CN462" s="360"/>
      <c r="CO462" s="346">
        <v>0.05</v>
      </c>
      <c r="CP462" s="346">
        <f t="shared" si="401"/>
        <v>0.1</v>
      </c>
      <c r="CW462" s="367"/>
      <c r="CX462" s="366"/>
      <c r="CY462" s="366"/>
      <c r="CZ462" s="367"/>
      <c r="DA462" s="367"/>
      <c r="DB462" s="367"/>
      <c r="DC462" s="366"/>
      <c r="DD462" s="366"/>
      <c r="DE462" s="366"/>
      <c r="DF462" s="366"/>
      <c r="DG462" s="366"/>
      <c r="DH462" s="367"/>
      <c r="DI462" s="132"/>
      <c r="DJ462" s="419"/>
      <c r="DK462" s="419"/>
      <c r="DL462" s="360"/>
    </row>
    <row r="463" spans="61:116" s="344" customFormat="1" ht="18.75" hidden="1" thickBot="1" x14ac:dyDescent="0.3">
      <c r="BI463" s="588" t="s">
        <v>642</v>
      </c>
      <c r="BJ463" s="505" t="s">
        <v>165</v>
      </c>
      <c r="BK463" s="511">
        <v>0.19900000000000001</v>
      </c>
      <c r="BL463" s="505" t="s">
        <v>619</v>
      </c>
      <c r="BM463" s="504">
        <v>0.05</v>
      </c>
      <c r="BN463" s="504">
        <v>0.1</v>
      </c>
      <c r="BO463" s="503" t="s">
        <v>421</v>
      </c>
      <c r="BP463" s="521"/>
      <c r="BQ463" s="521"/>
      <c r="BR463" s="521"/>
      <c r="BS463" s="521"/>
      <c r="BT463" s="521"/>
      <c r="BU463" s="521"/>
      <c r="BV463" s="522"/>
      <c r="BW463" s="521"/>
      <c r="BX463" s="521"/>
      <c r="BY463" s="522"/>
      <c r="BZ463" s="522"/>
      <c r="CA463" s="522"/>
      <c r="CB463" s="475"/>
      <c r="CC463" s="473"/>
      <c r="CD463" s="473"/>
      <c r="CE463" s="475"/>
      <c r="CF463" s="475"/>
      <c r="CG463" s="475"/>
      <c r="CH463" s="475"/>
      <c r="CI463" s="473"/>
      <c r="CJ463" s="473"/>
      <c r="CK463" s="475"/>
      <c r="CL463" s="475"/>
      <c r="CM463" s="475"/>
      <c r="CN463" s="360"/>
      <c r="CO463" s="346">
        <v>0.05</v>
      </c>
      <c r="CP463" s="346">
        <f t="shared" si="401"/>
        <v>0.1</v>
      </c>
      <c r="CW463" s="367"/>
      <c r="CX463" s="366"/>
      <c r="CY463" s="366"/>
      <c r="CZ463" s="367"/>
      <c r="DA463" s="367"/>
      <c r="DB463" s="367"/>
      <c r="DC463" s="366"/>
      <c r="DD463" s="366"/>
      <c r="DE463" s="366"/>
      <c r="DF463" s="366"/>
      <c r="DG463" s="366"/>
      <c r="DH463" s="367"/>
      <c r="DI463" s="132"/>
      <c r="DJ463" s="419"/>
      <c r="DK463" s="419"/>
      <c r="DL463" s="360"/>
    </row>
    <row r="464" spans="61:116" s="344" customFormat="1" ht="18.75" hidden="1" thickBot="1" x14ac:dyDescent="0.3">
      <c r="BI464" s="518" t="s">
        <v>346</v>
      </c>
      <c r="BJ464" s="505" t="s">
        <v>165</v>
      </c>
      <c r="BK464" s="511">
        <v>0.19</v>
      </c>
      <c r="BL464" s="505" t="s">
        <v>619</v>
      </c>
      <c r="BM464" s="504">
        <v>0.05</v>
      </c>
      <c r="BN464" s="504">
        <v>0.1</v>
      </c>
      <c r="BO464" s="503" t="s">
        <v>421</v>
      </c>
      <c r="BP464" s="521"/>
      <c r="BQ464" s="521"/>
      <c r="BR464" s="521"/>
      <c r="BS464" s="521"/>
      <c r="BT464" s="521"/>
      <c r="BU464" s="521"/>
      <c r="BV464" s="522"/>
      <c r="BW464" s="521"/>
      <c r="BX464" s="521"/>
      <c r="BY464" s="522"/>
      <c r="BZ464" s="522"/>
      <c r="CA464" s="522"/>
      <c r="CB464" s="475"/>
      <c r="CC464" s="473"/>
      <c r="CD464" s="473"/>
      <c r="CE464" s="475"/>
      <c r="CF464" s="475"/>
      <c r="CG464" s="475"/>
      <c r="CH464" s="475"/>
      <c r="CI464" s="473"/>
      <c r="CJ464" s="473"/>
      <c r="CK464" s="475"/>
      <c r="CL464" s="475"/>
      <c r="CM464" s="475"/>
      <c r="CN464" s="360"/>
      <c r="CO464" s="346"/>
      <c r="CP464" s="346">
        <f t="shared" si="401"/>
        <v>0.1</v>
      </c>
      <c r="CW464" s="367"/>
      <c r="CX464" s="366"/>
      <c r="CY464" s="366"/>
      <c r="CZ464" s="367"/>
      <c r="DA464" s="367"/>
      <c r="DB464" s="367"/>
      <c r="DC464" s="366"/>
      <c r="DD464" s="366"/>
      <c r="DE464" s="366"/>
      <c r="DF464" s="366"/>
      <c r="DG464" s="366"/>
      <c r="DH464" s="367"/>
      <c r="DI464" s="132"/>
      <c r="DJ464" s="419"/>
      <c r="DK464" s="419"/>
      <c r="DL464" s="360"/>
    </row>
    <row r="465" spans="61:116" s="344" customFormat="1" ht="18.75" hidden="1" thickBot="1" x14ac:dyDescent="0.3">
      <c r="BI465" s="518" t="s">
        <v>643</v>
      </c>
      <c r="BJ465" s="505" t="s">
        <v>165</v>
      </c>
      <c r="BK465" s="511">
        <v>0.2</v>
      </c>
      <c r="BL465" s="505" t="s">
        <v>619</v>
      </c>
      <c r="BM465" s="504">
        <v>0.05</v>
      </c>
      <c r="BN465" s="504">
        <v>0.1</v>
      </c>
      <c r="BO465" s="503" t="s">
        <v>421</v>
      </c>
      <c r="BP465" s="521"/>
      <c r="BQ465" s="521"/>
      <c r="BR465" s="521"/>
      <c r="BS465" s="521"/>
      <c r="BT465" s="521"/>
      <c r="BU465" s="521"/>
      <c r="BV465" s="522"/>
      <c r="BW465" s="521"/>
      <c r="BX465" s="521"/>
      <c r="BY465" s="522"/>
      <c r="BZ465" s="522"/>
      <c r="CA465" s="522"/>
      <c r="CB465" s="475"/>
      <c r="CC465" s="473"/>
      <c r="CD465" s="473"/>
      <c r="CE465" s="475"/>
      <c r="CF465" s="475"/>
      <c r="CG465" s="475"/>
      <c r="CH465" s="475"/>
      <c r="CI465" s="473"/>
      <c r="CJ465" s="473"/>
      <c r="CK465" s="475"/>
      <c r="CL465" s="475"/>
      <c r="CM465" s="475"/>
      <c r="CN465" s="360"/>
      <c r="CO465" s="346"/>
      <c r="CP465" s="346">
        <f t="shared" si="401"/>
        <v>0.1</v>
      </c>
      <c r="CW465" s="367"/>
      <c r="CX465" s="366"/>
      <c r="CY465" s="366"/>
      <c r="CZ465" s="367"/>
      <c r="DA465" s="367"/>
      <c r="DB465" s="367"/>
      <c r="DC465" s="366"/>
      <c r="DD465" s="366"/>
      <c r="DE465" s="366"/>
      <c r="DF465" s="366"/>
      <c r="DG465" s="366"/>
      <c r="DH465" s="367"/>
      <c r="DI465" s="132"/>
      <c r="DJ465" s="419"/>
      <c r="DK465" s="419"/>
      <c r="DL465" s="360"/>
    </row>
    <row r="466" spans="61:116" s="344" customFormat="1" ht="18.75" hidden="1" thickBot="1" x14ac:dyDescent="0.3">
      <c r="BI466" s="518" t="s">
        <v>644</v>
      </c>
      <c r="BJ466" s="505" t="s">
        <v>165</v>
      </c>
      <c r="BK466" s="511">
        <v>0.15</v>
      </c>
      <c r="BL466" s="505" t="s">
        <v>619</v>
      </c>
      <c r="BM466" s="504">
        <v>0.05</v>
      </c>
      <c r="BN466" s="504">
        <v>0.1</v>
      </c>
      <c r="BO466" s="503" t="s">
        <v>421</v>
      </c>
      <c r="BP466" s="521"/>
      <c r="BQ466" s="521"/>
      <c r="BR466" s="521"/>
      <c r="BS466" s="521"/>
      <c r="BT466" s="521"/>
      <c r="BU466" s="521"/>
      <c r="BV466" s="522"/>
      <c r="BW466" s="521"/>
      <c r="BX466" s="521"/>
      <c r="BY466" s="522"/>
      <c r="BZ466" s="522"/>
      <c r="CA466" s="522"/>
      <c r="CB466" s="475"/>
      <c r="CC466" s="473"/>
      <c r="CD466" s="473"/>
      <c r="CE466" s="475"/>
      <c r="CF466" s="475"/>
      <c r="CG466" s="475"/>
      <c r="CH466" s="475"/>
      <c r="CI466" s="473"/>
      <c r="CJ466" s="473"/>
      <c r="CK466" s="475"/>
      <c r="CL466" s="475"/>
      <c r="CM466" s="475"/>
      <c r="CN466" s="360"/>
      <c r="CO466" s="346"/>
      <c r="CP466" s="346">
        <f t="shared" si="401"/>
        <v>0.1</v>
      </c>
      <c r="CW466" s="367"/>
      <c r="CX466" s="366"/>
      <c r="CY466" s="366"/>
      <c r="CZ466" s="367"/>
      <c r="DA466" s="367"/>
      <c r="DB466" s="367"/>
      <c r="DC466" s="366"/>
      <c r="DD466" s="366"/>
      <c r="DE466" s="366"/>
      <c r="DF466" s="366"/>
      <c r="DG466" s="366"/>
      <c r="DH466" s="367"/>
      <c r="DI466" s="132"/>
      <c r="DJ466" s="419"/>
      <c r="DK466" s="419"/>
      <c r="DL466" s="360"/>
    </row>
    <row r="467" spans="61:116" s="344" customFormat="1" ht="18.75" hidden="1" thickBot="1" x14ac:dyDescent="0.3">
      <c r="BI467" s="518" t="s">
        <v>645</v>
      </c>
      <c r="BJ467" s="505" t="s">
        <v>165</v>
      </c>
      <c r="BK467" s="511">
        <v>0.22</v>
      </c>
      <c r="BL467" s="505" t="s">
        <v>619</v>
      </c>
      <c r="BM467" s="504">
        <v>0.05</v>
      </c>
      <c r="BN467" s="504">
        <v>0.1</v>
      </c>
      <c r="BO467" s="503" t="s">
        <v>421</v>
      </c>
      <c r="BP467" s="521"/>
      <c r="BQ467" s="521"/>
      <c r="BR467" s="521"/>
      <c r="BS467" s="521"/>
      <c r="BT467" s="521"/>
      <c r="BU467" s="521"/>
      <c r="BV467" s="522"/>
      <c r="BW467" s="521"/>
      <c r="BX467" s="521"/>
      <c r="BY467" s="522"/>
      <c r="BZ467" s="522"/>
      <c r="CA467" s="522"/>
      <c r="CB467" s="475"/>
      <c r="CC467" s="473"/>
      <c r="CD467" s="473"/>
      <c r="CE467" s="475"/>
      <c r="CF467" s="475"/>
      <c r="CG467" s="475"/>
      <c r="CH467" s="475"/>
      <c r="CI467" s="473"/>
      <c r="CJ467" s="473"/>
      <c r="CK467" s="475"/>
      <c r="CL467" s="475"/>
      <c r="CM467" s="475"/>
      <c r="CN467" s="360"/>
      <c r="CO467" s="346"/>
      <c r="CP467" s="346">
        <f t="shared" si="401"/>
        <v>0.1</v>
      </c>
      <c r="CW467" s="367"/>
      <c r="CX467" s="366"/>
      <c r="CY467" s="366"/>
      <c r="CZ467" s="367"/>
      <c r="DA467" s="367"/>
      <c r="DB467" s="367"/>
      <c r="DC467" s="366"/>
      <c r="DD467" s="366"/>
      <c r="DE467" s="366"/>
      <c r="DF467" s="366"/>
      <c r="DG467" s="366"/>
      <c r="DH467" s="367"/>
      <c r="DI467" s="132"/>
      <c r="DJ467" s="419"/>
      <c r="DK467" s="419"/>
      <c r="DL467" s="360"/>
    </row>
    <row r="468" spans="61:116" s="344" customFormat="1" ht="18.75" hidden="1" thickBot="1" x14ac:dyDescent="0.3">
      <c r="BI468" s="518" t="s">
        <v>646</v>
      </c>
      <c r="BJ468" s="505" t="s">
        <v>165</v>
      </c>
      <c r="BK468" s="511">
        <v>0.19</v>
      </c>
      <c r="BL468" s="505" t="s">
        <v>619</v>
      </c>
      <c r="BM468" s="504">
        <v>0.05</v>
      </c>
      <c r="BN468" s="504">
        <v>0.1</v>
      </c>
      <c r="BO468" s="503" t="s">
        <v>421</v>
      </c>
      <c r="BP468" s="521"/>
      <c r="BQ468" s="521"/>
      <c r="BR468" s="521"/>
      <c r="BS468" s="521"/>
      <c r="BT468" s="521"/>
      <c r="BU468" s="521"/>
      <c r="BV468" s="522"/>
      <c r="BW468" s="521"/>
      <c r="BX468" s="521"/>
      <c r="BY468" s="522"/>
      <c r="BZ468" s="522"/>
      <c r="CA468" s="522"/>
      <c r="CB468" s="475"/>
      <c r="CC468" s="473"/>
      <c r="CD468" s="473"/>
      <c r="CE468" s="475"/>
      <c r="CF468" s="475"/>
      <c r="CG468" s="475"/>
      <c r="CH468" s="475"/>
      <c r="CI468" s="473"/>
      <c r="CJ468" s="473"/>
      <c r="CK468" s="475"/>
      <c r="CL468" s="475"/>
      <c r="CM468" s="475"/>
      <c r="CN468" s="360"/>
      <c r="CO468" s="346"/>
      <c r="CP468" s="346">
        <f t="shared" si="401"/>
        <v>0.1</v>
      </c>
      <c r="CW468" s="367"/>
      <c r="CX468" s="366"/>
      <c r="CY468" s="366"/>
      <c r="CZ468" s="367"/>
      <c r="DA468" s="367"/>
      <c r="DB468" s="367"/>
      <c r="DC468" s="366"/>
      <c r="DD468" s="366"/>
      <c r="DE468" s="366"/>
      <c r="DF468" s="366"/>
      <c r="DG468" s="366"/>
      <c r="DH468" s="367"/>
      <c r="DI468" s="132"/>
      <c r="DJ468" s="419"/>
      <c r="DK468" s="419"/>
      <c r="DL468" s="360"/>
    </row>
    <row r="469" spans="61:116" s="344" customFormat="1" ht="18.75" hidden="1" thickBot="1" x14ac:dyDescent="0.3">
      <c r="BI469" s="518" t="s">
        <v>345</v>
      </c>
      <c r="BJ469" s="505" t="s">
        <v>165</v>
      </c>
      <c r="BK469" s="511">
        <v>0.153</v>
      </c>
      <c r="BL469" s="505" t="s">
        <v>619</v>
      </c>
      <c r="BM469" s="504">
        <v>0.05</v>
      </c>
      <c r="BN469" s="504">
        <v>0.1</v>
      </c>
      <c r="BO469" s="503" t="s">
        <v>422</v>
      </c>
      <c r="BP469" s="521"/>
      <c r="BQ469" s="521"/>
      <c r="BR469" s="521"/>
      <c r="BS469" s="521"/>
      <c r="BT469" s="521"/>
      <c r="BU469" s="521"/>
      <c r="BV469" s="522"/>
      <c r="BW469" s="521"/>
      <c r="BX469" s="521"/>
      <c r="BY469" s="522"/>
      <c r="BZ469" s="522"/>
      <c r="CA469" s="522"/>
      <c r="CB469" s="475"/>
      <c r="CC469" s="473"/>
      <c r="CD469" s="473"/>
      <c r="CE469" s="475"/>
      <c r="CF469" s="475"/>
      <c r="CG469" s="475"/>
      <c r="CH469" s="475"/>
      <c r="CI469" s="473"/>
      <c r="CJ469" s="473"/>
      <c r="CK469" s="475"/>
      <c r="CL469" s="475"/>
      <c r="CM469" s="475"/>
      <c r="CN469" s="360"/>
      <c r="CO469" s="346"/>
      <c r="CP469" s="346">
        <f t="shared" si="401"/>
        <v>0.1</v>
      </c>
      <c r="CW469" s="367"/>
      <c r="CX469" s="366"/>
      <c r="CY469" s="366"/>
      <c r="CZ469" s="367"/>
      <c r="DA469" s="367"/>
      <c r="DB469" s="367"/>
      <c r="DC469" s="366"/>
      <c r="DD469" s="366"/>
      <c r="DE469" s="366"/>
      <c r="DF469" s="366"/>
      <c r="DG469" s="366"/>
      <c r="DH469" s="367"/>
      <c r="DI469" s="132"/>
      <c r="DJ469" s="419"/>
      <c r="DK469" s="419"/>
      <c r="DL469" s="360"/>
    </row>
    <row r="470" spans="61:116" s="344" customFormat="1" ht="18.75" hidden="1" thickBot="1" x14ac:dyDescent="0.3">
      <c r="BI470" s="518" t="s">
        <v>344</v>
      </c>
      <c r="BJ470" s="505" t="s">
        <v>165</v>
      </c>
      <c r="BK470" s="511">
        <v>0.13600000000000001</v>
      </c>
      <c r="BL470" s="505" t="s">
        <v>619</v>
      </c>
      <c r="BM470" s="504">
        <v>0.05</v>
      </c>
      <c r="BN470" s="504">
        <v>0.1</v>
      </c>
      <c r="BO470" s="503" t="s">
        <v>422</v>
      </c>
      <c r="BP470" s="521"/>
      <c r="BQ470" s="521"/>
      <c r="BR470" s="521"/>
      <c r="BS470" s="521"/>
      <c r="BT470" s="521"/>
      <c r="BU470" s="521"/>
      <c r="BV470" s="522"/>
      <c r="BW470" s="521"/>
      <c r="BX470" s="521"/>
      <c r="BY470" s="522"/>
      <c r="BZ470" s="522"/>
      <c r="CA470" s="522"/>
      <c r="CB470" s="475"/>
      <c r="CC470" s="473"/>
      <c r="CD470" s="473"/>
      <c r="CE470" s="475"/>
      <c r="CF470" s="475"/>
      <c r="CG470" s="475"/>
      <c r="CH470" s="475"/>
      <c r="CI470" s="473"/>
      <c r="CJ470" s="473"/>
      <c r="CK470" s="475"/>
      <c r="CL470" s="475"/>
      <c r="CM470" s="475"/>
      <c r="CN470" s="360"/>
      <c r="CO470" s="346">
        <v>0.05</v>
      </c>
      <c r="CP470" s="346">
        <f t="shared" si="401"/>
        <v>0.1</v>
      </c>
      <c r="CW470" s="367"/>
      <c r="CX470" s="366"/>
      <c r="CY470" s="366"/>
      <c r="CZ470" s="367"/>
      <c r="DA470" s="367"/>
      <c r="DB470" s="367"/>
      <c r="DC470" s="366"/>
      <c r="DD470" s="366"/>
      <c r="DE470" s="366"/>
      <c r="DF470" s="366"/>
      <c r="DG470" s="366"/>
      <c r="DH470" s="367"/>
      <c r="DI470" s="132"/>
      <c r="DJ470" s="419"/>
      <c r="DK470" s="419"/>
      <c r="DL470" s="360"/>
    </row>
    <row r="471" spans="61:116" s="344" customFormat="1" ht="18.75" hidden="1" thickBot="1" x14ac:dyDescent="0.3">
      <c r="BI471" s="518" t="s">
        <v>329</v>
      </c>
      <c r="BJ471" s="505" t="s">
        <v>165</v>
      </c>
      <c r="BK471" s="511">
        <v>0.29039999999999999</v>
      </c>
      <c r="BL471" s="505" t="s">
        <v>619</v>
      </c>
      <c r="BM471" s="504">
        <v>0.05</v>
      </c>
      <c r="BN471" s="504">
        <v>0.1</v>
      </c>
      <c r="BO471" s="503" t="s">
        <v>421</v>
      </c>
      <c r="BP471" s="521"/>
      <c r="BQ471" s="521"/>
      <c r="BR471" s="521"/>
      <c r="BS471" s="521"/>
      <c r="BT471" s="521"/>
      <c r="BU471" s="521"/>
      <c r="BV471" s="522"/>
      <c r="BW471" s="521"/>
      <c r="BX471" s="521"/>
      <c r="BY471" s="522"/>
      <c r="BZ471" s="522"/>
      <c r="CA471" s="522"/>
      <c r="CB471" s="475"/>
      <c r="CC471" s="473"/>
      <c r="CD471" s="473"/>
      <c r="CE471" s="475"/>
      <c r="CF471" s="475"/>
      <c r="CG471" s="475"/>
      <c r="CH471" s="475"/>
      <c r="CI471" s="473"/>
      <c r="CJ471" s="473"/>
      <c r="CK471" s="475"/>
      <c r="CL471" s="475"/>
      <c r="CM471" s="475"/>
      <c r="CN471" s="360"/>
      <c r="CO471" s="346">
        <v>0.05</v>
      </c>
      <c r="CP471" s="346">
        <f t="shared" si="401"/>
        <v>0.1</v>
      </c>
      <c r="CW471" s="367"/>
      <c r="CX471" s="366"/>
      <c r="CY471" s="366"/>
      <c r="CZ471" s="367"/>
      <c r="DA471" s="367"/>
      <c r="DB471" s="367"/>
      <c r="DC471" s="366"/>
      <c r="DD471" s="366"/>
      <c r="DE471" s="366"/>
      <c r="DF471" s="366"/>
      <c r="DG471" s="366"/>
      <c r="DH471" s="367"/>
      <c r="DI471" s="132"/>
      <c r="DJ471" s="419"/>
      <c r="DK471" s="419"/>
      <c r="DL471" s="360"/>
    </row>
    <row r="472" spans="61:116" s="344" customFormat="1" hidden="1" x14ac:dyDescent="0.25">
      <c r="BI472" s="345"/>
      <c r="BJ472" s="473"/>
      <c r="BK472" s="473"/>
      <c r="BL472" s="473"/>
      <c r="BM472" s="463"/>
      <c r="BN472" s="463"/>
      <c r="BO472" s="463"/>
      <c r="BP472" s="521"/>
      <c r="BQ472" s="521"/>
      <c r="BR472" s="521"/>
      <c r="BS472" s="521"/>
      <c r="BT472" s="521"/>
      <c r="BU472" s="521"/>
      <c r="BV472" s="522"/>
      <c r="BW472" s="521"/>
      <c r="BX472" s="521"/>
      <c r="BY472" s="522"/>
      <c r="BZ472" s="522"/>
      <c r="CA472" s="522"/>
      <c r="CB472" s="475"/>
      <c r="CC472" s="473"/>
      <c r="CD472" s="473"/>
      <c r="CE472" s="475"/>
      <c r="CF472" s="475"/>
      <c r="CG472" s="475"/>
      <c r="CH472" s="475"/>
      <c r="CI472" s="473"/>
      <c r="CJ472" s="473"/>
      <c r="CK472" s="475"/>
      <c r="CL472" s="475"/>
      <c r="CM472" s="475"/>
      <c r="CN472" s="360"/>
      <c r="CO472" s="346"/>
      <c r="CP472" s="346">
        <f t="shared" si="401"/>
        <v>0</v>
      </c>
      <c r="CW472" s="367"/>
      <c r="CX472" s="366"/>
      <c r="CY472" s="366"/>
      <c r="CZ472" s="367"/>
      <c r="DA472" s="367"/>
      <c r="DB472" s="367"/>
      <c r="DC472" s="366"/>
      <c r="DD472" s="366"/>
      <c r="DE472" s="366"/>
      <c r="DF472" s="366"/>
      <c r="DG472" s="366"/>
      <c r="DH472" s="367"/>
      <c r="DI472" s="132"/>
      <c r="DJ472" s="419"/>
      <c r="DK472" s="419"/>
      <c r="DL472" s="360"/>
    </row>
    <row r="473" spans="61:116" s="344" customFormat="1" hidden="1" x14ac:dyDescent="0.25">
      <c r="BI473" s="345"/>
      <c r="BJ473" s="473"/>
      <c r="BK473" s="473"/>
      <c r="BL473" s="473"/>
      <c r="BM473" s="463"/>
      <c r="BN473" s="463"/>
      <c r="BO473" s="463"/>
      <c r="BP473" s="521"/>
      <c r="BQ473" s="521"/>
      <c r="BR473" s="521"/>
      <c r="BS473" s="521"/>
      <c r="BT473" s="521"/>
      <c r="BU473" s="521"/>
      <c r="BV473" s="522"/>
      <c r="BW473" s="521"/>
      <c r="BX473" s="521"/>
      <c r="BY473" s="522"/>
      <c r="BZ473" s="522"/>
      <c r="CA473" s="522"/>
      <c r="CB473" s="475"/>
      <c r="CC473" s="473"/>
      <c r="CD473" s="473"/>
      <c r="CE473" s="475"/>
      <c r="CF473" s="475"/>
      <c r="CG473" s="475"/>
      <c r="CH473" s="475"/>
      <c r="CI473" s="473"/>
      <c r="CJ473" s="473"/>
      <c r="CK473" s="475"/>
      <c r="CL473" s="475"/>
      <c r="CM473" s="475"/>
      <c r="CN473" s="360"/>
      <c r="CO473" s="346"/>
      <c r="CP473" s="346">
        <f t="shared" si="401"/>
        <v>0</v>
      </c>
      <c r="CW473" s="367"/>
      <c r="CX473" s="366"/>
      <c r="CY473" s="366"/>
      <c r="CZ473" s="367"/>
      <c r="DA473" s="367"/>
      <c r="DB473" s="367"/>
      <c r="DC473" s="366"/>
      <c r="DD473" s="366"/>
      <c r="DE473" s="366"/>
      <c r="DF473" s="366"/>
      <c r="DG473" s="366"/>
      <c r="DH473" s="367"/>
      <c r="DI473" s="132"/>
      <c r="DJ473" s="419"/>
      <c r="DK473" s="419"/>
      <c r="DL473" s="360"/>
    </row>
    <row r="474" spans="61:116" s="344" customFormat="1" ht="15.75" hidden="1" thickBot="1" x14ac:dyDescent="0.3">
      <c r="BI474" s="345"/>
      <c r="BJ474" s="473"/>
      <c r="BK474" s="473"/>
      <c r="BL474" s="473"/>
      <c r="BM474" s="463"/>
      <c r="BN474" s="463"/>
      <c r="BO474" s="463"/>
      <c r="BP474" s="521"/>
      <c r="BQ474" s="521"/>
      <c r="BR474" s="521"/>
      <c r="BS474" s="521"/>
      <c r="BT474" s="521"/>
      <c r="BU474" s="521"/>
      <c r="BV474" s="522"/>
      <c r="BW474" s="521"/>
      <c r="BX474" s="521"/>
      <c r="BY474" s="522"/>
      <c r="BZ474" s="522"/>
      <c r="CA474" s="522"/>
      <c r="CB474" s="475"/>
      <c r="CC474" s="473"/>
      <c r="CD474" s="473"/>
      <c r="CE474" s="475"/>
      <c r="CF474" s="475"/>
      <c r="CG474" s="475"/>
      <c r="CH474" s="475"/>
      <c r="CI474" s="473"/>
      <c r="CJ474" s="473"/>
      <c r="CK474" s="475"/>
      <c r="CL474" s="475"/>
      <c r="CM474" s="475"/>
      <c r="CN474" s="360"/>
      <c r="CO474" s="346"/>
      <c r="CP474" s="346">
        <f t="shared" si="401"/>
        <v>0</v>
      </c>
      <c r="CW474" s="367"/>
      <c r="CX474" s="366"/>
      <c r="CY474" s="366"/>
      <c r="CZ474" s="367"/>
      <c r="DA474" s="367"/>
      <c r="DB474" s="367"/>
      <c r="DC474" s="366"/>
      <c r="DD474" s="366"/>
      <c r="DE474" s="366"/>
      <c r="DF474" s="366"/>
      <c r="DG474" s="366"/>
      <c r="DH474" s="367"/>
      <c r="DI474" s="132"/>
      <c r="DJ474" s="419"/>
      <c r="DK474" s="419"/>
      <c r="DL474" s="360"/>
    </row>
    <row r="475" spans="61:116" s="344" customFormat="1" hidden="1" x14ac:dyDescent="0.25">
      <c r="BI475" s="733" t="s">
        <v>459</v>
      </c>
      <c r="BJ475" s="498"/>
      <c r="BK475" s="733" t="s">
        <v>461</v>
      </c>
      <c r="BL475" s="498"/>
      <c r="BM475" s="733" t="s">
        <v>392</v>
      </c>
      <c r="BN475" s="733" t="s">
        <v>392</v>
      </c>
      <c r="BO475" s="733" t="s">
        <v>399</v>
      </c>
      <c r="BP475" s="521"/>
      <c r="BQ475" s="521"/>
      <c r="BR475" s="521"/>
      <c r="BS475" s="521"/>
      <c r="BT475" s="521"/>
      <c r="BU475" s="521"/>
      <c r="BV475" s="522"/>
      <c r="BW475" s="521"/>
      <c r="BX475" s="521"/>
      <c r="BY475" s="522"/>
      <c r="BZ475" s="522"/>
      <c r="CA475" s="522"/>
      <c r="CB475" s="475"/>
      <c r="CC475" s="473"/>
      <c r="CD475" s="473"/>
      <c r="CE475" s="475"/>
      <c r="CF475" s="475"/>
      <c r="CG475" s="475"/>
      <c r="CH475" s="475"/>
      <c r="CI475" s="473"/>
      <c r="CJ475" s="473"/>
      <c r="CK475" s="475"/>
      <c r="CL475" s="475"/>
      <c r="CM475" s="475"/>
      <c r="CN475" s="360"/>
      <c r="CO475" s="346"/>
      <c r="CP475" s="346" t="str">
        <f t="shared" si="401"/>
        <v>Incertidumbre (+/- %)</v>
      </c>
      <c r="CW475" s="367"/>
      <c r="CX475" s="366"/>
      <c r="CY475" s="366"/>
      <c r="CZ475" s="367"/>
      <c r="DA475" s="367"/>
      <c r="DB475" s="367"/>
      <c r="DC475" s="366"/>
      <c r="DD475" s="366"/>
      <c r="DE475" s="366"/>
      <c r="DF475" s="366"/>
      <c r="DG475" s="366"/>
      <c r="DH475" s="367"/>
      <c r="DI475" s="132"/>
      <c r="DJ475" s="419"/>
      <c r="DK475" s="419"/>
      <c r="DL475" s="360"/>
    </row>
    <row r="476" spans="61:116" s="344" customFormat="1" ht="15.75" hidden="1" thickBot="1" x14ac:dyDescent="0.3">
      <c r="BI476" s="734"/>
      <c r="BJ476" s="499" t="s">
        <v>412</v>
      </c>
      <c r="BK476" s="734"/>
      <c r="BL476" s="499" t="s">
        <v>410</v>
      </c>
      <c r="BM476" s="734"/>
      <c r="BN476" s="734"/>
      <c r="BO476" s="734"/>
      <c r="BP476" s="521"/>
      <c r="BQ476" s="521"/>
      <c r="BR476" s="521"/>
      <c r="BS476" s="521"/>
      <c r="BT476" s="521"/>
      <c r="BU476" s="521"/>
      <c r="BV476" s="522"/>
      <c r="BW476" s="521"/>
      <c r="BX476" s="521"/>
      <c r="BY476" s="522"/>
      <c r="BZ476" s="522"/>
      <c r="CA476" s="522"/>
      <c r="CB476" s="475"/>
      <c r="CC476" s="473"/>
      <c r="CD476" s="473"/>
      <c r="CE476" s="475"/>
      <c r="CF476" s="475"/>
      <c r="CG476" s="475"/>
      <c r="CH476" s="475"/>
      <c r="CI476" s="473"/>
      <c r="CJ476" s="473"/>
      <c r="CK476" s="475"/>
      <c r="CL476" s="475"/>
      <c r="CM476" s="475"/>
      <c r="CN476" s="360"/>
      <c r="CO476" s="346"/>
      <c r="CP476" s="346">
        <f t="shared" si="401"/>
        <v>0</v>
      </c>
      <c r="CW476" s="367"/>
      <c r="CX476" s="366"/>
      <c r="CY476" s="366"/>
      <c r="CZ476" s="367"/>
      <c r="DA476" s="367"/>
      <c r="DB476" s="367"/>
      <c r="DC476" s="366"/>
      <c r="DD476" s="366"/>
      <c r="DE476" s="366"/>
      <c r="DF476" s="366"/>
      <c r="DG476" s="366"/>
      <c r="DH476" s="367"/>
      <c r="DI476" s="132"/>
      <c r="DJ476" s="419"/>
      <c r="DK476" s="419"/>
      <c r="DL476" s="360"/>
    </row>
    <row r="477" spans="61:116" s="344" customFormat="1" ht="18.75" hidden="1" thickBot="1" x14ac:dyDescent="0.3">
      <c r="BI477" s="518" t="s">
        <v>160</v>
      </c>
      <c r="BJ477" s="505" t="s">
        <v>167</v>
      </c>
      <c r="BK477" s="511">
        <v>68.819999999999993</v>
      </c>
      <c r="BL477" s="505" t="s">
        <v>620</v>
      </c>
      <c r="BM477" s="504">
        <v>0.05</v>
      </c>
      <c r="BN477" s="504">
        <v>0.05</v>
      </c>
      <c r="BO477" s="503" t="s">
        <v>166</v>
      </c>
      <c r="BP477" s="521"/>
      <c r="BQ477" s="521"/>
      <c r="BR477" s="521"/>
      <c r="BS477" s="521"/>
      <c r="BT477" s="521"/>
      <c r="BU477" s="521"/>
      <c r="BV477" s="522"/>
      <c r="BW477" s="521"/>
      <c r="BX477" s="521"/>
      <c r="BY477" s="522"/>
      <c r="BZ477" s="522"/>
      <c r="CA477" s="522"/>
      <c r="CB477" s="475"/>
      <c r="CC477" s="473"/>
      <c r="CD477" s="473"/>
      <c r="CE477" s="475"/>
      <c r="CF477" s="475"/>
      <c r="CG477" s="475"/>
      <c r="CH477" s="475"/>
      <c r="CI477" s="473"/>
      <c r="CJ477" s="473"/>
      <c r="CK477" s="475"/>
      <c r="CL477" s="475"/>
      <c r="CM477" s="475"/>
      <c r="CN477" s="360"/>
      <c r="CO477" s="346">
        <v>0.05</v>
      </c>
      <c r="CP477" s="346">
        <f t="shared" si="401"/>
        <v>0.05</v>
      </c>
      <c r="CW477" s="367"/>
      <c r="CX477" s="366"/>
      <c r="CY477" s="366"/>
      <c r="CZ477" s="367"/>
      <c r="DA477" s="367"/>
      <c r="DB477" s="367"/>
      <c r="DC477" s="366"/>
      <c r="DD477" s="366"/>
      <c r="DE477" s="366"/>
      <c r="DF477" s="366"/>
      <c r="DG477" s="366"/>
      <c r="DH477" s="367"/>
      <c r="DI477" s="132"/>
      <c r="DJ477" s="419"/>
      <c r="DK477" s="419"/>
      <c r="DL477" s="360"/>
    </row>
    <row r="478" spans="61:116" s="344" customFormat="1" ht="18.75" hidden="1" thickBot="1" x14ac:dyDescent="0.3">
      <c r="BI478" s="518" t="s">
        <v>159</v>
      </c>
      <c r="BJ478" s="505" t="s">
        <v>167</v>
      </c>
      <c r="BK478" s="511">
        <v>83.37</v>
      </c>
      <c r="BL478" s="505" t="s">
        <v>620</v>
      </c>
      <c r="BM478" s="504">
        <v>0.05</v>
      </c>
      <c r="BN478" s="504">
        <v>0.05</v>
      </c>
      <c r="BO478" s="503" t="s">
        <v>166</v>
      </c>
      <c r="BP478" s="521"/>
      <c r="BQ478" s="521"/>
      <c r="BR478" s="521"/>
      <c r="BS478" s="521"/>
      <c r="BT478" s="521"/>
      <c r="BU478" s="521"/>
      <c r="BV478" s="522"/>
      <c r="BW478" s="521"/>
      <c r="BX478" s="521"/>
      <c r="BY478" s="522"/>
      <c r="BZ478" s="522"/>
      <c r="CA478" s="522"/>
      <c r="CB478" s="475"/>
      <c r="CC478" s="473"/>
      <c r="CD478" s="473"/>
      <c r="CE478" s="475"/>
      <c r="CF478" s="475"/>
      <c r="CG478" s="475"/>
      <c r="CH478" s="475"/>
      <c r="CI478" s="473"/>
      <c r="CJ478" s="473"/>
      <c r="CK478" s="475"/>
      <c r="CL478" s="475"/>
      <c r="CM478" s="475"/>
      <c r="CN478" s="360"/>
      <c r="CO478" s="346">
        <v>0.05</v>
      </c>
      <c r="CP478" s="346">
        <f t="shared" si="401"/>
        <v>0.05</v>
      </c>
      <c r="CW478" s="367"/>
      <c r="CX478" s="366"/>
      <c r="CY478" s="366"/>
      <c r="CZ478" s="367"/>
      <c r="DA478" s="367"/>
      <c r="DB478" s="367"/>
      <c r="DC478" s="366"/>
      <c r="DD478" s="366"/>
      <c r="DE478" s="366"/>
      <c r="DF478" s="366"/>
      <c r="DG478" s="366"/>
      <c r="DH478" s="367"/>
      <c r="DI478" s="132"/>
      <c r="DJ478" s="419"/>
      <c r="DK478" s="419"/>
      <c r="DL478" s="360"/>
    </row>
    <row r="479" spans="61:116" s="344" customFormat="1" ht="18.75" hidden="1" thickBot="1" x14ac:dyDescent="0.3">
      <c r="BI479" s="518" t="s">
        <v>168</v>
      </c>
      <c r="BJ479" s="505" t="s">
        <v>167</v>
      </c>
      <c r="BK479" s="511">
        <v>159.43</v>
      </c>
      <c r="BL479" s="505" t="s">
        <v>620</v>
      </c>
      <c r="BM479" s="504">
        <v>0.05</v>
      </c>
      <c r="BN479" s="504">
        <v>0.05</v>
      </c>
      <c r="BO479" s="503" t="s">
        <v>166</v>
      </c>
      <c r="BP479" s="521"/>
      <c r="BQ479" s="521"/>
      <c r="BR479" s="521"/>
      <c r="BS479" s="521"/>
      <c r="BT479" s="521"/>
      <c r="BU479" s="521"/>
      <c r="BV479" s="522"/>
      <c r="BW479" s="521"/>
      <c r="BX479" s="521"/>
      <c r="BY479" s="522"/>
      <c r="BZ479" s="522"/>
      <c r="CA479" s="522"/>
      <c r="CB479" s="475"/>
      <c r="CC479" s="473"/>
      <c r="CD479" s="473"/>
      <c r="CE479" s="475"/>
      <c r="CF479" s="475"/>
      <c r="CG479" s="475"/>
      <c r="CH479" s="475"/>
      <c r="CI479" s="473"/>
      <c r="CJ479" s="473"/>
      <c r="CK479" s="475"/>
      <c r="CL479" s="475"/>
      <c r="CM479" s="475"/>
      <c r="CN479" s="360"/>
      <c r="CO479" s="346">
        <v>0.05</v>
      </c>
      <c r="CP479" s="346">
        <f t="shared" si="401"/>
        <v>0.05</v>
      </c>
      <c r="CW479" s="367"/>
      <c r="CX479" s="366"/>
      <c r="CY479" s="366"/>
      <c r="CZ479" s="367"/>
      <c r="DA479" s="367"/>
      <c r="DB479" s="367"/>
      <c r="DC479" s="366"/>
      <c r="DD479" s="366"/>
      <c r="DE479" s="366"/>
      <c r="DF479" s="366"/>
      <c r="DG479" s="366"/>
      <c r="DH479" s="367"/>
      <c r="DI479" s="132"/>
      <c r="DJ479" s="419"/>
      <c r="DK479" s="419"/>
      <c r="DL479" s="360"/>
    </row>
    <row r="480" spans="61:116" s="344" customFormat="1" ht="18.75" hidden="1" thickBot="1" x14ac:dyDescent="0.3">
      <c r="BI480" s="518" t="s">
        <v>156</v>
      </c>
      <c r="BJ480" s="505" t="s">
        <v>167</v>
      </c>
      <c r="BK480" s="511">
        <v>102.71</v>
      </c>
      <c r="BL480" s="505" t="s">
        <v>620</v>
      </c>
      <c r="BM480" s="504">
        <v>0.05</v>
      </c>
      <c r="BN480" s="504">
        <v>0.05</v>
      </c>
      <c r="BO480" s="503" t="s">
        <v>166</v>
      </c>
      <c r="BP480" s="521"/>
      <c r="BQ480" s="521"/>
      <c r="BR480" s="521"/>
      <c r="BS480" s="521"/>
      <c r="BT480" s="521"/>
      <c r="BU480" s="521"/>
      <c r="BV480" s="522"/>
      <c r="BW480" s="521"/>
      <c r="BX480" s="521"/>
      <c r="BY480" s="522"/>
      <c r="BZ480" s="522"/>
      <c r="CA480" s="522"/>
      <c r="CB480" s="475"/>
      <c r="CC480" s="473"/>
      <c r="CD480" s="473"/>
      <c r="CE480" s="475"/>
      <c r="CF480" s="475"/>
      <c r="CG480" s="475"/>
      <c r="CH480" s="475"/>
      <c r="CI480" s="473"/>
      <c r="CJ480" s="473"/>
      <c r="CK480" s="475"/>
      <c r="CL480" s="475"/>
      <c r="CM480" s="475"/>
      <c r="CN480" s="360"/>
      <c r="CO480" s="346">
        <v>0.05</v>
      </c>
      <c r="CP480" s="346">
        <f t="shared" si="401"/>
        <v>0.05</v>
      </c>
      <c r="CW480" s="367"/>
      <c r="CX480" s="366"/>
      <c r="CY480" s="366"/>
      <c r="CZ480" s="367"/>
      <c r="DA480" s="367"/>
      <c r="DB480" s="367"/>
      <c r="DC480" s="366"/>
      <c r="DD480" s="366"/>
      <c r="DE480" s="366"/>
      <c r="DF480" s="366"/>
      <c r="DG480" s="366"/>
      <c r="DH480" s="367"/>
      <c r="DI480" s="132"/>
      <c r="DJ480" s="419"/>
      <c r="DK480" s="419"/>
      <c r="DL480" s="360"/>
    </row>
    <row r="481" spans="61:116" s="344" customFormat="1" ht="18.75" hidden="1" thickBot="1" x14ac:dyDescent="0.3">
      <c r="BI481" s="518" t="s">
        <v>169</v>
      </c>
      <c r="BJ481" s="505" t="s">
        <v>167</v>
      </c>
      <c r="BK481" s="511">
        <v>81.25</v>
      </c>
      <c r="BL481" s="505" t="s">
        <v>620</v>
      </c>
      <c r="BM481" s="504">
        <v>0.05</v>
      </c>
      <c r="BN481" s="504">
        <v>0.05</v>
      </c>
      <c r="BO481" s="503" t="s">
        <v>166</v>
      </c>
      <c r="BP481" s="521"/>
      <c r="BQ481" s="521"/>
      <c r="BR481" s="521"/>
      <c r="BS481" s="521"/>
      <c r="BT481" s="521"/>
      <c r="BU481" s="521"/>
      <c r="BV481" s="522"/>
      <c r="BW481" s="521"/>
      <c r="BX481" s="521"/>
      <c r="BY481" s="522"/>
      <c r="BZ481" s="522"/>
      <c r="CA481" s="522"/>
      <c r="CB481" s="475"/>
      <c r="CC481" s="473"/>
      <c r="CD481" s="473"/>
      <c r="CE481" s="475"/>
      <c r="CF481" s="475"/>
      <c r="CG481" s="475"/>
      <c r="CH481" s="475"/>
      <c r="CI481" s="473"/>
      <c r="CJ481" s="473"/>
      <c r="CK481" s="475"/>
      <c r="CL481" s="475"/>
      <c r="CM481" s="475"/>
      <c r="CN481" s="360"/>
      <c r="CO481" s="346">
        <v>0.05</v>
      </c>
      <c r="CP481" s="346">
        <f t="shared" si="401"/>
        <v>0.05</v>
      </c>
      <c r="CW481" s="367"/>
      <c r="CX481" s="366"/>
      <c r="CY481" s="366"/>
      <c r="CZ481" s="367"/>
      <c r="DA481" s="367"/>
      <c r="DB481" s="367"/>
      <c r="DC481" s="366"/>
      <c r="DD481" s="366"/>
      <c r="DE481" s="366"/>
      <c r="DF481" s="366"/>
      <c r="DG481" s="366"/>
      <c r="DH481" s="367"/>
      <c r="DI481" s="132"/>
      <c r="DJ481" s="419"/>
      <c r="DK481" s="419"/>
      <c r="DL481" s="360"/>
    </row>
    <row r="482" spans="61:116" s="344" customFormat="1" ht="18.75" hidden="1" thickBot="1" x14ac:dyDescent="0.3">
      <c r="BI482" s="518" t="s">
        <v>157</v>
      </c>
      <c r="BJ482" s="505" t="s">
        <v>167</v>
      </c>
      <c r="BK482" s="511">
        <v>97.7</v>
      </c>
      <c r="BL482" s="505" t="s">
        <v>620</v>
      </c>
      <c r="BM482" s="504">
        <v>0.05</v>
      </c>
      <c r="BN482" s="504">
        <v>0.05</v>
      </c>
      <c r="BO482" s="503" t="s">
        <v>166</v>
      </c>
      <c r="BP482" s="521"/>
      <c r="BQ482" s="521"/>
      <c r="BR482" s="521"/>
      <c r="BS482" s="521"/>
      <c r="BT482" s="521"/>
      <c r="BU482" s="521"/>
      <c r="BV482" s="522"/>
      <c r="BW482" s="521"/>
      <c r="BX482" s="521"/>
      <c r="BY482" s="522"/>
      <c r="BZ482" s="522"/>
      <c r="CA482" s="522"/>
      <c r="CB482" s="475"/>
      <c r="CC482" s="473"/>
      <c r="CD482" s="473"/>
      <c r="CE482" s="475"/>
      <c r="CF482" s="475"/>
      <c r="CG482" s="475"/>
      <c r="CH482" s="475"/>
      <c r="CI482" s="473"/>
      <c r="CJ482" s="473"/>
      <c r="CK482" s="475"/>
      <c r="CL482" s="475"/>
      <c r="CM482" s="475"/>
      <c r="CN482" s="360"/>
      <c r="CO482" s="346">
        <v>0.05</v>
      </c>
      <c r="CP482" s="346">
        <f t="shared" si="401"/>
        <v>0.05</v>
      </c>
      <c r="CW482" s="367"/>
      <c r="CX482" s="366"/>
      <c r="CY482" s="366"/>
      <c r="CZ482" s="367"/>
      <c r="DA482" s="367"/>
      <c r="DB482" s="367"/>
      <c r="DC482" s="366"/>
      <c r="DD482" s="366"/>
      <c r="DE482" s="366"/>
      <c r="DF482" s="366"/>
      <c r="DG482" s="366"/>
      <c r="DH482" s="367"/>
      <c r="DI482" s="132"/>
      <c r="DJ482" s="419"/>
      <c r="DK482" s="419"/>
      <c r="DL482" s="360"/>
    </row>
    <row r="483" spans="61:116" s="344" customFormat="1" ht="18.75" hidden="1" thickBot="1" x14ac:dyDescent="0.3">
      <c r="BI483" s="518" t="s">
        <v>158</v>
      </c>
      <c r="BJ483" s="505" t="s">
        <v>167</v>
      </c>
      <c r="BK483" s="511">
        <v>159.58000000000001</v>
      </c>
      <c r="BL483" s="505" t="s">
        <v>620</v>
      </c>
      <c r="BM483" s="504">
        <v>0.05</v>
      </c>
      <c r="BN483" s="504">
        <v>0.05</v>
      </c>
      <c r="BO483" s="503" t="s">
        <v>166</v>
      </c>
      <c r="BP483" s="521"/>
      <c r="BQ483" s="521"/>
      <c r="BR483" s="521"/>
      <c r="BS483" s="521"/>
      <c r="BT483" s="521"/>
      <c r="BU483" s="521"/>
      <c r="BV483" s="522"/>
      <c r="BW483" s="521"/>
      <c r="BX483" s="521"/>
      <c r="BY483" s="522"/>
      <c r="BZ483" s="522"/>
      <c r="CA483" s="522"/>
      <c r="CB483" s="475"/>
      <c r="CC483" s="473"/>
      <c r="CD483" s="473"/>
      <c r="CE483" s="475"/>
      <c r="CF483" s="475"/>
      <c r="CG483" s="475"/>
      <c r="CH483" s="475"/>
      <c r="CI483" s="473"/>
      <c r="CJ483" s="473"/>
      <c r="CK483" s="475"/>
      <c r="CL483" s="475"/>
      <c r="CM483" s="475"/>
      <c r="CN483" s="360"/>
      <c r="CO483" s="346">
        <v>0.05</v>
      </c>
      <c r="CP483" s="346">
        <f t="shared" si="401"/>
        <v>0.05</v>
      </c>
      <c r="CW483" s="367"/>
      <c r="CX483" s="366"/>
      <c r="CY483" s="366"/>
      <c r="CZ483" s="367"/>
      <c r="DA483" s="367"/>
      <c r="DB483" s="367"/>
      <c r="DC483" s="366"/>
      <c r="DD483" s="366"/>
      <c r="DE483" s="366"/>
      <c r="DF483" s="366"/>
      <c r="DG483" s="366"/>
      <c r="DH483" s="367"/>
      <c r="DI483" s="132"/>
      <c r="DJ483" s="419"/>
      <c r="DK483" s="419"/>
      <c r="DL483" s="360"/>
    </row>
    <row r="484" spans="61:116" s="344" customFormat="1" ht="18.75" hidden="1" thickBot="1" x14ac:dyDescent="0.3">
      <c r="BI484" s="518" t="s">
        <v>170</v>
      </c>
      <c r="BJ484" s="505" t="s">
        <v>167</v>
      </c>
      <c r="BK484" s="511">
        <v>116.5</v>
      </c>
      <c r="BL484" s="505" t="s">
        <v>620</v>
      </c>
      <c r="BM484" s="504">
        <v>0.05</v>
      </c>
      <c r="BN484" s="504">
        <v>0.05</v>
      </c>
      <c r="BO484" s="503" t="s">
        <v>166</v>
      </c>
      <c r="BP484" s="521"/>
      <c r="BQ484" s="521"/>
      <c r="BR484" s="521"/>
      <c r="BS484" s="521"/>
      <c r="BT484" s="521"/>
      <c r="BU484" s="521"/>
      <c r="BV484" s="522"/>
      <c r="BW484" s="521"/>
      <c r="BX484" s="521"/>
      <c r="BY484" s="522"/>
      <c r="BZ484" s="522"/>
      <c r="CA484" s="522"/>
      <c r="CB484" s="475"/>
      <c r="CC484" s="473"/>
      <c r="CD484" s="473"/>
      <c r="CE484" s="475"/>
      <c r="CF484" s="475"/>
      <c r="CG484" s="475"/>
      <c r="CH484" s="475"/>
      <c r="CI484" s="473"/>
      <c r="CJ484" s="473"/>
      <c r="CK484" s="475"/>
      <c r="CL484" s="475"/>
      <c r="CM484" s="475"/>
      <c r="CN484" s="360"/>
      <c r="CO484" s="346">
        <v>0.05</v>
      </c>
      <c r="CP484" s="346">
        <f t="shared" si="401"/>
        <v>0.05</v>
      </c>
      <c r="CW484" s="367"/>
      <c r="CX484" s="366"/>
      <c r="CY484" s="366"/>
      <c r="CZ484" s="367"/>
      <c r="DA484" s="367"/>
      <c r="DB484" s="367"/>
      <c r="DC484" s="366"/>
      <c r="DD484" s="366"/>
      <c r="DE484" s="366"/>
      <c r="DF484" s="366"/>
      <c r="DG484" s="366"/>
      <c r="DH484" s="367"/>
      <c r="DI484" s="132"/>
      <c r="DJ484" s="419"/>
      <c r="DK484" s="419"/>
      <c r="DL484" s="360"/>
    </row>
    <row r="485" spans="61:116" s="344" customFormat="1" ht="18.75" hidden="1" thickBot="1" x14ac:dyDescent="0.3">
      <c r="BI485" s="518" t="s">
        <v>171</v>
      </c>
      <c r="BJ485" s="505" t="s">
        <v>167</v>
      </c>
      <c r="BK485" s="511">
        <v>88.52</v>
      </c>
      <c r="BL485" s="505" t="s">
        <v>620</v>
      </c>
      <c r="BM485" s="504">
        <v>0.05</v>
      </c>
      <c r="BN485" s="504">
        <v>0.05</v>
      </c>
      <c r="BO485" s="503" t="s">
        <v>166</v>
      </c>
      <c r="BP485" s="521"/>
      <c r="BQ485" s="521"/>
      <c r="BR485" s="521"/>
      <c r="BS485" s="521"/>
      <c r="BT485" s="521"/>
      <c r="BU485" s="521"/>
      <c r="BV485" s="522"/>
      <c r="BW485" s="521"/>
      <c r="BX485" s="521"/>
      <c r="BY485" s="522"/>
      <c r="BZ485" s="522"/>
      <c r="CA485" s="522"/>
      <c r="CB485" s="475"/>
      <c r="CC485" s="473"/>
      <c r="CD485" s="473"/>
      <c r="CE485" s="475"/>
      <c r="CF485" s="475"/>
      <c r="CG485" s="475"/>
      <c r="CH485" s="475"/>
      <c r="CI485" s="473"/>
      <c r="CJ485" s="473"/>
      <c r="CK485" s="475"/>
      <c r="CL485" s="475"/>
      <c r="CM485" s="475"/>
      <c r="CN485" s="360"/>
      <c r="CO485" s="346">
        <v>0.05</v>
      </c>
      <c r="CP485" s="346">
        <f t="shared" si="401"/>
        <v>0.05</v>
      </c>
      <c r="CW485" s="367"/>
      <c r="CX485" s="366"/>
      <c r="CY485" s="366"/>
      <c r="CZ485" s="367"/>
      <c r="DA485" s="367"/>
      <c r="DB485" s="367"/>
      <c r="DC485" s="366"/>
      <c r="DD485" s="366"/>
      <c r="DE485" s="366"/>
      <c r="DF485" s="366"/>
      <c r="DG485" s="366"/>
      <c r="DH485" s="367"/>
      <c r="DI485" s="132"/>
      <c r="DJ485" s="419"/>
      <c r="DK485" s="419"/>
      <c r="DL485" s="360"/>
    </row>
    <row r="486" spans="61:116" s="344" customFormat="1" ht="18.75" hidden="1" thickBot="1" x14ac:dyDescent="0.3">
      <c r="BI486" s="518" t="s">
        <v>172</v>
      </c>
      <c r="BJ486" s="505" t="s">
        <v>167</v>
      </c>
      <c r="BK486" s="511">
        <v>43.4</v>
      </c>
      <c r="BL486" s="505" t="s">
        <v>620</v>
      </c>
      <c r="BM486" s="504">
        <v>0.05</v>
      </c>
      <c r="BN486" s="504">
        <v>0.05</v>
      </c>
      <c r="BO486" s="503" t="s">
        <v>166</v>
      </c>
      <c r="BP486" s="521"/>
      <c r="BQ486" s="521"/>
      <c r="BR486" s="521"/>
      <c r="BS486" s="521"/>
      <c r="BT486" s="521"/>
      <c r="BU486" s="521"/>
      <c r="BV486" s="522"/>
      <c r="BW486" s="521"/>
      <c r="BX486" s="521"/>
      <c r="BY486" s="522"/>
      <c r="BZ486" s="522"/>
      <c r="CA486" s="522"/>
      <c r="CB486" s="475"/>
      <c r="CC486" s="473"/>
      <c r="CD486" s="473"/>
      <c r="CE486" s="475"/>
      <c r="CF486" s="475"/>
      <c r="CG486" s="475"/>
      <c r="CH486" s="475"/>
      <c r="CI486" s="473"/>
      <c r="CJ486" s="473"/>
      <c r="CK486" s="475"/>
      <c r="CL486" s="475"/>
      <c r="CM486" s="475"/>
      <c r="CN486" s="360"/>
      <c r="CO486" s="346">
        <v>0.05</v>
      </c>
      <c r="CP486" s="346">
        <f t="shared" si="401"/>
        <v>0.05</v>
      </c>
      <c r="CW486" s="367"/>
      <c r="CX486" s="366"/>
      <c r="CY486" s="366"/>
      <c r="CZ486" s="367"/>
      <c r="DA486" s="367"/>
      <c r="DB486" s="367"/>
      <c r="DC486" s="366"/>
      <c r="DD486" s="366"/>
      <c r="DE486" s="366"/>
      <c r="DF486" s="366"/>
      <c r="DG486" s="366"/>
      <c r="DH486" s="367"/>
      <c r="DI486" s="132"/>
      <c r="DJ486" s="419"/>
      <c r="DK486" s="419"/>
      <c r="DL486" s="360"/>
    </row>
    <row r="487" spans="61:116" s="344" customFormat="1" ht="18.75" hidden="1" thickBot="1" x14ac:dyDescent="0.3">
      <c r="BI487" s="518" t="s">
        <v>173</v>
      </c>
      <c r="BJ487" s="505" t="s">
        <v>167</v>
      </c>
      <c r="BK487" s="511">
        <v>229.26</v>
      </c>
      <c r="BL487" s="505" t="s">
        <v>620</v>
      </c>
      <c r="BM487" s="504">
        <v>0.05</v>
      </c>
      <c r="BN487" s="504">
        <v>0.05</v>
      </c>
      <c r="BO487" s="503" t="s">
        <v>166</v>
      </c>
      <c r="BP487" s="521"/>
      <c r="BQ487" s="521"/>
      <c r="BR487" s="521"/>
      <c r="BS487" s="521"/>
      <c r="BT487" s="521"/>
      <c r="BU487" s="521"/>
      <c r="BV487" s="522"/>
      <c r="BW487" s="521"/>
      <c r="BX487" s="521"/>
      <c r="BY487" s="522"/>
      <c r="BZ487" s="522"/>
      <c r="CA487" s="522"/>
      <c r="CB487" s="475"/>
      <c r="CC487" s="473"/>
      <c r="CD487" s="473"/>
      <c r="CE487" s="475"/>
      <c r="CF487" s="475"/>
      <c r="CG487" s="475"/>
      <c r="CH487" s="475"/>
      <c r="CI487" s="473"/>
      <c r="CJ487" s="473"/>
      <c r="CK487" s="475"/>
      <c r="CL487" s="475"/>
      <c r="CM487" s="475"/>
      <c r="CN487" s="360"/>
      <c r="CO487" s="346">
        <v>0.05</v>
      </c>
      <c r="CP487" s="346">
        <f t="shared" si="401"/>
        <v>0.05</v>
      </c>
      <c r="CW487" s="367"/>
      <c r="CX487" s="366"/>
      <c r="CY487" s="366"/>
      <c r="CZ487" s="367"/>
      <c r="DA487" s="367"/>
      <c r="DB487" s="367"/>
      <c r="DC487" s="366"/>
      <c r="DD487" s="366"/>
      <c r="DE487" s="366"/>
      <c r="DF487" s="366"/>
      <c r="DG487" s="366"/>
      <c r="DH487" s="367"/>
      <c r="DI487" s="132"/>
      <c r="DJ487" s="419"/>
      <c r="DK487" s="419"/>
      <c r="DL487" s="360"/>
    </row>
    <row r="488" spans="61:116" s="344" customFormat="1" ht="18.75" hidden="1" thickBot="1" x14ac:dyDescent="0.3">
      <c r="BI488" s="518" t="s">
        <v>174</v>
      </c>
      <c r="BJ488" s="505" t="s">
        <v>167</v>
      </c>
      <c r="BK488" s="511">
        <v>55.15</v>
      </c>
      <c r="BL488" s="505" t="s">
        <v>620</v>
      </c>
      <c r="BM488" s="504">
        <v>0.05</v>
      </c>
      <c r="BN488" s="504">
        <v>0.05</v>
      </c>
      <c r="BO488" s="503" t="s">
        <v>166</v>
      </c>
      <c r="BP488" s="521"/>
      <c r="BQ488" s="521"/>
      <c r="BR488" s="521"/>
      <c r="BS488" s="521"/>
      <c r="BT488" s="521"/>
      <c r="BU488" s="521"/>
      <c r="BV488" s="522"/>
      <c r="BW488" s="521"/>
      <c r="BX488" s="521"/>
      <c r="BY488" s="522"/>
      <c r="BZ488" s="522"/>
      <c r="CA488" s="522"/>
      <c r="CB488" s="475"/>
      <c r="CC488" s="473"/>
      <c r="CD488" s="473"/>
      <c r="CE488" s="475"/>
      <c r="CF488" s="475"/>
      <c r="CG488" s="475"/>
      <c r="CH488" s="475"/>
      <c r="CI488" s="473"/>
      <c r="CJ488" s="473"/>
      <c r="CK488" s="475"/>
      <c r="CL488" s="475"/>
      <c r="CM488" s="475"/>
      <c r="CN488" s="360"/>
      <c r="CO488" s="346">
        <v>0.05</v>
      </c>
      <c r="CP488" s="346">
        <f t="shared" si="401"/>
        <v>0.05</v>
      </c>
      <c r="CW488" s="367"/>
      <c r="CX488" s="366"/>
      <c r="CY488" s="366"/>
      <c r="CZ488" s="367"/>
      <c r="DA488" s="367"/>
      <c r="DB488" s="367"/>
      <c r="DC488" s="366"/>
      <c r="DD488" s="366"/>
      <c r="DE488" s="366"/>
      <c r="DF488" s="366"/>
      <c r="DG488" s="366"/>
      <c r="DH488" s="367"/>
      <c r="DI488" s="132"/>
      <c r="DJ488" s="419"/>
      <c r="DK488" s="419"/>
      <c r="DL488" s="360"/>
    </row>
    <row r="489" spans="61:116" s="344" customFormat="1" ht="18.75" hidden="1" thickBot="1" x14ac:dyDescent="0.3">
      <c r="BI489" s="518" t="s">
        <v>175</v>
      </c>
      <c r="BJ489" s="505" t="s">
        <v>167</v>
      </c>
      <c r="BK489" s="511">
        <v>84.94</v>
      </c>
      <c r="BL489" s="505" t="s">
        <v>620</v>
      </c>
      <c r="BM489" s="504">
        <v>0.05</v>
      </c>
      <c r="BN489" s="504">
        <v>0.05</v>
      </c>
      <c r="BO489" s="503" t="s">
        <v>166</v>
      </c>
      <c r="BP489" s="521"/>
      <c r="BQ489" s="521"/>
      <c r="BR489" s="521"/>
      <c r="BS489" s="521"/>
      <c r="BT489" s="521"/>
      <c r="BU489" s="521"/>
      <c r="BV489" s="522"/>
      <c r="BW489" s="521"/>
      <c r="BX489" s="521"/>
      <c r="BY489" s="522"/>
      <c r="BZ489" s="522"/>
      <c r="CA489" s="522"/>
      <c r="CB489" s="475"/>
      <c r="CC489" s="473"/>
      <c r="CD489" s="473"/>
      <c r="CE489" s="475"/>
      <c r="CF489" s="475"/>
      <c r="CG489" s="475"/>
      <c r="CH489" s="475"/>
      <c r="CI489" s="473"/>
      <c r="CJ489" s="473"/>
      <c r="CK489" s="475"/>
      <c r="CL489" s="475"/>
      <c r="CM489" s="475"/>
      <c r="CN489" s="360"/>
      <c r="CO489" s="346">
        <v>0.05</v>
      </c>
      <c r="CP489" s="346">
        <f t="shared" si="401"/>
        <v>0.05</v>
      </c>
      <c r="CW489" s="367"/>
      <c r="CX489" s="366"/>
      <c r="CY489" s="366"/>
      <c r="CZ489" s="367"/>
      <c r="DA489" s="367"/>
      <c r="DB489" s="367"/>
      <c r="DC489" s="366"/>
      <c r="DD489" s="366"/>
      <c r="DE489" s="366"/>
      <c r="DF489" s="366"/>
      <c r="DG489" s="366"/>
      <c r="DH489" s="367"/>
      <c r="DI489" s="132"/>
      <c r="DJ489" s="419"/>
      <c r="DK489" s="419"/>
      <c r="DL489" s="360"/>
    </row>
    <row r="490" spans="61:116" s="344" customFormat="1" ht="18.75" hidden="1" thickBot="1" x14ac:dyDescent="0.3">
      <c r="BI490" s="518" t="s">
        <v>176</v>
      </c>
      <c r="BJ490" s="505" t="s">
        <v>167</v>
      </c>
      <c r="BK490" s="511">
        <v>169.75</v>
      </c>
      <c r="BL490" s="505" t="s">
        <v>620</v>
      </c>
      <c r="BM490" s="504">
        <v>0.05</v>
      </c>
      <c r="BN490" s="504">
        <v>0.05</v>
      </c>
      <c r="BO490" s="503" t="s">
        <v>166</v>
      </c>
      <c r="BP490" s="521"/>
      <c r="BQ490" s="521"/>
      <c r="BR490" s="521"/>
      <c r="BS490" s="521"/>
      <c r="BT490" s="521"/>
      <c r="BU490" s="521"/>
      <c r="BV490" s="522"/>
      <c r="BW490" s="521"/>
      <c r="BX490" s="521"/>
      <c r="BY490" s="522"/>
      <c r="BZ490" s="522"/>
      <c r="CA490" s="522"/>
      <c r="CB490" s="475"/>
      <c r="CC490" s="473"/>
      <c r="CD490" s="473"/>
      <c r="CE490" s="475"/>
      <c r="CF490" s="475"/>
      <c r="CG490" s="475"/>
      <c r="CH490" s="475"/>
      <c r="CI490" s="473"/>
      <c r="CJ490" s="473"/>
      <c r="CK490" s="475"/>
      <c r="CL490" s="475"/>
      <c r="CM490" s="475"/>
      <c r="CN490" s="360"/>
      <c r="CO490" s="346">
        <v>0.05</v>
      </c>
      <c r="CP490" s="346">
        <f t="shared" si="401"/>
        <v>0.05</v>
      </c>
      <c r="CW490" s="367"/>
      <c r="CX490" s="366"/>
      <c r="CY490" s="366"/>
      <c r="CZ490" s="367"/>
      <c r="DA490" s="367"/>
      <c r="DB490" s="367"/>
      <c r="DC490" s="366"/>
      <c r="DD490" s="366"/>
      <c r="DE490" s="366"/>
      <c r="DF490" s="366"/>
      <c r="DG490" s="366"/>
      <c r="DH490" s="367"/>
      <c r="DI490" s="132"/>
      <c r="DJ490" s="419"/>
      <c r="DK490" s="419"/>
      <c r="DL490" s="360"/>
    </row>
    <row r="491" spans="61:116" s="344" customFormat="1" ht="18.75" hidden="1" thickBot="1" x14ac:dyDescent="0.3">
      <c r="BI491" s="518" t="s">
        <v>518</v>
      </c>
      <c r="BJ491" s="505" t="s">
        <v>167</v>
      </c>
      <c r="BK491" s="511">
        <v>137.47</v>
      </c>
      <c r="BL491" s="505" t="s">
        <v>620</v>
      </c>
      <c r="BM491" s="504">
        <v>0.05</v>
      </c>
      <c r="BN491" s="504">
        <v>0.05</v>
      </c>
      <c r="BO491" s="503" t="s">
        <v>166</v>
      </c>
      <c r="BP491" s="521"/>
      <c r="BQ491" s="521"/>
      <c r="BR491" s="521"/>
      <c r="BS491" s="521"/>
      <c r="BT491" s="521"/>
      <c r="BU491" s="521"/>
      <c r="BV491" s="522"/>
      <c r="BW491" s="521"/>
      <c r="BX491" s="521"/>
      <c r="BY491" s="522"/>
      <c r="BZ491" s="522"/>
      <c r="CA491" s="522"/>
      <c r="CB491" s="475"/>
      <c r="CC491" s="473"/>
      <c r="CD491" s="473"/>
      <c r="CE491" s="475"/>
      <c r="CF491" s="475"/>
      <c r="CG491" s="475"/>
      <c r="CH491" s="475"/>
      <c r="CI491" s="473"/>
      <c r="CJ491" s="473"/>
      <c r="CK491" s="475"/>
      <c r="CL491" s="475"/>
      <c r="CM491" s="475"/>
      <c r="CN491" s="360"/>
      <c r="CO491" s="346">
        <v>0.05</v>
      </c>
      <c r="CP491" s="346">
        <f t="shared" si="401"/>
        <v>0.05</v>
      </c>
      <c r="CW491" s="367"/>
      <c r="CX491" s="366"/>
      <c r="CY491" s="366"/>
      <c r="CZ491" s="367"/>
      <c r="DA491" s="367"/>
      <c r="DB491" s="367"/>
      <c r="DC491" s="366"/>
      <c r="DD491" s="366"/>
      <c r="DE491" s="366"/>
      <c r="DF491" s="366"/>
      <c r="DG491" s="366"/>
      <c r="DH491" s="367"/>
      <c r="DI491" s="132"/>
      <c r="DJ491" s="419"/>
      <c r="DK491" s="419"/>
      <c r="DL491" s="360"/>
    </row>
    <row r="492" spans="61:116" s="344" customFormat="1" ht="18.75" hidden="1" thickBot="1" x14ac:dyDescent="0.3">
      <c r="BI492" s="518" t="s">
        <v>177</v>
      </c>
      <c r="BJ492" s="505" t="s">
        <v>167</v>
      </c>
      <c r="BK492" s="511">
        <v>75.37</v>
      </c>
      <c r="BL492" s="505" t="s">
        <v>620</v>
      </c>
      <c r="BM492" s="504">
        <v>0.05</v>
      </c>
      <c r="BN492" s="504">
        <v>0.05</v>
      </c>
      <c r="BO492" s="503" t="s">
        <v>166</v>
      </c>
      <c r="BP492" s="521"/>
      <c r="BQ492" s="521"/>
      <c r="BR492" s="521"/>
      <c r="BS492" s="521"/>
      <c r="BT492" s="521"/>
      <c r="BU492" s="521"/>
      <c r="BV492" s="522"/>
      <c r="BW492" s="521"/>
      <c r="BX492" s="521"/>
      <c r="BY492" s="522"/>
      <c r="BZ492" s="522"/>
      <c r="CA492" s="522"/>
      <c r="CB492" s="475"/>
      <c r="CC492" s="473"/>
      <c r="CD492" s="473"/>
      <c r="CE492" s="475"/>
      <c r="CF492" s="475"/>
      <c r="CG492" s="475"/>
      <c r="CH492" s="475"/>
      <c r="CI492" s="473"/>
      <c r="CJ492" s="473"/>
      <c r="CK492" s="475"/>
      <c r="CL492" s="475"/>
      <c r="CM492" s="475"/>
      <c r="CN492" s="360"/>
      <c r="CO492" s="346">
        <v>0.05</v>
      </c>
      <c r="CP492" s="346">
        <f t="shared" si="401"/>
        <v>0.05</v>
      </c>
      <c r="CW492" s="367"/>
      <c r="CX492" s="366"/>
      <c r="CY492" s="366"/>
      <c r="CZ492" s="367"/>
      <c r="DA492" s="367"/>
      <c r="DB492" s="367"/>
      <c r="DC492" s="366"/>
      <c r="DD492" s="366"/>
      <c r="DE492" s="366"/>
      <c r="DF492" s="366"/>
      <c r="DG492" s="366"/>
      <c r="DH492" s="367"/>
      <c r="DI492" s="132"/>
      <c r="DJ492" s="419"/>
      <c r="DK492" s="419"/>
      <c r="DL492" s="360"/>
    </row>
    <row r="493" spans="61:116" s="344" customFormat="1" ht="18.75" hidden="1" thickBot="1" x14ac:dyDescent="0.3">
      <c r="BI493" s="518" t="s">
        <v>178</v>
      </c>
      <c r="BJ493" s="505" t="s">
        <v>167</v>
      </c>
      <c r="BK493" s="511">
        <v>130.97999999999999</v>
      </c>
      <c r="BL493" s="505" t="s">
        <v>620</v>
      </c>
      <c r="BM493" s="504">
        <v>0.05</v>
      </c>
      <c r="BN493" s="504">
        <v>0.05</v>
      </c>
      <c r="BO493" s="503" t="s">
        <v>166</v>
      </c>
      <c r="BP493" s="521"/>
      <c r="BQ493" s="521"/>
      <c r="BR493" s="521"/>
      <c r="BS493" s="521"/>
      <c r="BT493" s="521"/>
      <c r="BU493" s="521"/>
      <c r="BV493" s="522"/>
      <c r="BW493" s="521"/>
      <c r="BX493" s="521"/>
      <c r="BY493" s="522"/>
      <c r="BZ493" s="522"/>
      <c r="CA493" s="522"/>
      <c r="CB493" s="475"/>
      <c r="CC493" s="473"/>
      <c r="CD493" s="473"/>
      <c r="CE493" s="475"/>
      <c r="CF493" s="475"/>
      <c r="CG493" s="475"/>
      <c r="CH493" s="475"/>
      <c r="CI493" s="473"/>
      <c r="CJ493" s="473"/>
      <c r="CK493" s="475"/>
      <c r="CL493" s="475"/>
      <c r="CM493" s="475"/>
      <c r="CN493" s="360"/>
      <c r="CO493" s="346">
        <v>0.05</v>
      </c>
      <c r="CP493" s="346">
        <f t="shared" si="401"/>
        <v>0.05</v>
      </c>
      <c r="CW493" s="367"/>
      <c r="CX493" s="366"/>
      <c r="CY493" s="366"/>
      <c r="CZ493" s="367"/>
      <c r="DA493" s="367"/>
      <c r="DB493" s="367"/>
      <c r="DC493" s="366"/>
      <c r="DD493" s="366"/>
      <c r="DE493" s="366"/>
      <c r="DF493" s="366"/>
      <c r="DG493" s="366"/>
      <c r="DH493" s="367"/>
      <c r="DI493" s="132"/>
      <c r="DJ493" s="419"/>
      <c r="DK493" s="419"/>
      <c r="DL493" s="360"/>
    </row>
    <row r="494" spans="61:116" s="344" customFormat="1" ht="18.75" hidden="1" thickBot="1" x14ac:dyDescent="0.3">
      <c r="BI494" s="518" t="s">
        <v>179</v>
      </c>
      <c r="BJ494" s="505" t="s">
        <v>167</v>
      </c>
      <c r="BK494" s="511">
        <v>79.5</v>
      </c>
      <c r="BL494" s="505" t="s">
        <v>620</v>
      </c>
      <c r="BM494" s="504">
        <v>0.05</v>
      </c>
      <c r="BN494" s="504">
        <v>0.05</v>
      </c>
      <c r="BO494" s="503" t="s">
        <v>166</v>
      </c>
      <c r="BP494" s="521"/>
      <c r="BQ494" s="521"/>
      <c r="BR494" s="521"/>
      <c r="BS494" s="521"/>
      <c r="BT494" s="521"/>
      <c r="BU494" s="521"/>
      <c r="BV494" s="522"/>
      <c r="BW494" s="521"/>
      <c r="BX494" s="521"/>
      <c r="BY494" s="522"/>
      <c r="BZ494" s="522"/>
      <c r="CA494" s="522"/>
      <c r="CB494" s="475"/>
      <c r="CC494" s="473"/>
      <c r="CD494" s="473"/>
      <c r="CE494" s="475"/>
      <c r="CF494" s="475"/>
      <c r="CG494" s="475"/>
      <c r="CH494" s="475"/>
      <c r="CI494" s="473"/>
      <c r="CJ494" s="473"/>
      <c r="CK494" s="475"/>
      <c r="CL494" s="475"/>
      <c r="CM494" s="475"/>
      <c r="CN494" s="360"/>
      <c r="CO494" s="346">
        <v>0.05</v>
      </c>
      <c r="CP494" s="346">
        <f t="shared" si="401"/>
        <v>0.05</v>
      </c>
      <c r="CW494" s="367"/>
      <c r="CX494" s="366"/>
      <c r="CY494" s="366"/>
      <c r="CZ494" s="367"/>
      <c r="DA494" s="367"/>
      <c r="DB494" s="367"/>
      <c r="DC494" s="366"/>
      <c r="DD494" s="366"/>
      <c r="DE494" s="366"/>
      <c r="DF494" s="366"/>
      <c r="DG494" s="366"/>
      <c r="DH494" s="367"/>
      <c r="DI494" s="132"/>
      <c r="DJ494" s="419"/>
      <c r="DK494" s="419"/>
      <c r="DL494" s="360"/>
    </row>
    <row r="495" spans="61:116" s="344" customFormat="1" ht="18.75" hidden="1" thickBot="1" x14ac:dyDescent="0.3">
      <c r="BI495" s="518" t="s">
        <v>180</v>
      </c>
      <c r="BJ495" s="505" t="s">
        <v>167</v>
      </c>
      <c r="BK495" s="511">
        <v>73.42</v>
      </c>
      <c r="BL495" s="505" t="s">
        <v>620</v>
      </c>
      <c r="BM495" s="504">
        <v>0.05</v>
      </c>
      <c r="BN495" s="504">
        <v>0.05</v>
      </c>
      <c r="BO495" s="503" t="s">
        <v>166</v>
      </c>
      <c r="BP495" s="521"/>
      <c r="BQ495" s="521"/>
      <c r="BR495" s="521"/>
      <c r="BS495" s="521"/>
      <c r="BT495" s="521"/>
      <c r="BU495" s="521"/>
      <c r="BV495" s="522"/>
      <c r="BW495" s="521"/>
      <c r="BX495" s="521"/>
      <c r="BY495" s="522"/>
      <c r="BZ495" s="522"/>
      <c r="CA495" s="522"/>
      <c r="CB495" s="475"/>
      <c r="CC495" s="473"/>
      <c r="CD495" s="473"/>
      <c r="CE495" s="475"/>
      <c r="CF495" s="475"/>
      <c r="CG495" s="475"/>
      <c r="CH495" s="475"/>
      <c r="CI495" s="473"/>
      <c r="CJ495" s="473"/>
      <c r="CK495" s="475"/>
      <c r="CL495" s="475"/>
      <c r="CM495" s="475"/>
      <c r="CN495" s="360"/>
      <c r="CO495" s="346">
        <v>0.05</v>
      </c>
      <c r="CP495" s="346">
        <f t="shared" si="401"/>
        <v>0.05</v>
      </c>
      <c r="CW495" s="367"/>
      <c r="CX495" s="366"/>
      <c r="CY495" s="366"/>
      <c r="CZ495" s="367"/>
      <c r="DA495" s="367"/>
      <c r="DB495" s="367"/>
      <c r="DC495" s="366"/>
      <c r="DD495" s="366"/>
      <c r="DE495" s="366"/>
      <c r="DF495" s="366"/>
      <c r="DG495" s="366"/>
      <c r="DH495" s="367"/>
      <c r="DI495" s="132"/>
      <c r="DJ495" s="419"/>
      <c r="DK495" s="419"/>
      <c r="DL495" s="360"/>
    </row>
    <row r="496" spans="61:116" s="344" customFormat="1" ht="18.75" hidden="1" thickBot="1" x14ac:dyDescent="0.3">
      <c r="BI496" s="518" t="s">
        <v>509</v>
      </c>
      <c r="BJ496" s="505" t="s">
        <v>167</v>
      </c>
      <c r="BK496" s="511">
        <v>131.06</v>
      </c>
      <c r="BL496" s="505" t="s">
        <v>620</v>
      </c>
      <c r="BM496" s="504">
        <v>0.05</v>
      </c>
      <c r="BN496" s="504">
        <v>0.05</v>
      </c>
      <c r="BO496" s="503" t="s">
        <v>166</v>
      </c>
      <c r="BP496" s="521"/>
      <c r="BQ496" s="521"/>
      <c r="BR496" s="521"/>
      <c r="BS496" s="521"/>
      <c r="BT496" s="521"/>
      <c r="BU496" s="521"/>
      <c r="BV496" s="522"/>
      <c r="BW496" s="521"/>
      <c r="BX496" s="521"/>
      <c r="BY496" s="522"/>
      <c r="BZ496" s="522"/>
      <c r="CA496" s="522"/>
      <c r="CB496" s="475"/>
      <c r="CC496" s="473"/>
      <c r="CD496" s="473"/>
      <c r="CE496" s="475"/>
      <c r="CF496" s="475"/>
      <c r="CG496" s="475"/>
      <c r="CH496" s="475"/>
      <c r="CI496" s="473"/>
      <c r="CJ496" s="473"/>
      <c r="CK496" s="475"/>
      <c r="CL496" s="475"/>
      <c r="CM496" s="475"/>
      <c r="CN496" s="360"/>
      <c r="CO496" s="346">
        <v>0.05</v>
      </c>
      <c r="CP496" s="346">
        <f t="shared" si="401"/>
        <v>0.05</v>
      </c>
      <c r="CW496" s="367"/>
      <c r="CX496" s="366"/>
      <c r="CY496" s="366"/>
      <c r="CZ496" s="367"/>
      <c r="DA496" s="367"/>
      <c r="DB496" s="367"/>
      <c r="DC496" s="366"/>
      <c r="DD496" s="366"/>
      <c r="DE496" s="366"/>
      <c r="DF496" s="366"/>
      <c r="DG496" s="366"/>
      <c r="DH496" s="367"/>
      <c r="DI496" s="132"/>
      <c r="DJ496" s="419"/>
      <c r="DK496" s="419"/>
      <c r="DL496" s="360"/>
    </row>
    <row r="497" spans="61:116" s="344" customFormat="1" ht="18.75" hidden="1" thickBot="1" x14ac:dyDescent="0.3">
      <c r="BI497" s="518" t="s">
        <v>181</v>
      </c>
      <c r="BJ497" s="505" t="s">
        <v>167</v>
      </c>
      <c r="BK497" s="511">
        <v>196.94</v>
      </c>
      <c r="BL497" s="505" t="s">
        <v>620</v>
      </c>
      <c r="BM497" s="504">
        <v>0.05</v>
      </c>
      <c r="BN497" s="504">
        <v>0.05</v>
      </c>
      <c r="BO497" s="503" t="s">
        <v>166</v>
      </c>
      <c r="BP497" s="521"/>
      <c r="BQ497" s="521"/>
      <c r="BR497" s="521"/>
      <c r="BS497" s="521"/>
      <c r="BT497" s="521"/>
      <c r="BU497" s="521"/>
      <c r="BV497" s="522"/>
      <c r="BW497" s="521"/>
      <c r="BX497" s="521"/>
      <c r="BY497" s="522"/>
      <c r="BZ497" s="522"/>
      <c r="CA497" s="522"/>
      <c r="CB497" s="475"/>
      <c r="CC497" s="473"/>
      <c r="CD497" s="473"/>
      <c r="CE497" s="475"/>
      <c r="CF497" s="475"/>
      <c r="CG497" s="475"/>
      <c r="CH497" s="475"/>
      <c r="CI497" s="473"/>
      <c r="CJ497" s="473"/>
      <c r="CK497" s="475"/>
      <c r="CL497" s="475"/>
      <c r="CM497" s="475"/>
      <c r="CN497" s="360"/>
      <c r="CO497" s="346">
        <v>0.05</v>
      </c>
      <c r="CP497" s="346">
        <f t="shared" si="401"/>
        <v>0.05</v>
      </c>
      <c r="CW497" s="367"/>
      <c r="CX497" s="366"/>
      <c r="CY497" s="366"/>
      <c r="CZ497" s="367"/>
      <c r="DA497" s="367"/>
      <c r="DB497" s="367"/>
      <c r="DC497" s="366"/>
      <c r="DD497" s="366"/>
      <c r="DE497" s="366"/>
      <c r="DF497" s="366"/>
      <c r="DG497" s="366"/>
      <c r="DH497" s="367"/>
      <c r="DI497" s="132"/>
      <c r="DJ497" s="419"/>
      <c r="DK497" s="419"/>
      <c r="DL497" s="360"/>
    </row>
    <row r="498" spans="61:116" s="344" customFormat="1" ht="18.75" hidden="1" thickBot="1" x14ac:dyDescent="0.3">
      <c r="BI498" s="518" t="s">
        <v>508</v>
      </c>
      <c r="BJ498" s="505" t="s">
        <v>167</v>
      </c>
      <c r="BK498" s="511">
        <v>188.24</v>
      </c>
      <c r="BL498" s="505" t="s">
        <v>620</v>
      </c>
      <c r="BM498" s="504">
        <v>0.05</v>
      </c>
      <c r="BN498" s="504">
        <v>0.05</v>
      </c>
      <c r="BO498" s="503" t="s">
        <v>166</v>
      </c>
      <c r="BP498" s="521"/>
      <c r="BQ498" s="521"/>
      <c r="BR498" s="521"/>
      <c r="BS498" s="521"/>
      <c r="BT498" s="521"/>
      <c r="BU498" s="521"/>
      <c r="BV498" s="522"/>
      <c r="BW498" s="521"/>
      <c r="BX498" s="521"/>
      <c r="BY498" s="522"/>
      <c r="BZ498" s="522"/>
      <c r="CA498" s="522"/>
      <c r="CB498" s="475"/>
      <c r="CC498" s="473"/>
      <c r="CD498" s="473"/>
      <c r="CE498" s="475"/>
      <c r="CF498" s="475"/>
      <c r="CG498" s="475"/>
      <c r="CH498" s="475"/>
      <c r="CI498" s="473"/>
      <c r="CJ498" s="473"/>
      <c r="CK498" s="475"/>
      <c r="CL498" s="475"/>
      <c r="CM498" s="475"/>
      <c r="CN498" s="360"/>
      <c r="CO498" s="346">
        <v>0.05</v>
      </c>
      <c r="CP498" s="346">
        <f t="shared" si="401"/>
        <v>0.05</v>
      </c>
      <c r="CW498" s="367"/>
      <c r="CX498" s="366"/>
      <c r="CY498" s="366"/>
      <c r="CZ498" s="367"/>
      <c r="DA498" s="367"/>
      <c r="DB498" s="367"/>
      <c r="DC498" s="366"/>
      <c r="DD498" s="366"/>
      <c r="DE498" s="366"/>
      <c r="DF498" s="366"/>
      <c r="DG498" s="366"/>
      <c r="DH498" s="367"/>
      <c r="DI498" s="132"/>
      <c r="DJ498" s="419"/>
      <c r="DK498" s="419"/>
      <c r="DL498" s="360"/>
    </row>
    <row r="499" spans="61:116" s="344" customFormat="1" ht="18.75" hidden="1" thickBot="1" x14ac:dyDescent="0.3">
      <c r="BI499" s="518" t="s">
        <v>466</v>
      </c>
      <c r="BJ499" s="505" t="s">
        <v>167</v>
      </c>
      <c r="BK499" s="511">
        <v>166.07</v>
      </c>
      <c r="BL499" s="505" t="s">
        <v>620</v>
      </c>
      <c r="BM499" s="504">
        <v>0.05</v>
      </c>
      <c r="BN499" s="504">
        <v>0.05</v>
      </c>
      <c r="BO499" s="503" t="s">
        <v>166</v>
      </c>
      <c r="BP499" s="521"/>
      <c r="BQ499" s="521"/>
      <c r="BR499" s="521"/>
      <c r="BS499" s="521"/>
      <c r="BT499" s="521"/>
      <c r="BU499" s="521"/>
      <c r="BV499" s="522"/>
      <c r="BW499" s="521"/>
      <c r="BX499" s="521"/>
      <c r="BY499" s="522"/>
      <c r="BZ499" s="522"/>
      <c r="CA499" s="522"/>
      <c r="CB499" s="475"/>
      <c r="CC499" s="473"/>
      <c r="CD499" s="473"/>
      <c r="CE499" s="475"/>
      <c r="CF499" s="475"/>
      <c r="CG499" s="475"/>
      <c r="CH499" s="475"/>
      <c r="CI499" s="473"/>
      <c r="CJ499" s="473"/>
      <c r="CK499" s="475"/>
      <c r="CL499" s="475"/>
      <c r="CM499" s="475"/>
      <c r="CN499" s="360"/>
      <c r="CO499" s="346">
        <v>0.05</v>
      </c>
      <c r="CP499" s="346">
        <f t="shared" si="401"/>
        <v>0.05</v>
      </c>
      <c r="CW499" s="367"/>
      <c r="CX499" s="366"/>
      <c r="CY499" s="366"/>
      <c r="CZ499" s="367"/>
      <c r="DA499" s="367"/>
      <c r="DB499" s="367"/>
      <c r="DC499" s="366"/>
      <c r="DD499" s="366"/>
      <c r="DE499" s="366"/>
      <c r="DF499" s="366"/>
      <c r="DG499" s="366"/>
      <c r="DH499" s="367"/>
      <c r="DI499" s="132"/>
      <c r="DJ499" s="419"/>
      <c r="DK499" s="419"/>
      <c r="DL499" s="360"/>
    </row>
    <row r="500" spans="61:116" s="344" customFormat="1" ht="18.75" hidden="1" thickBot="1" x14ac:dyDescent="0.3">
      <c r="BI500" s="518" t="s">
        <v>182</v>
      </c>
      <c r="BJ500" s="505" t="s">
        <v>167</v>
      </c>
      <c r="BK500" s="511">
        <v>176.09</v>
      </c>
      <c r="BL500" s="505" t="s">
        <v>620</v>
      </c>
      <c r="BM500" s="504">
        <v>0.05</v>
      </c>
      <c r="BN500" s="504">
        <v>0.05</v>
      </c>
      <c r="BO500" s="503" t="s">
        <v>166</v>
      </c>
      <c r="BP500" s="521"/>
      <c r="BQ500" s="521"/>
      <c r="BR500" s="521"/>
      <c r="BS500" s="521"/>
      <c r="BT500" s="521"/>
      <c r="BU500" s="521"/>
      <c r="BV500" s="522"/>
      <c r="BW500" s="521"/>
      <c r="BX500" s="521"/>
      <c r="BY500" s="522"/>
      <c r="BZ500" s="522"/>
      <c r="CA500" s="522"/>
      <c r="CB500" s="475"/>
      <c r="CC500" s="473"/>
      <c r="CD500" s="473"/>
      <c r="CE500" s="475"/>
      <c r="CF500" s="475"/>
      <c r="CG500" s="475"/>
      <c r="CH500" s="475"/>
      <c r="CI500" s="473"/>
      <c r="CJ500" s="473"/>
      <c r="CK500" s="475"/>
      <c r="CL500" s="475"/>
      <c r="CM500" s="475"/>
      <c r="CN500" s="360"/>
      <c r="CO500" s="346">
        <v>0.05</v>
      </c>
      <c r="CP500" s="346">
        <f t="shared" si="401"/>
        <v>0.05</v>
      </c>
      <c r="CW500" s="367"/>
      <c r="CX500" s="366"/>
      <c r="CY500" s="366"/>
      <c r="CZ500" s="367"/>
      <c r="DA500" s="367"/>
      <c r="DB500" s="367"/>
      <c r="DC500" s="366"/>
      <c r="DD500" s="366"/>
      <c r="DE500" s="366"/>
      <c r="DF500" s="366"/>
      <c r="DG500" s="366"/>
      <c r="DH500" s="367"/>
      <c r="DI500" s="132"/>
      <c r="DJ500" s="419"/>
      <c r="DK500" s="419"/>
      <c r="DL500" s="360"/>
    </row>
    <row r="501" spans="61:116" s="344" customFormat="1" ht="18.75" hidden="1" thickBot="1" x14ac:dyDescent="0.3">
      <c r="BI501" s="518" t="s">
        <v>183</v>
      </c>
      <c r="BJ501" s="505" t="s">
        <v>167</v>
      </c>
      <c r="BK501" s="511">
        <v>162.44</v>
      </c>
      <c r="BL501" s="505" t="s">
        <v>620</v>
      </c>
      <c r="BM501" s="504">
        <v>0.05</v>
      </c>
      <c r="BN501" s="504">
        <v>0.05</v>
      </c>
      <c r="BO501" s="503" t="s">
        <v>166</v>
      </c>
      <c r="BP501" s="521"/>
      <c r="BQ501" s="521"/>
      <c r="BR501" s="521"/>
      <c r="BS501" s="521"/>
      <c r="BT501" s="521"/>
      <c r="BU501" s="521"/>
      <c r="BV501" s="522"/>
      <c r="BW501" s="521"/>
      <c r="BX501" s="521"/>
      <c r="BY501" s="522"/>
      <c r="BZ501" s="522"/>
      <c r="CA501" s="522"/>
      <c r="CB501" s="475"/>
      <c r="CC501" s="473"/>
      <c r="CD501" s="473"/>
      <c r="CE501" s="475"/>
      <c r="CF501" s="475"/>
      <c r="CG501" s="475"/>
      <c r="CH501" s="475"/>
      <c r="CI501" s="473"/>
      <c r="CJ501" s="473"/>
      <c r="CK501" s="475"/>
      <c r="CL501" s="475"/>
      <c r="CM501" s="475"/>
      <c r="CN501" s="360"/>
      <c r="CO501" s="346">
        <v>0.05</v>
      </c>
      <c r="CP501" s="346">
        <f t="shared" si="401"/>
        <v>0.05</v>
      </c>
      <c r="CW501" s="367"/>
      <c r="CX501" s="366"/>
      <c r="CY501" s="366"/>
      <c r="CZ501" s="367"/>
      <c r="DA501" s="367"/>
      <c r="DB501" s="367"/>
      <c r="DC501" s="366"/>
      <c r="DD501" s="366"/>
      <c r="DE501" s="366"/>
      <c r="DF501" s="366"/>
      <c r="DG501" s="366"/>
      <c r="DH501" s="367"/>
      <c r="DI501" s="132"/>
      <c r="DJ501" s="419"/>
      <c r="DK501" s="419"/>
      <c r="DL501" s="360"/>
    </row>
    <row r="502" spans="61:116" s="344" customFormat="1" ht="18.75" hidden="1" thickBot="1" x14ac:dyDescent="0.3">
      <c r="BI502" s="518" t="s">
        <v>184</v>
      </c>
      <c r="BJ502" s="505" t="s">
        <v>167</v>
      </c>
      <c r="BK502" s="511">
        <v>39.6</v>
      </c>
      <c r="BL502" s="505" t="s">
        <v>620</v>
      </c>
      <c r="BM502" s="504">
        <v>0.05</v>
      </c>
      <c r="BN502" s="504">
        <v>0.05</v>
      </c>
      <c r="BO502" s="503" t="s">
        <v>166</v>
      </c>
      <c r="BP502" s="521"/>
      <c r="BQ502" s="521"/>
      <c r="BR502" s="521"/>
      <c r="BS502" s="521"/>
      <c r="BT502" s="521"/>
      <c r="BU502" s="521"/>
      <c r="BV502" s="522"/>
      <c r="BW502" s="521"/>
      <c r="BX502" s="521"/>
      <c r="BY502" s="522"/>
      <c r="BZ502" s="522"/>
      <c r="CA502" s="522"/>
      <c r="CB502" s="475"/>
      <c r="CC502" s="473"/>
      <c r="CD502" s="473"/>
      <c r="CE502" s="475"/>
      <c r="CF502" s="475"/>
      <c r="CG502" s="475"/>
      <c r="CH502" s="475"/>
      <c r="CI502" s="473"/>
      <c r="CJ502" s="473"/>
      <c r="CK502" s="475"/>
      <c r="CL502" s="475"/>
      <c r="CM502" s="475"/>
      <c r="CN502" s="360"/>
      <c r="CO502" s="346">
        <v>0.05</v>
      </c>
      <c r="CP502" s="346">
        <f t="shared" si="401"/>
        <v>0.05</v>
      </c>
      <c r="CW502" s="367"/>
      <c r="CX502" s="366"/>
      <c r="CY502" s="366"/>
      <c r="CZ502" s="367"/>
      <c r="DA502" s="367"/>
      <c r="DB502" s="367"/>
      <c r="DC502" s="366"/>
      <c r="DD502" s="366"/>
      <c r="DE502" s="366"/>
      <c r="DF502" s="366"/>
      <c r="DG502" s="366"/>
      <c r="DH502" s="367"/>
      <c r="DI502" s="132"/>
      <c r="DJ502" s="419"/>
      <c r="DK502" s="419"/>
      <c r="DL502" s="360"/>
    </row>
    <row r="503" spans="61:116" s="344" customFormat="1" ht="18.75" hidden="1" thickBot="1" x14ac:dyDescent="0.3">
      <c r="BI503" s="518" t="s">
        <v>185</v>
      </c>
      <c r="BJ503" s="505" t="s">
        <v>167</v>
      </c>
      <c r="BK503" s="511">
        <v>83.35</v>
      </c>
      <c r="BL503" s="505" t="s">
        <v>620</v>
      </c>
      <c r="BM503" s="504">
        <v>0.05</v>
      </c>
      <c r="BN503" s="504">
        <v>0.05</v>
      </c>
      <c r="BO503" s="503" t="s">
        <v>166</v>
      </c>
      <c r="BP503" s="521"/>
      <c r="BQ503" s="521"/>
      <c r="BR503" s="521"/>
      <c r="BS503" s="521"/>
      <c r="BT503" s="521"/>
      <c r="BU503" s="521"/>
      <c r="BV503" s="522"/>
      <c r="BW503" s="521"/>
      <c r="BX503" s="521"/>
      <c r="BY503" s="522"/>
      <c r="BZ503" s="522"/>
      <c r="CA503" s="522"/>
      <c r="CB503" s="475"/>
      <c r="CC503" s="473"/>
      <c r="CD503" s="473"/>
      <c r="CE503" s="475"/>
      <c r="CF503" s="475"/>
      <c r="CG503" s="475"/>
      <c r="CH503" s="475"/>
      <c r="CI503" s="473"/>
      <c r="CJ503" s="473"/>
      <c r="CK503" s="475"/>
      <c r="CL503" s="475"/>
      <c r="CM503" s="475"/>
      <c r="CN503" s="360"/>
      <c r="CO503" s="346">
        <v>0.05</v>
      </c>
      <c r="CP503" s="346">
        <f t="shared" si="401"/>
        <v>0.05</v>
      </c>
      <c r="CW503" s="367"/>
      <c r="CX503" s="366"/>
      <c r="CY503" s="366"/>
      <c r="CZ503" s="367"/>
      <c r="DA503" s="367"/>
      <c r="DB503" s="367"/>
      <c r="DC503" s="366"/>
      <c r="DD503" s="366"/>
      <c r="DE503" s="366"/>
      <c r="DF503" s="366"/>
      <c r="DG503" s="366"/>
      <c r="DH503" s="367"/>
      <c r="DI503" s="132"/>
      <c r="DJ503" s="419"/>
      <c r="DK503" s="419"/>
      <c r="DL503" s="360"/>
    </row>
    <row r="504" spans="61:116" s="344" customFormat="1" ht="15.75" hidden="1" thickBot="1" x14ac:dyDescent="0.3">
      <c r="BI504" s="518" t="s">
        <v>529</v>
      </c>
      <c r="BJ504" s="518" t="s">
        <v>822</v>
      </c>
      <c r="BK504" s="511">
        <v>1.05</v>
      </c>
      <c r="BL504" s="518" t="s">
        <v>823</v>
      </c>
      <c r="BM504" s="523">
        <v>0.05</v>
      </c>
      <c r="BN504" s="523">
        <v>0.05</v>
      </c>
      <c r="BO504" s="518" t="s">
        <v>530</v>
      </c>
      <c r="BP504" s="521"/>
      <c r="BQ504" s="521"/>
      <c r="BR504" s="521"/>
      <c r="BS504" s="521"/>
      <c r="BT504" s="521"/>
      <c r="BU504" s="521"/>
      <c r="BV504" s="522"/>
      <c r="BW504" s="521"/>
      <c r="BX504" s="521"/>
      <c r="BY504" s="522"/>
      <c r="BZ504" s="522"/>
      <c r="CA504" s="522"/>
      <c r="CB504" s="475"/>
      <c r="CC504" s="473"/>
      <c r="CD504" s="473"/>
      <c r="CE504" s="475"/>
      <c r="CF504" s="475"/>
      <c r="CG504" s="475"/>
      <c r="CH504" s="475"/>
      <c r="CI504" s="473"/>
      <c r="CJ504" s="473"/>
      <c r="CK504" s="475"/>
      <c r="CL504" s="475"/>
      <c r="CM504" s="475"/>
      <c r="CN504" s="360"/>
      <c r="CO504" s="346">
        <v>0.05</v>
      </c>
      <c r="CP504" s="346">
        <f t="shared" si="401"/>
        <v>0.05</v>
      </c>
      <c r="CW504" s="367"/>
      <c r="CX504" s="366"/>
      <c r="CY504" s="366"/>
      <c r="CZ504" s="367"/>
      <c r="DA504" s="367"/>
      <c r="DB504" s="367"/>
      <c r="DC504" s="366"/>
      <c r="DD504" s="366"/>
      <c r="DE504" s="366"/>
      <c r="DF504" s="366"/>
      <c r="DG504" s="366"/>
      <c r="DH504" s="367"/>
      <c r="DI504" s="132"/>
      <c r="DJ504" s="419"/>
      <c r="DK504" s="419"/>
      <c r="DL504" s="360"/>
    </row>
    <row r="505" spans="61:116" s="344" customFormat="1" ht="26.25" hidden="1" thickBot="1" x14ac:dyDescent="0.3">
      <c r="BI505" s="518" t="s">
        <v>531</v>
      </c>
      <c r="BJ505" s="518" t="s">
        <v>822</v>
      </c>
      <c r="BK505" s="511">
        <v>1.44E-2</v>
      </c>
      <c r="BL505" s="518" t="s">
        <v>823</v>
      </c>
      <c r="BM505" s="523">
        <v>0.05</v>
      </c>
      <c r="BN505" s="523">
        <v>0.05</v>
      </c>
      <c r="BO505" s="518" t="s">
        <v>532</v>
      </c>
      <c r="BP505" s="521"/>
      <c r="BQ505" s="521"/>
      <c r="BR505" s="521"/>
      <c r="BS505" s="521"/>
      <c r="BT505" s="521"/>
      <c r="BU505" s="521"/>
      <c r="BV505" s="522"/>
      <c r="BW505" s="521"/>
      <c r="BX505" s="521"/>
      <c r="BY505" s="522"/>
      <c r="BZ505" s="522"/>
      <c r="CA505" s="522"/>
      <c r="CB505" s="475"/>
      <c r="CC505" s="473"/>
      <c r="CD505" s="473"/>
      <c r="CE505" s="475"/>
      <c r="CF505" s="475"/>
      <c r="CG505" s="475"/>
      <c r="CH505" s="475"/>
      <c r="CI505" s="473"/>
      <c r="CJ505" s="473"/>
      <c r="CK505" s="475"/>
      <c r="CL505" s="475"/>
      <c r="CM505" s="475"/>
      <c r="CN505" s="360"/>
      <c r="CO505" s="346">
        <v>0.05</v>
      </c>
      <c r="CP505" s="346">
        <f t="shared" si="401"/>
        <v>0.05</v>
      </c>
      <c r="CW505" s="367"/>
      <c r="CX505" s="366"/>
      <c r="CY505" s="366"/>
      <c r="CZ505" s="367"/>
      <c r="DA505" s="367"/>
      <c r="DB505" s="367"/>
      <c r="DC505" s="366"/>
      <c r="DD505" s="366"/>
      <c r="DE505" s="366"/>
      <c r="DF505" s="366"/>
      <c r="DG505" s="366"/>
      <c r="DH505" s="367"/>
      <c r="DI505" s="132"/>
      <c r="DJ505" s="419"/>
      <c r="DK505" s="419"/>
      <c r="DL505" s="360"/>
    </row>
    <row r="506" spans="61:116" s="344" customFormat="1" ht="15.75" hidden="1" thickBot="1" x14ac:dyDescent="0.3">
      <c r="BI506" s="518" t="s">
        <v>533</v>
      </c>
      <c r="BJ506" s="518" t="s">
        <v>822</v>
      </c>
      <c r="BK506" s="511">
        <v>7.8200000000000006E-2</v>
      </c>
      <c r="BL506" s="518" t="s">
        <v>823</v>
      </c>
      <c r="BM506" s="523">
        <v>0.05</v>
      </c>
      <c r="BN506" s="523">
        <v>0.05</v>
      </c>
      <c r="BO506" s="518" t="s">
        <v>534</v>
      </c>
      <c r="BP506" s="521"/>
      <c r="BQ506" s="521"/>
      <c r="BR506" s="521"/>
      <c r="BS506" s="521"/>
      <c r="BT506" s="521"/>
      <c r="BU506" s="521"/>
      <c r="BV506" s="522"/>
      <c r="BW506" s="521"/>
      <c r="BX506" s="521"/>
      <c r="BY506" s="522"/>
      <c r="BZ506" s="522"/>
      <c r="CA506" s="522"/>
      <c r="CB506" s="475"/>
      <c r="CC506" s="473"/>
      <c r="CD506" s="473"/>
      <c r="CE506" s="475"/>
      <c r="CF506" s="475"/>
      <c r="CG506" s="475"/>
      <c r="CH506" s="475"/>
      <c r="CI506" s="473"/>
      <c r="CJ506" s="473"/>
      <c r="CK506" s="475"/>
      <c r="CL506" s="475"/>
      <c r="CM506" s="475"/>
      <c r="CN506" s="360"/>
      <c r="CO506" s="346">
        <v>0.05</v>
      </c>
      <c r="CP506" s="346">
        <f t="shared" si="401"/>
        <v>0.05</v>
      </c>
      <c r="CW506" s="367"/>
      <c r="CX506" s="366"/>
      <c r="CY506" s="366"/>
      <c r="CZ506" s="367"/>
      <c r="DA506" s="367"/>
      <c r="DB506" s="367"/>
      <c r="DC506" s="366"/>
      <c r="DD506" s="366"/>
      <c r="DE506" s="366"/>
      <c r="DF506" s="366"/>
      <c r="DG506" s="366"/>
      <c r="DH506" s="367"/>
      <c r="DI506" s="132"/>
      <c r="DJ506" s="419"/>
      <c r="DK506" s="419"/>
      <c r="DL506" s="360"/>
    </row>
    <row r="507" spans="61:116" s="344" customFormat="1" hidden="1" x14ac:dyDescent="0.25">
      <c r="BI507" s="345"/>
      <c r="BJ507" s="473"/>
      <c r="BK507" s="473"/>
      <c r="BL507" s="473"/>
      <c r="BM507" s="463"/>
      <c r="BN507" s="463"/>
      <c r="BO507" s="463"/>
      <c r="BP507" s="521"/>
      <c r="BQ507" s="521"/>
      <c r="BR507" s="521"/>
      <c r="BS507" s="521"/>
      <c r="BT507" s="521"/>
      <c r="BU507" s="521"/>
      <c r="BV507" s="522"/>
      <c r="BW507" s="521"/>
      <c r="BX507" s="521"/>
      <c r="BY507" s="522"/>
      <c r="BZ507" s="522"/>
      <c r="CA507" s="522"/>
      <c r="CB507" s="475"/>
      <c r="CC507" s="473"/>
      <c r="CD507" s="473"/>
      <c r="CE507" s="475"/>
      <c r="CF507" s="475"/>
      <c r="CG507" s="475"/>
      <c r="CH507" s="475"/>
      <c r="CI507" s="473"/>
      <c r="CJ507" s="473"/>
      <c r="CK507" s="475"/>
      <c r="CL507" s="475"/>
      <c r="CM507" s="475"/>
      <c r="CN507" s="360"/>
      <c r="CO507" s="346"/>
      <c r="CP507" s="346">
        <f t="shared" si="401"/>
        <v>0</v>
      </c>
      <c r="CW507" s="367"/>
      <c r="CX507" s="366"/>
      <c r="CY507" s="366"/>
      <c r="CZ507" s="367"/>
      <c r="DA507" s="367"/>
      <c r="DB507" s="367"/>
      <c r="DC507" s="366"/>
      <c r="DD507" s="366"/>
      <c r="DE507" s="366"/>
      <c r="DF507" s="366"/>
      <c r="DG507" s="366"/>
      <c r="DH507" s="367"/>
      <c r="DI507" s="132"/>
      <c r="DJ507" s="419"/>
      <c r="DK507" s="419"/>
      <c r="DL507" s="360"/>
    </row>
    <row r="508" spans="61:116" s="344" customFormat="1" hidden="1" x14ac:dyDescent="0.25">
      <c r="BI508" s="345"/>
      <c r="BJ508" s="473"/>
      <c r="BK508" s="473"/>
      <c r="BL508" s="473"/>
      <c r="BM508" s="463"/>
      <c r="BN508" s="463"/>
      <c r="BO508" s="463"/>
      <c r="BP508" s="521"/>
      <c r="BQ508" s="521"/>
      <c r="BR508" s="521"/>
      <c r="BS508" s="521"/>
      <c r="BT508" s="521"/>
      <c r="BU508" s="521"/>
      <c r="BV508" s="522"/>
      <c r="BW508" s="521"/>
      <c r="BX508" s="521"/>
      <c r="BY508" s="522"/>
      <c r="BZ508" s="522"/>
      <c r="CA508" s="522"/>
      <c r="CB508" s="475"/>
      <c r="CC508" s="473"/>
      <c r="CD508" s="473"/>
      <c r="CE508" s="475"/>
      <c r="CF508" s="475"/>
      <c r="CG508" s="475"/>
      <c r="CH508" s="475"/>
      <c r="CI508" s="473"/>
      <c r="CJ508" s="473"/>
      <c r="CK508" s="475"/>
      <c r="CL508" s="475"/>
      <c r="CM508" s="475"/>
      <c r="CN508" s="360"/>
      <c r="CO508" s="346"/>
      <c r="CP508" s="346">
        <f t="shared" si="401"/>
        <v>0</v>
      </c>
      <c r="CW508" s="367"/>
      <c r="CX508" s="366"/>
      <c r="CY508" s="366"/>
      <c r="CZ508" s="367"/>
      <c r="DA508" s="367"/>
      <c r="DB508" s="367"/>
      <c r="DC508" s="366"/>
      <c r="DD508" s="366"/>
      <c r="DE508" s="366"/>
      <c r="DF508" s="366"/>
      <c r="DG508" s="366"/>
      <c r="DH508" s="367"/>
      <c r="DI508" s="132"/>
      <c r="DJ508" s="419"/>
      <c r="DK508" s="419"/>
      <c r="DL508" s="360"/>
    </row>
    <row r="509" spans="61:116" s="344" customFormat="1" ht="15.75" hidden="1" thickBot="1" x14ac:dyDescent="0.3">
      <c r="BI509" s="345"/>
      <c r="BJ509" s="473"/>
      <c r="BK509" s="473"/>
      <c r="BL509" s="473"/>
      <c r="BM509" s="463"/>
      <c r="BN509" s="463"/>
      <c r="BO509" s="463"/>
      <c r="BP509" s="521"/>
      <c r="BQ509" s="521"/>
      <c r="BR509" s="521"/>
      <c r="BS509" s="521"/>
      <c r="BT509" s="521"/>
      <c r="BU509" s="521"/>
      <c r="BV509" s="522"/>
      <c r="BW509" s="521"/>
      <c r="BX509" s="521"/>
      <c r="BY509" s="522"/>
      <c r="BZ509" s="522"/>
      <c r="CA509" s="522"/>
      <c r="CB509" s="475"/>
      <c r="CC509" s="473"/>
      <c r="CD509" s="473"/>
      <c r="CE509" s="475"/>
      <c r="CF509" s="475"/>
      <c r="CG509" s="475"/>
      <c r="CH509" s="475"/>
      <c r="CI509" s="473"/>
      <c r="CJ509" s="473"/>
      <c r="CK509" s="475"/>
      <c r="CL509" s="475"/>
      <c r="CM509" s="475"/>
      <c r="CN509" s="360"/>
      <c r="CO509" s="346"/>
      <c r="CP509" s="346">
        <f t="shared" si="401"/>
        <v>0</v>
      </c>
      <c r="CW509" s="367"/>
      <c r="CX509" s="366"/>
      <c r="CY509" s="366"/>
      <c r="CZ509" s="367"/>
      <c r="DA509" s="367"/>
      <c r="DB509" s="367"/>
      <c r="DC509" s="366"/>
      <c r="DD509" s="366"/>
      <c r="DE509" s="366"/>
      <c r="DF509" s="366"/>
      <c r="DG509" s="366"/>
      <c r="DH509" s="367"/>
      <c r="DI509" s="132"/>
      <c r="DJ509" s="419"/>
      <c r="DK509" s="419"/>
      <c r="DL509" s="360"/>
    </row>
    <row r="510" spans="61:116" s="344" customFormat="1" ht="15" hidden="1" customHeight="1" x14ac:dyDescent="0.25">
      <c r="BI510" s="733" t="s">
        <v>460</v>
      </c>
      <c r="BJ510" s="498"/>
      <c r="BK510" s="733" t="s">
        <v>461</v>
      </c>
      <c r="BL510" s="498"/>
      <c r="BM510" s="733" t="s">
        <v>392</v>
      </c>
      <c r="BN510" s="733" t="s">
        <v>392</v>
      </c>
      <c r="BO510" s="733" t="s">
        <v>399</v>
      </c>
      <c r="BP510" s="521"/>
      <c r="BQ510" s="521"/>
      <c r="BR510" s="521"/>
      <c r="BS510" s="521"/>
      <c r="BT510" s="521"/>
      <c r="BU510" s="521"/>
      <c r="BV510" s="522"/>
      <c r="BW510" s="521"/>
      <c r="BX510" s="521"/>
      <c r="BY510" s="522"/>
      <c r="BZ510" s="522"/>
      <c r="CA510" s="522"/>
      <c r="CB510" s="475"/>
      <c r="CC510" s="473"/>
      <c r="CD510" s="473"/>
      <c r="CE510" s="475"/>
      <c r="CF510" s="475"/>
      <c r="CG510" s="475"/>
      <c r="CH510" s="475"/>
      <c r="CI510" s="473"/>
      <c r="CJ510" s="473"/>
      <c r="CK510" s="475"/>
      <c r="CL510" s="475"/>
      <c r="CM510" s="475"/>
      <c r="CN510" s="360"/>
      <c r="CO510" s="346"/>
      <c r="CP510" s="346" t="str">
        <f t="shared" si="401"/>
        <v>Incertidumbre (+/- %)</v>
      </c>
      <c r="CW510" s="367"/>
      <c r="CX510" s="366"/>
      <c r="CY510" s="366"/>
      <c r="CZ510" s="367"/>
      <c r="DA510" s="367"/>
      <c r="DB510" s="367"/>
      <c r="DC510" s="366"/>
      <c r="DD510" s="366"/>
      <c r="DE510" s="366"/>
      <c r="DF510" s="366"/>
      <c r="DG510" s="366"/>
      <c r="DH510" s="367"/>
      <c r="DI510" s="132"/>
      <c r="DJ510" s="419"/>
      <c r="DK510" s="419"/>
      <c r="DL510" s="360"/>
    </row>
    <row r="511" spans="61:116" s="344" customFormat="1" ht="15.75" hidden="1" thickBot="1" x14ac:dyDescent="0.3">
      <c r="BI511" s="734"/>
      <c r="BJ511" s="499" t="s">
        <v>412</v>
      </c>
      <c r="BK511" s="734"/>
      <c r="BL511" s="499" t="s">
        <v>410</v>
      </c>
      <c r="BM511" s="734"/>
      <c r="BN511" s="734"/>
      <c r="BO511" s="734"/>
      <c r="BP511" s="521"/>
      <c r="BQ511" s="521"/>
      <c r="BR511" s="521"/>
      <c r="BS511" s="521"/>
      <c r="BT511" s="521"/>
      <c r="BU511" s="521"/>
      <c r="BV511" s="522"/>
      <c r="BW511" s="521"/>
      <c r="BX511" s="521"/>
      <c r="BY511" s="522"/>
      <c r="BZ511" s="522"/>
      <c r="CA511" s="522"/>
      <c r="CB511" s="475"/>
      <c r="CC511" s="473"/>
      <c r="CD511" s="473"/>
      <c r="CE511" s="475"/>
      <c r="CF511" s="475"/>
      <c r="CG511" s="475"/>
      <c r="CH511" s="475"/>
      <c r="CI511" s="473"/>
      <c r="CJ511" s="473"/>
      <c r="CK511" s="475"/>
      <c r="CL511" s="475"/>
      <c r="CM511" s="475"/>
      <c r="CN511" s="360"/>
      <c r="CO511" s="346"/>
      <c r="CP511" s="346">
        <f t="shared" si="401"/>
        <v>0</v>
      </c>
      <c r="CW511" s="367"/>
      <c r="CX511" s="366"/>
      <c r="CY511" s="366"/>
      <c r="CZ511" s="367"/>
      <c r="DA511" s="367"/>
      <c r="DB511" s="367"/>
      <c r="DC511" s="366"/>
      <c r="DD511" s="366"/>
      <c r="DE511" s="366"/>
      <c r="DF511" s="366"/>
      <c r="DG511" s="366"/>
      <c r="DH511" s="367"/>
      <c r="DI511" s="132"/>
      <c r="DJ511" s="419"/>
      <c r="DK511" s="419"/>
      <c r="DL511" s="360"/>
    </row>
    <row r="512" spans="61:116" s="344" customFormat="1" ht="18.75" hidden="1" customHeight="1" thickBot="1" x14ac:dyDescent="0.3">
      <c r="BI512" s="518" t="s">
        <v>153</v>
      </c>
      <c r="BJ512" s="505" t="s">
        <v>132</v>
      </c>
      <c r="BK512" s="511">
        <v>1.05</v>
      </c>
      <c r="BL512" s="505" t="s">
        <v>616</v>
      </c>
      <c r="BM512" s="504">
        <v>0.01</v>
      </c>
      <c r="BN512" s="504">
        <v>0.5</v>
      </c>
      <c r="BO512" s="524" t="s">
        <v>519</v>
      </c>
      <c r="BP512" s="521"/>
      <c r="BQ512" s="521"/>
      <c r="BR512" s="521"/>
      <c r="BS512" s="521"/>
      <c r="BT512" s="521"/>
      <c r="BU512" s="521"/>
      <c r="BV512" s="522"/>
      <c r="BW512" s="521"/>
      <c r="BX512" s="521"/>
      <c r="BY512" s="522"/>
      <c r="BZ512" s="522"/>
      <c r="CA512" s="522"/>
      <c r="CB512" s="475"/>
      <c r="CC512" s="473"/>
      <c r="CD512" s="473"/>
      <c r="CE512" s="475"/>
      <c r="CF512" s="475"/>
      <c r="CG512" s="475"/>
      <c r="CH512" s="475"/>
      <c r="CI512" s="473"/>
      <c r="CJ512" s="473"/>
      <c r="CK512" s="475"/>
      <c r="CL512" s="475"/>
      <c r="CM512" s="475"/>
      <c r="CN512" s="360"/>
      <c r="CO512" s="346">
        <v>0.01</v>
      </c>
      <c r="CP512" s="346">
        <f t="shared" si="401"/>
        <v>0.5</v>
      </c>
      <c r="CW512" s="367"/>
      <c r="CX512" s="366"/>
      <c r="CY512" s="366"/>
      <c r="CZ512" s="367"/>
      <c r="DA512" s="367"/>
      <c r="DB512" s="367"/>
      <c r="DC512" s="366"/>
      <c r="DD512" s="366"/>
      <c r="DE512" s="366"/>
      <c r="DF512" s="366"/>
      <c r="DG512" s="366"/>
      <c r="DH512" s="367"/>
      <c r="DI512" s="132"/>
      <c r="DJ512" s="419"/>
      <c r="DK512" s="419"/>
      <c r="DL512" s="360"/>
    </row>
    <row r="513" spans="61:116" s="344" customFormat="1" ht="18.75" hidden="1" customHeight="1" thickBot="1" x14ac:dyDescent="0.3">
      <c r="BI513" s="518" t="s">
        <v>154</v>
      </c>
      <c r="BJ513" s="505" t="s">
        <v>132</v>
      </c>
      <c r="BK513" s="511">
        <v>0.81</v>
      </c>
      <c r="BL513" s="505" t="s">
        <v>616</v>
      </c>
      <c r="BM513" s="504">
        <v>0.01</v>
      </c>
      <c r="BN513" s="504">
        <v>0.5</v>
      </c>
      <c r="BO513" s="525" t="s">
        <v>493</v>
      </c>
      <c r="BP513" s="521"/>
      <c r="BQ513" s="521"/>
      <c r="BR513" s="521"/>
      <c r="BS513" s="521"/>
      <c r="BT513" s="521"/>
      <c r="BU513" s="521"/>
      <c r="BV513" s="522"/>
      <c r="BW513" s="521"/>
      <c r="BX513" s="521"/>
      <c r="BY513" s="522"/>
      <c r="BZ513" s="522"/>
      <c r="CA513" s="522"/>
      <c r="CB513" s="475"/>
      <c r="CC513" s="473"/>
      <c r="CD513" s="473"/>
      <c r="CE513" s="475"/>
      <c r="CF513" s="475"/>
      <c r="CG513" s="475"/>
      <c r="CH513" s="475"/>
      <c r="CI513" s="473"/>
      <c r="CJ513" s="473"/>
      <c r="CK513" s="475"/>
      <c r="CL513" s="475"/>
      <c r="CM513" s="475"/>
      <c r="CN513" s="360"/>
      <c r="CO513" s="346">
        <v>0.01</v>
      </c>
      <c r="CP513" s="346">
        <f t="shared" si="401"/>
        <v>0.5</v>
      </c>
      <c r="CW513" s="367"/>
      <c r="CX513" s="366"/>
      <c r="CY513" s="366"/>
      <c r="CZ513" s="367"/>
      <c r="DA513" s="367"/>
      <c r="DB513" s="367"/>
      <c r="DC513" s="366"/>
      <c r="DD513" s="366"/>
      <c r="DE513" s="366"/>
      <c r="DF513" s="366"/>
      <c r="DG513" s="366"/>
      <c r="DH513" s="367"/>
      <c r="DI513" s="132"/>
      <c r="DJ513" s="419"/>
      <c r="DK513" s="419"/>
      <c r="DL513" s="360"/>
    </row>
    <row r="514" spans="61:116" s="344" customFormat="1" ht="18.75" hidden="1" customHeight="1" thickBot="1" x14ac:dyDescent="0.3">
      <c r="BI514" s="518" t="s">
        <v>490</v>
      </c>
      <c r="BJ514" s="505" t="s">
        <v>132</v>
      </c>
      <c r="BK514" s="511">
        <v>0.83</v>
      </c>
      <c r="BL514" s="505" t="s">
        <v>616</v>
      </c>
      <c r="BM514" s="504">
        <v>0.01</v>
      </c>
      <c r="BN514" s="504">
        <v>0.5</v>
      </c>
      <c r="BO514" s="524" t="s">
        <v>520</v>
      </c>
      <c r="BP514" s="521"/>
      <c r="BQ514" s="521"/>
      <c r="BR514" s="521"/>
      <c r="BS514" s="521"/>
      <c r="BT514" s="521"/>
      <c r="BU514" s="521"/>
      <c r="BV514" s="522"/>
      <c r="BW514" s="521"/>
      <c r="BX514" s="521"/>
      <c r="BY514" s="522"/>
      <c r="BZ514" s="522"/>
      <c r="CA514" s="522"/>
      <c r="CB514" s="475"/>
      <c r="CC514" s="473"/>
      <c r="CD514" s="473"/>
      <c r="CE514" s="475"/>
      <c r="CF514" s="475"/>
      <c r="CG514" s="475"/>
      <c r="CH514" s="475"/>
      <c r="CI514" s="473"/>
      <c r="CJ514" s="473"/>
      <c r="CK514" s="475"/>
      <c r="CL514" s="475"/>
      <c r="CM514" s="475"/>
      <c r="CN514" s="360"/>
      <c r="CO514" s="346">
        <v>0.01</v>
      </c>
      <c r="CP514" s="346">
        <f t="shared" si="401"/>
        <v>0.5</v>
      </c>
      <c r="CW514" s="367"/>
      <c r="CX514" s="366"/>
      <c r="CY514" s="366"/>
      <c r="CZ514" s="367"/>
      <c r="DA514" s="367"/>
      <c r="DB514" s="367"/>
      <c r="DC514" s="366"/>
      <c r="DD514" s="366"/>
      <c r="DE514" s="366"/>
      <c r="DF514" s="366"/>
      <c r="DG514" s="366"/>
      <c r="DH514" s="367"/>
      <c r="DI514" s="132"/>
      <c r="DJ514" s="419"/>
      <c r="DK514" s="419"/>
      <c r="DL514" s="360"/>
    </row>
    <row r="515" spans="61:116" s="344" customFormat="1" ht="18.75" hidden="1" customHeight="1" thickBot="1" x14ac:dyDescent="0.3">
      <c r="BI515" s="518" t="s">
        <v>491</v>
      </c>
      <c r="BJ515" s="505" t="s">
        <v>132</v>
      </c>
      <c r="BK515" s="511">
        <v>1.39</v>
      </c>
      <c r="BL515" s="505" t="s">
        <v>616</v>
      </c>
      <c r="BM515" s="504">
        <v>0.01</v>
      </c>
      <c r="BN515" s="504">
        <v>0.5</v>
      </c>
      <c r="BO515" s="524" t="s">
        <v>520</v>
      </c>
      <c r="BP515" s="521"/>
      <c r="BQ515" s="521"/>
      <c r="BR515" s="521"/>
      <c r="BS515" s="521"/>
      <c r="BT515" s="521"/>
      <c r="BU515" s="521"/>
      <c r="BV515" s="522"/>
      <c r="BW515" s="521"/>
      <c r="BX515" s="521"/>
      <c r="BY515" s="522"/>
      <c r="BZ515" s="522"/>
      <c r="CA515" s="522"/>
      <c r="CB515" s="475"/>
      <c r="CC515" s="473"/>
      <c r="CD515" s="473"/>
      <c r="CE515" s="475"/>
      <c r="CF515" s="475"/>
      <c r="CG515" s="475"/>
      <c r="CH515" s="475"/>
      <c r="CI515" s="473"/>
      <c r="CJ515" s="473"/>
      <c r="CK515" s="475"/>
      <c r="CL515" s="475"/>
      <c r="CM515" s="475"/>
      <c r="CN515" s="360"/>
      <c r="CO515" s="346">
        <v>0.01</v>
      </c>
      <c r="CP515" s="346">
        <f t="shared" si="401"/>
        <v>0.5</v>
      </c>
      <c r="CW515" s="367"/>
      <c r="CX515" s="366"/>
      <c r="CY515" s="366"/>
      <c r="CZ515" s="367"/>
      <c r="DA515" s="367"/>
      <c r="DB515" s="367"/>
      <c r="DC515" s="366"/>
      <c r="DD515" s="366"/>
      <c r="DE515" s="366"/>
      <c r="DF515" s="366"/>
      <c r="DG515" s="366"/>
      <c r="DH515" s="367"/>
      <c r="DI515" s="132"/>
      <c r="DJ515" s="419"/>
      <c r="DK515" s="419"/>
      <c r="DL515" s="360"/>
    </row>
    <row r="516" spans="61:116" s="344" customFormat="1" ht="18.75" hidden="1" customHeight="1" thickBot="1" x14ac:dyDescent="0.3">
      <c r="BI516" s="518" t="s">
        <v>501</v>
      </c>
      <c r="BJ516" s="505" t="s">
        <v>132</v>
      </c>
      <c r="BK516" s="511">
        <v>2.87</v>
      </c>
      <c r="BL516" s="505" t="s">
        <v>616</v>
      </c>
      <c r="BM516" s="504">
        <v>0.01</v>
      </c>
      <c r="BN516" s="504">
        <v>0.5</v>
      </c>
      <c r="BO516" s="525" t="s">
        <v>492</v>
      </c>
      <c r="BP516" s="521"/>
      <c r="BQ516" s="521"/>
      <c r="BR516" s="521"/>
      <c r="BS516" s="521"/>
      <c r="BT516" s="521"/>
      <c r="BU516" s="521"/>
      <c r="BV516" s="522"/>
      <c r="BW516" s="521"/>
      <c r="BX516" s="521"/>
      <c r="BY516" s="522"/>
      <c r="BZ516" s="522"/>
      <c r="CA516" s="522"/>
      <c r="CB516" s="475"/>
      <c r="CC516" s="473"/>
      <c r="CD516" s="473"/>
      <c r="CE516" s="475"/>
      <c r="CF516" s="475"/>
      <c r="CG516" s="475"/>
      <c r="CH516" s="475"/>
      <c r="CI516" s="473"/>
      <c r="CJ516" s="473"/>
      <c r="CK516" s="475"/>
      <c r="CL516" s="475"/>
      <c r="CM516" s="475"/>
      <c r="CN516" s="360"/>
      <c r="CO516" s="346">
        <v>0.01</v>
      </c>
      <c r="CP516" s="346">
        <f t="shared" si="401"/>
        <v>0.5</v>
      </c>
      <c r="CW516" s="367"/>
      <c r="CX516" s="366"/>
      <c r="CY516" s="366"/>
      <c r="CZ516" s="367"/>
      <c r="DA516" s="367"/>
      <c r="DB516" s="367"/>
      <c r="DC516" s="366"/>
      <c r="DD516" s="366"/>
      <c r="DE516" s="366"/>
      <c r="DF516" s="366"/>
      <c r="DG516" s="366"/>
      <c r="DH516" s="367"/>
      <c r="DI516" s="132"/>
      <c r="DJ516" s="419"/>
      <c r="DK516" s="419"/>
      <c r="DL516" s="360"/>
    </row>
    <row r="517" spans="61:116" s="344" customFormat="1" ht="18.75" hidden="1" customHeight="1" thickBot="1" x14ac:dyDescent="0.3">
      <c r="BI517" s="518" t="s">
        <v>502</v>
      </c>
      <c r="BJ517" s="505" t="s">
        <v>132</v>
      </c>
      <c r="BK517" s="511">
        <v>2.08</v>
      </c>
      <c r="BL517" s="505" t="s">
        <v>616</v>
      </c>
      <c r="BM517" s="504">
        <v>0.01</v>
      </c>
      <c r="BN517" s="504">
        <v>0.5</v>
      </c>
      <c r="BO517" s="525" t="s">
        <v>495</v>
      </c>
      <c r="BP517" s="521"/>
      <c r="BQ517" s="521"/>
      <c r="BR517" s="521"/>
      <c r="BS517" s="521"/>
      <c r="BT517" s="521"/>
      <c r="BU517" s="521"/>
      <c r="BV517" s="522"/>
      <c r="BW517" s="521"/>
      <c r="BX517" s="521"/>
      <c r="BY517" s="522"/>
      <c r="BZ517" s="522"/>
      <c r="CA517" s="522"/>
      <c r="CB517" s="475"/>
      <c r="CC517" s="473"/>
      <c r="CD517" s="473"/>
      <c r="CE517" s="475"/>
      <c r="CF517" s="475"/>
      <c r="CG517" s="475"/>
      <c r="CH517" s="475"/>
      <c r="CI517" s="473"/>
      <c r="CJ517" s="473"/>
      <c r="CK517" s="475"/>
      <c r="CL517" s="475"/>
      <c r="CM517" s="475"/>
      <c r="CN517" s="360"/>
      <c r="CO517" s="346">
        <v>0.01</v>
      </c>
      <c r="CP517" s="346">
        <f t="shared" si="401"/>
        <v>0.5</v>
      </c>
      <c r="CW517" s="367"/>
      <c r="CX517" s="366"/>
      <c r="CY517" s="366"/>
      <c r="CZ517" s="367"/>
      <c r="DA517" s="367"/>
      <c r="DB517" s="367"/>
      <c r="DC517" s="366"/>
      <c r="DD517" s="366"/>
      <c r="DE517" s="366"/>
      <c r="DF517" s="366"/>
      <c r="DG517" s="366"/>
      <c r="DH517" s="367"/>
      <c r="DI517" s="132"/>
      <c r="DJ517" s="419"/>
      <c r="DK517" s="419"/>
      <c r="DL517" s="360"/>
    </row>
    <row r="518" spans="61:116" s="344" customFormat="1" ht="18.75" hidden="1" customHeight="1" thickBot="1" x14ac:dyDescent="0.3">
      <c r="BI518" s="518" t="s">
        <v>503</v>
      </c>
      <c r="BJ518" s="505" t="s">
        <v>132</v>
      </c>
      <c r="BK518" s="511">
        <v>2.89</v>
      </c>
      <c r="BL518" s="505" t="s">
        <v>616</v>
      </c>
      <c r="BM518" s="504">
        <v>0.01</v>
      </c>
      <c r="BN518" s="504">
        <v>0.5</v>
      </c>
      <c r="BO518" s="525" t="s">
        <v>494</v>
      </c>
      <c r="BP518" s="521"/>
      <c r="BQ518" s="521"/>
      <c r="BR518" s="521"/>
      <c r="BS518" s="521"/>
      <c r="BT518" s="521"/>
      <c r="BU518" s="521"/>
      <c r="BV518" s="522"/>
      <c r="BW518" s="521"/>
      <c r="BX518" s="521"/>
      <c r="BY518" s="522"/>
      <c r="BZ518" s="522"/>
      <c r="CA518" s="522"/>
      <c r="CB518" s="475"/>
      <c r="CC518" s="473"/>
      <c r="CD518" s="473"/>
      <c r="CE518" s="475"/>
      <c r="CF518" s="475"/>
      <c r="CG518" s="475"/>
      <c r="CH518" s="475"/>
      <c r="CI518" s="473"/>
      <c r="CJ518" s="473"/>
      <c r="CK518" s="475"/>
      <c r="CL518" s="475"/>
      <c r="CM518" s="475"/>
      <c r="CN518" s="360"/>
      <c r="CO518" s="346">
        <v>0.01</v>
      </c>
      <c r="CP518" s="346">
        <f t="shared" si="401"/>
        <v>0.5</v>
      </c>
      <c r="CW518" s="367"/>
      <c r="CX518" s="366"/>
      <c r="CY518" s="366"/>
      <c r="CZ518" s="367"/>
      <c r="DA518" s="367"/>
      <c r="DB518" s="367"/>
      <c r="DC518" s="366"/>
      <c r="DD518" s="366"/>
      <c r="DE518" s="366"/>
      <c r="DF518" s="366"/>
      <c r="DG518" s="366"/>
      <c r="DH518" s="367"/>
      <c r="DI518" s="132"/>
      <c r="DJ518" s="419"/>
      <c r="DK518" s="419"/>
      <c r="DL518" s="360"/>
    </row>
    <row r="519" spans="61:116" s="344" customFormat="1" ht="18.75" hidden="1" customHeight="1" thickBot="1" x14ac:dyDescent="0.3">
      <c r="BI519" s="518" t="s">
        <v>496</v>
      </c>
      <c r="BJ519" s="505" t="s">
        <v>132</v>
      </c>
      <c r="BK519" s="511">
        <v>11.1</v>
      </c>
      <c r="BL519" s="505" t="s">
        <v>616</v>
      </c>
      <c r="BM519" s="504">
        <v>0.01</v>
      </c>
      <c r="BN519" s="504">
        <v>0.5</v>
      </c>
      <c r="BO519" s="525" t="s">
        <v>498</v>
      </c>
      <c r="BP519" s="521"/>
      <c r="BQ519" s="521"/>
      <c r="BR519" s="521"/>
      <c r="BS519" s="521"/>
      <c r="BT519" s="521"/>
      <c r="BU519" s="521"/>
      <c r="BV519" s="522"/>
      <c r="BW519" s="521"/>
      <c r="BX519" s="521"/>
      <c r="BY519" s="522"/>
      <c r="BZ519" s="522"/>
      <c r="CA519" s="522"/>
      <c r="CB519" s="475"/>
      <c r="CC519" s="473"/>
      <c r="CD519" s="473"/>
      <c r="CE519" s="475"/>
      <c r="CF519" s="475"/>
      <c r="CG519" s="475"/>
      <c r="CH519" s="475"/>
      <c r="CI519" s="473"/>
      <c r="CJ519" s="473"/>
      <c r="CK519" s="475"/>
      <c r="CL519" s="475"/>
      <c r="CM519" s="475"/>
      <c r="CN519" s="360"/>
      <c r="CO519" s="346">
        <v>0.01</v>
      </c>
      <c r="CP519" s="346">
        <f t="shared" si="401"/>
        <v>0.5</v>
      </c>
      <c r="CW519" s="367"/>
      <c r="CX519" s="366"/>
      <c r="CY519" s="366"/>
      <c r="CZ519" s="367"/>
      <c r="DA519" s="367"/>
      <c r="DB519" s="367"/>
      <c r="DC519" s="366"/>
      <c r="DD519" s="366"/>
      <c r="DE519" s="366"/>
      <c r="DF519" s="366"/>
      <c r="DG519" s="366"/>
      <c r="DH519" s="367"/>
      <c r="DI519" s="132"/>
      <c r="DJ519" s="419"/>
      <c r="DK519" s="419"/>
      <c r="DL519" s="360"/>
    </row>
    <row r="520" spans="61:116" s="344" customFormat="1" ht="18.75" hidden="1" customHeight="1" thickBot="1" x14ac:dyDescent="0.3">
      <c r="BI520" s="518" t="s">
        <v>497</v>
      </c>
      <c r="BJ520" s="505" t="s">
        <v>132</v>
      </c>
      <c r="BK520" s="511">
        <v>2.33</v>
      </c>
      <c r="BL520" s="505" t="s">
        <v>616</v>
      </c>
      <c r="BM520" s="504">
        <v>0.01</v>
      </c>
      <c r="BN520" s="504">
        <v>0.5</v>
      </c>
      <c r="BO520" s="525" t="s">
        <v>504</v>
      </c>
      <c r="BP520" s="521"/>
      <c r="BQ520" s="521"/>
      <c r="BR520" s="521"/>
      <c r="BS520" s="521"/>
      <c r="BT520" s="521"/>
      <c r="BU520" s="521"/>
      <c r="BV520" s="522"/>
      <c r="BW520" s="521"/>
      <c r="BX520" s="521"/>
      <c r="BY520" s="522"/>
      <c r="BZ520" s="522"/>
      <c r="CA520" s="522"/>
      <c r="CB520" s="475"/>
      <c r="CC520" s="473"/>
      <c r="CD520" s="473"/>
      <c r="CE520" s="475"/>
      <c r="CF520" s="475"/>
      <c r="CG520" s="475"/>
      <c r="CH520" s="475"/>
      <c r="CI520" s="473"/>
      <c r="CJ520" s="473"/>
      <c r="CK520" s="475"/>
      <c r="CL520" s="475"/>
      <c r="CM520" s="475"/>
      <c r="CN520" s="360"/>
      <c r="CO520" s="346">
        <v>0.01</v>
      </c>
      <c r="CP520" s="346">
        <f t="shared" si="401"/>
        <v>0.5</v>
      </c>
      <c r="CW520" s="367"/>
      <c r="CX520" s="366"/>
      <c r="CY520" s="366"/>
      <c r="CZ520" s="367"/>
      <c r="DA520" s="367"/>
      <c r="DB520" s="367"/>
      <c r="DC520" s="366"/>
      <c r="DD520" s="366"/>
      <c r="DE520" s="366"/>
      <c r="DF520" s="366"/>
      <c r="DG520" s="366"/>
      <c r="DH520" s="367"/>
      <c r="DI520" s="132"/>
      <c r="DJ520" s="419"/>
      <c r="DK520" s="419"/>
      <c r="DL520" s="360"/>
    </row>
    <row r="521" spans="61:116" s="344" customFormat="1" ht="18.75" hidden="1" customHeight="1" thickBot="1" x14ac:dyDescent="0.3">
      <c r="BI521" s="518"/>
      <c r="BJ521" s="505"/>
      <c r="BK521" s="511"/>
      <c r="BL521" s="505"/>
      <c r="BM521" s="504"/>
      <c r="BN521" s="504"/>
      <c r="BO521" s="525"/>
      <c r="BP521" s="521"/>
      <c r="BQ521" s="521"/>
      <c r="BR521" s="521"/>
      <c r="BS521" s="521"/>
      <c r="BT521" s="521"/>
      <c r="BU521" s="521"/>
      <c r="BV521" s="522"/>
      <c r="BW521" s="521"/>
      <c r="BX521" s="521"/>
      <c r="BY521" s="522"/>
      <c r="BZ521" s="522"/>
      <c r="CA521" s="522"/>
      <c r="CB521" s="475"/>
      <c r="CC521" s="473"/>
      <c r="CD521" s="473"/>
      <c r="CE521" s="475"/>
      <c r="CF521" s="475"/>
      <c r="CG521" s="475"/>
      <c r="CH521" s="475"/>
      <c r="CI521" s="473"/>
      <c r="CJ521" s="473"/>
      <c r="CK521" s="475"/>
      <c r="CL521" s="475"/>
      <c r="CM521" s="475"/>
      <c r="CN521" s="360"/>
      <c r="CO521" s="346">
        <v>0.01</v>
      </c>
      <c r="CP521" s="346">
        <f t="shared" ref="CP521:CP570" si="402">BN521</f>
        <v>0</v>
      </c>
      <c r="CW521" s="367"/>
      <c r="CX521" s="366"/>
      <c r="CY521" s="366"/>
      <c r="CZ521" s="367"/>
      <c r="DA521" s="367"/>
      <c r="DB521" s="367"/>
      <c r="DC521" s="366"/>
      <c r="DD521" s="366"/>
      <c r="DE521" s="366"/>
      <c r="DF521" s="366"/>
      <c r="DG521" s="366"/>
      <c r="DH521" s="367"/>
      <c r="DI521" s="132"/>
      <c r="DJ521" s="419"/>
      <c r="DK521" s="419"/>
      <c r="DL521" s="360"/>
    </row>
    <row r="522" spans="61:116" s="344" customFormat="1" hidden="1" x14ac:dyDescent="0.25">
      <c r="BI522" s="345"/>
      <c r="BJ522" s="473"/>
      <c r="BK522" s="473"/>
      <c r="BL522" s="473"/>
      <c r="BM522" s="463"/>
      <c r="BN522" s="463"/>
      <c r="BO522" s="463"/>
      <c r="BP522" s="521"/>
      <c r="BQ522" s="521"/>
      <c r="BR522" s="521"/>
      <c r="BS522" s="521"/>
      <c r="BT522" s="521"/>
      <c r="BU522" s="521"/>
      <c r="BV522" s="522"/>
      <c r="BW522" s="521"/>
      <c r="BX522" s="521"/>
      <c r="BY522" s="522"/>
      <c r="BZ522" s="522"/>
      <c r="CA522" s="522"/>
      <c r="CB522" s="475"/>
      <c r="CC522" s="473"/>
      <c r="CD522" s="473"/>
      <c r="CE522" s="475"/>
      <c r="CF522" s="475"/>
      <c r="CG522" s="475"/>
      <c r="CH522" s="475"/>
      <c r="CI522" s="473"/>
      <c r="CJ522" s="473"/>
      <c r="CK522" s="475"/>
      <c r="CL522" s="475"/>
      <c r="CM522" s="475"/>
      <c r="CN522" s="360"/>
      <c r="CO522" s="346"/>
      <c r="CP522" s="346">
        <f t="shared" si="402"/>
        <v>0</v>
      </c>
      <c r="CW522" s="367"/>
      <c r="CX522" s="366"/>
      <c r="CY522" s="366"/>
      <c r="CZ522" s="367"/>
      <c r="DA522" s="367"/>
      <c r="DB522" s="367"/>
      <c r="DC522" s="366"/>
      <c r="DD522" s="366"/>
      <c r="DE522" s="366"/>
      <c r="DF522" s="366"/>
      <c r="DG522" s="366"/>
      <c r="DH522" s="367"/>
      <c r="DI522" s="132"/>
      <c r="DJ522" s="419"/>
      <c r="DK522" s="419"/>
      <c r="DL522" s="360"/>
    </row>
    <row r="523" spans="61:116" s="344" customFormat="1" hidden="1" x14ac:dyDescent="0.25">
      <c r="BI523" s="345"/>
      <c r="BJ523" s="473"/>
      <c r="BK523" s="473"/>
      <c r="BL523" s="473"/>
      <c r="BM523" s="463"/>
      <c r="BN523" s="463"/>
      <c r="BO523" s="463"/>
      <c r="BP523" s="521"/>
      <c r="BQ523" s="521"/>
      <c r="BR523" s="521"/>
      <c r="BS523" s="521"/>
      <c r="BT523" s="521"/>
      <c r="BU523" s="521"/>
      <c r="BV523" s="522"/>
      <c r="BW523" s="521"/>
      <c r="BX523" s="521"/>
      <c r="BY523" s="522"/>
      <c r="BZ523" s="522"/>
      <c r="CA523" s="522"/>
      <c r="CB523" s="475"/>
      <c r="CC523" s="473"/>
      <c r="CD523" s="473"/>
      <c r="CE523" s="475"/>
      <c r="CF523" s="475"/>
      <c r="CG523" s="475"/>
      <c r="CH523" s="475"/>
      <c r="CI523" s="473"/>
      <c r="CJ523" s="473"/>
      <c r="CK523" s="475"/>
      <c r="CL523" s="475"/>
      <c r="CM523" s="475"/>
      <c r="CN523" s="360"/>
      <c r="CO523" s="346"/>
      <c r="CP523" s="346">
        <f t="shared" si="402"/>
        <v>0</v>
      </c>
      <c r="CW523" s="367"/>
      <c r="CX523" s="366"/>
      <c r="CY523" s="366"/>
      <c r="CZ523" s="367"/>
      <c r="DA523" s="367"/>
      <c r="DB523" s="367"/>
      <c r="DC523" s="366"/>
      <c r="DD523" s="366"/>
      <c r="DE523" s="366"/>
      <c r="DF523" s="366"/>
      <c r="DG523" s="366"/>
      <c r="DH523" s="367"/>
      <c r="DI523" s="132"/>
      <c r="DJ523" s="419"/>
      <c r="DK523" s="419"/>
      <c r="DL523" s="360"/>
    </row>
    <row r="524" spans="61:116" s="344" customFormat="1" hidden="1" x14ac:dyDescent="0.25">
      <c r="BI524" s="345"/>
      <c r="BJ524" s="473"/>
      <c r="BK524" s="473"/>
      <c r="BL524" s="473"/>
      <c r="BM524" s="463"/>
      <c r="BN524" s="463"/>
      <c r="BO524" s="463"/>
      <c r="BP524" s="521"/>
      <c r="BQ524" s="521"/>
      <c r="BR524" s="521"/>
      <c r="BS524" s="521"/>
      <c r="BT524" s="521"/>
      <c r="BU524" s="521"/>
      <c r="BV524" s="522"/>
      <c r="BW524" s="521"/>
      <c r="BX524" s="521"/>
      <c r="BY524" s="522"/>
      <c r="BZ524" s="522"/>
      <c r="CA524" s="522"/>
      <c r="CB524" s="475"/>
      <c r="CC524" s="473"/>
      <c r="CD524" s="473"/>
      <c r="CE524" s="475"/>
      <c r="CF524" s="475"/>
      <c r="CG524" s="475"/>
      <c r="CH524" s="475"/>
      <c r="CI524" s="473"/>
      <c r="CJ524" s="473"/>
      <c r="CK524" s="475"/>
      <c r="CL524" s="475"/>
      <c r="CM524" s="475"/>
      <c r="CN524" s="360"/>
      <c r="CO524" s="346"/>
      <c r="CP524" s="346">
        <f t="shared" si="402"/>
        <v>0</v>
      </c>
      <c r="CW524" s="367"/>
      <c r="CX524" s="366"/>
      <c r="CY524" s="366"/>
      <c r="CZ524" s="367"/>
      <c r="DA524" s="367"/>
      <c r="DB524" s="367"/>
      <c r="DC524" s="366"/>
      <c r="DD524" s="366"/>
      <c r="DE524" s="366"/>
      <c r="DF524" s="366"/>
      <c r="DG524" s="366"/>
      <c r="DH524" s="367"/>
      <c r="DI524" s="132"/>
      <c r="DJ524" s="419"/>
      <c r="DK524" s="419"/>
      <c r="DL524" s="360"/>
    </row>
    <row r="525" spans="61:116" s="344" customFormat="1" hidden="1" x14ac:dyDescent="0.25">
      <c r="BI525" s="345"/>
      <c r="BJ525" s="473"/>
      <c r="BK525" s="473"/>
      <c r="BL525" s="473"/>
      <c r="BM525" s="463"/>
      <c r="BN525" s="463"/>
      <c r="BO525" s="463"/>
      <c r="BP525" s="521"/>
      <c r="BQ525" s="521"/>
      <c r="BR525" s="521"/>
      <c r="BS525" s="521"/>
      <c r="BT525" s="521"/>
      <c r="BU525" s="521"/>
      <c r="BV525" s="522"/>
      <c r="BW525" s="521"/>
      <c r="BX525" s="521"/>
      <c r="BY525" s="522"/>
      <c r="BZ525" s="522"/>
      <c r="CA525" s="522"/>
      <c r="CB525" s="475"/>
      <c r="CC525" s="473"/>
      <c r="CD525" s="473"/>
      <c r="CE525" s="475"/>
      <c r="CF525" s="475"/>
      <c r="CG525" s="475"/>
      <c r="CH525" s="475"/>
      <c r="CI525" s="473"/>
      <c r="CJ525" s="473"/>
      <c r="CK525" s="475"/>
      <c r="CL525" s="475"/>
      <c r="CM525" s="475"/>
      <c r="CN525" s="360"/>
      <c r="CO525" s="346"/>
      <c r="CP525" s="346">
        <f t="shared" si="402"/>
        <v>0</v>
      </c>
      <c r="CW525" s="367"/>
      <c r="CX525" s="366"/>
      <c r="CY525" s="366"/>
      <c r="CZ525" s="367"/>
      <c r="DA525" s="367"/>
      <c r="DB525" s="367"/>
      <c r="DC525" s="366"/>
      <c r="DD525" s="366"/>
      <c r="DE525" s="366"/>
      <c r="DF525" s="366"/>
      <c r="DG525" s="366"/>
      <c r="DH525" s="367"/>
      <c r="DI525" s="132"/>
      <c r="DJ525" s="419"/>
      <c r="DK525" s="419"/>
      <c r="DL525" s="360"/>
    </row>
    <row r="526" spans="61:116" s="344" customFormat="1" hidden="1" x14ac:dyDescent="0.25">
      <c r="BI526" s="345"/>
      <c r="BJ526" s="473"/>
      <c r="BK526" s="473"/>
      <c r="BL526" s="473"/>
      <c r="BM526" s="463"/>
      <c r="BN526" s="463"/>
      <c r="BO526" s="463"/>
      <c r="BP526" s="521"/>
      <c r="BQ526" s="521"/>
      <c r="BR526" s="521"/>
      <c r="BS526" s="521"/>
      <c r="BT526" s="521"/>
      <c r="BU526" s="521"/>
      <c r="BV526" s="522"/>
      <c r="BW526" s="521"/>
      <c r="BX526" s="521"/>
      <c r="BY526" s="522"/>
      <c r="BZ526" s="522"/>
      <c r="CA526" s="522"/>
      <c r="CB526" s="475"/>
      <c r="CC526" s="473"/>
      <c r="CD526" s="473"/>
      <c r="CE526" s="475"/>
      <c r="CF526" s="475"/>
      <c r="CG526" s="475"/>
      <c r="CH526" s="475"/>
      <c r="CI526" s="473"/>
      <c r="CJ526" s="473"/>
      <c r="CK526" s="475"/>
      <c r="CL526" s="475"/>
      <c r="CM526" s="475"/>
      <c r="CN526" s="360"/>
      <c r="CO526" s="346"/>
      <c r="CP526" s="346">
        <f t="shared" si="402"/>
        <v>0</v>
      </c>
      <c r="CW526" s="367"/>
      <c r="CX526" s="366"/>
      <c r="CY526" s="366"/>
      <c r="CZ526" s="367"/>
      <c r="DA526" s="367"/>
      <c r="DB526" s="367"/>
      <c r="DC526" s="366"/>
      <c r="DD526" s="366"/>
      <c r="DE526" s="366"/>
      <c r="DF526" s="366"/>
      <c r="DG526" s="366"/>
      <c r="DH526" s="367"/>
      <c r="DI526" s="132"/>
      <c r="DJ526" s="419"/>
      <c r="DK526" s="419"/>
      <c r="DL526" s="360"/>
    </row>
    <row r="527" spans="61:116" s="344" customFormat="1" hidden="1" x14ac:dyDescent="0.25">
      <c r="BI527" s="345"/>
      <c r="BJ527" s="473"/>
      <c r="BK527" s="473"/>
      <c r="BL527" s="473"/>
      <c r="BM527" s="463"/>
      <c r="BN527" s="463"/>
      <c r="BO527" s="463"/>
      <c r="BP527" s="521"/>
      <c r="BQ527" s="521"/>
      <c r="BR527" s="521"/>
      <c r="BS527" s="521"/>
      <c r="BT527" s="521"/>
      <c r="BU527" s="521"/>
      <c r="BV527" s="522"/>
      <c r="BW527" s="521"/>
      <c r="BX527" s="521"/>
      <c r="BY527" s="522"/>
      <c r="BZ527" s="522"/>
      <c r="CA527" s="522"/>
      <c r="CB527" s="475"/>
      <c r="CC527" s="473"/>
      <c r="CD527" s="473"/>
      <c r="CE527" s="475"/>
      <c r="CF527" s="475"/>
      <c r="CG527" s="475"/>
      <c r="CH527" s="475"/>
      <c r="CI527" s="473"/>
      <c r="CJ527" s="473"/>
      <c r="CK527" s="475"/>
      <c r="CL527" s="475"/>
      <c r="CM527" s="475"/>
      <c r="CN527" s="360"/>
      <c r="CO527" s="346"/>
      <c r="CP527" s="346">
        <f t="shared" si="402"/>
        <v>0</v>
      </c>
      <c r="CW527" s="367"/>
      <c r="CX527" s="366"/>
      <c r="CY527" s="366"/>
      <c r="CZ527" s="367"/>
      <c r="DA527" s="367"/>
      <c r="DB527" s="367"/>
      <c r="DC527" s="366"/>
      <c r="DD527" s="366"/>
      <c r="DE527" s="366"/>
      <c r="DF527" s="366"/>
      <c r="DG527" s="366"/>
      <c r="DH527" s="367"/>
      <c r="DI527" s="132"/>
      <c r="DJ527" s="419"/>
      <c r="DK527" s="419"/>
      <c r="DL527" s="360"/>
    </row>
    <row r="528" spans="61:116" s="344" customFormat="1" ht="15.75" hidden="1" thickBot="1" x14ac:dyDescent="0.3">
      <c r="BI528" s="345"/>
      <c r="BJ528" s="473"/>
      <c r="BK528" s="473"/>
      <c r="BL528" s="473"/>
      <c r="BM528" s="463"/>
      <c r="BN528" s="463"/>
      <c r="BO528" s="463"/>
      <c r="BP528" s="521"/>
      <c r="BQ528" s="521"/>
      <c r="BR528" s="521"/>
      <c r="BS528" s="521"/>
      <c r="BT528" s="521"/>
      <c r="BU528" s="521"/>
      <c r="BV528" s="522"/>
      <c r="BW528" s="521"/>
      <c r="BX528" s="521"/>
      <c r="BY528" s="522"/>
      <c r="BZ528" s="522"/>
      <c r="CA528" s="522"/>
      <c r="CB528" s="475"/>
      <c r="CC528" s="473"/>
      <c r="CD528" s="473"/>
      <c r="CE528" s="475"/>
      <c r="CF528" s="475"/>
      <c r="CG528" s="475"/>
      <c r="CH528" s="475"/>
      <c r="CI528" s="473"/>
      <c r="CJ528" s="473"/>
      <c r="CK528" s="475"/>
      <c r="CL528" s="475"/>
      <c r="CM528" s="475"/>
      <c r="CN528" s="360"/>
      <c r="CO528" s="346"/>
      <c r="CP528" s="346">
        <f t="shared" si="402"/>
        <v>0</v>
      </c>
      <c r="CW528" s="367"/>
      <c r="CX528" s="366"/>
      <c r="CY528" s="366"/>
      <c r="CZ528" s="367"/>
      <c r="DA528" s="367"/>
      <c r="DB528" s="367"/>
      <c r="DC528" s="366"/>
      <c r="DD528" s="366"/>
      <c r="DE528" s="366"/>
      <c r="DF528" s="366"/>
      <c r="DG528" s="366"/>
      <c r="DH528" s="367"/>
      <c r="DI528" s="132"/>
      <c r="DJ528" s="419"/>
      <c r="DK528" s="419"/>
      <c r="DL528" s="360"/>
    </row>
    <row r="529" spans="1:117" s="344" customFormat="1" ht="15.75" hidden="1" thickBot="1" x14ac:dyDescent="0.3">
      <c r="BI529" s="526" t="s">
        <v>205</v>
      </c>
      <c r="BJ529" s="527" t="s">
        <v>206</v>
      </c>
      <c r="BK529" s="473"/>
      <c r="BL529" s="473"/>
      <c r="BM529" s="463"/>
      <c r="BN529" s="463"/>
      <c r="BO529" s="463"/>
      <c r="BP529" s="521"/>
      <c r="BQ529" s="521"/>
      <c r="BR529" s="521"/>
      <c r="BS529" s="521"/>
      <c r="BT529" s="521"/>
      <c r="BU529" s="521"/>
      <c r="BV529" s="522"/>
      <c r="BW529" s="521"/>
      <c r="BX529" s="521"/>
      <c r="BY529" s="522"/>
      <c r="BZ529" s="522"/>
      <c r="CA529" s="522"/>
      <c r="CB529" s="475"/>
      <c r="CC529" s="473"/>
      <c r="CD529" s="473"/>
      <c r="CE529" s="475"/>
      <c r="CF529" s="475"/>
      <c r="CG529" s="475"/>
      <c r="CH529" s="475"/>
      <c r="CI529" s="473"/>
      <c r="CJ529" s="473"/>
      <c r="CK529" s="475"/>
      <c r="CL529" s="475"/>
      <c r="CM529" s="475"/>
      <c r="CN529" s="360"/>
      <c r="CO529" s="346"/>
      <c r="CP529" s="346">
        <f t="shared" si="402"/>
        <v>0</v>
      </c>
      <c r="CW529" s="367"/>
      <c r="CX529" s="366"/>
      <c r="CY529" s="366"/>
      <c r="CZ529" s="367"/>
      <c r="DA529" s="367"/>
      <c r="DB529" s="367"/>
      <c r="DC529" s="366"/>
      <c r="DD529" s="366"/>
      <c r="DE529" s="366"/>
      <c r="DF529" s="366"/>
      <c r="DG529" s="366"/>
      <c r="DH529" s="367"/>
      <c r="DI529" s="132"/>
      <c r="DJ529" s="419"/>
      <c r="DK529" s="419"/>
      <c r="DL529" s="360"/>
    </row>
    <row r="530" spans="1:117" s="344" customFormat="1" ht="15.75" hidden="1" thickBot="1" x14ac:dyDescent="0.3">
      <c r="BI530" s="505">
        <v>0</v>
      </c>
      <c r="BJ530" s="518">
        <v>0</v>
      </c>
      <c r="BK530" s="473"/>
      <c r="BL530" s="473"/>
      <c r="BM530" s="463"/>
      <c r="BN530" s="463"/>
      <c r="BO530" s="463"/>
      <c r="BP530" s="521"/>
      <c r="BQ530" s="521"/>
      <c r="BR530" s="521"/>
      <c r="BS530" s="521"/>
      <c r="BT530" s="521"/>
      <c r="BU530" s="521"/>
      <c r="BV530" s="522"/>
      <c r="BW530" s="521"/>
      <c r="BX530" s="521"/>
      <c r="BY530" s="522"/>
      <c r="BZ530" s="522"/>
      <c r="CA530" s="522"/>
      <c r="CB530" s="475"/>
      <c r="CC530" s="473"/>
      <c r="CD530" s="473"/>
      <c r="CE530" s="475"/>
      <c r="CF530" s="475"/>
      <c r="CG530" s="475"/>
      <c r="CH530" s="475"/>
      <c r="CI530" s="473"/>
      <c r="CJ530" s="473"/>
      <c r="CK530" s="475"/>
      <c r="CL530" s="475"/>
      <c r="CM530" s="475"/>
      <c r="CN530" s="360"/>
      <c r="CO530" s="346"/>
      <c r="CP530" s="346">
        <f t="shared" si="402"/>
        <v>0</v>
      </c>
      <c r="CW530" s="367"/>
      <c r="CX530" s="366"/>
      <c r="CY530" s="366"/>
      <c r="CZ530" s="367"/>
      <c r="DA530" s="367"/>
      <c r="DB530" s="367"/>
      <c r="DC530" s="366"/>
      <c r="DD530" s="366"/>
      <c r="DE530" s="366"/>
      <c r="DF530" s="366"/>
      <c r="DG530" s="366"/>
      <c r="DH530" s="367"/>
      <c r="DI530" s="132"/>
      <c r="DJ530" s="419"/>
      <c r="DK530" s="419"/>
      <c r="DL530" s="360"/>
    </row>
    <row r="531" spans="1:117" s="344" customFormat="1" ht="15.75" hidden="1" thickBot="1" x14ac:dyDescent="0.3">
      <c r="BI531" s="505">
        <v>2</v>
      </c>
      <c r="BJ531" s="518">
        <v>12.71</v>
      </c>
      <c r="BK531" s="473"/>
      <c r="BL531" s="473"/>
      <c r="BM531" s="463"/>
      <c r="BN531" s="463"/>
      <c r="BO531" s="463"/>
      <c r="BP531" s="475"/>
      <c r="BQ531" s="475"/>
      <c r="BR531" s="475"/>
      <c r="BS531" s="475"/>
      <c r="BT531" s="475"/>
      <c r="BU531" s="475"/>
      <c r="BV531" s="475"/>
      <c r="BW531" s="475"/>
      <c r="BX531" s="475"/>
      <c r="BY531" s="475"/>
      <c r="BZ531" s="475"/>
      <c r="CA531" s="475"/>
      <c r="CB531" s="475"/>
      <c r="CC531" s="473"/>
      <c r="CD531" s="473"/>
      <c r="CE531" s="475"/>
      <c r="CF531" s="475"/>
      <c r="CG531" s="475"/>
      <c r="CH531" s="475"/>
      <c r="CI531" s="473"/>
      <c r="CJ531" s="473"/>
      <c r="CK531" s="475"/>
      <c r="CL531" s="475"/>
      <c r="CM531" s="475"/>
      <c r="CN531" s="360"/>
      <c r="CO531" s="346"/>
      <c r="CP531" s="346">
        <f t="shared" si="402"/>
        <v>0</v>
      </c>
      <c r="CW531" s="360"/>
      <c r="CX531" s="360"/>
      <c r="CY531" s="360"/>
      <c r="CZ531" s="360"/>
      <c r="DA531" s="360"/>
      <c r="DB531" s="360"/>
      <c r="DC531" s="360"/>
      <c r="DD531" s="360"/>
      <c r="DE531" s="360"/>
      <c r="DF531" s="360"/>
      <c r="DG531" s="360"/>
      <c r="DH531" s="360"/>
      <c r="DI531" s="360"/>
    </row>
    <row r="532" spans="1:117" s="344" customFormat="1" ht="15.75" hidden="1" thickBot="1" x14ac:dyDescent="0.3">
      <c r="BI532" s="505">
        <v>3</v>
      </c>
      <c r="BJ532" s="518">
        <v>4.3</v>
      </c>
      <c r="BK532" s="473"/>
      <c r="BL532" s="473"/>
      <c r="BM532" s="463"/>
      <c r="BN532" s="463"/>
      <c r="BO532" s="463"/>
      <c r="BP532" s="475"/>
      <c r="BQ532" s="475"/>
      <c r="BR532" s="475"/>
      <c r="BS532" s="475"/>
      <c r="BT532" s="475"/>
      <c r="BU532" s="475"/>
      <c r="BV532" s="475"/>
      <c r="BW532" s="475"/>
      <c r="BX532" s="475"/>
      <c r="BY532" s="475"/>
      <c r="BZ532" s="475"/>
      <c r="CA532" s="475"/>
      <c r="CB532" s="475"/>
      <c r="CC532" s="473"/>
      <c r="CD532" s="473"/>
      <c r="CE532" s="475"/>
      <c r="CF532" s="475"/>
      <c r="CG532" s="475"/>
      <c r="CH532" s="475"/>
      <c r="CI532" s="473"/>
      <c r="CJ532" s="473"/>
      <c r="CK532" s="475"/>
      <c r="CL532" s="475"/>
      <c r="CM532" s="475"/>
      <c r="CN532" s="360"/>
      <c r="CO532" s="346"/>
      <c r="CP532" s="346">
        <f t="shared" si="402"/>
        <v>0</v>
      </c>
      <c r="CW532" s="360"/>
      <c r="CX532" s="360"/>
      <c r="CY532" s="360"/>
      <c r="CZ532" s="360"/>
      <c r="DA532" s="360"/>
      <c r="DB532" s="360"/>
      <c r="DC532" s="360"/>
      <c r="DD532" s="360"/>
      <c r="DE532" s="360"/>
      <c r="DF532" s="360"/>
      <c r="DG532" s="360"/>
      <c r="DH532" s="360"/>
      <c r="DI532" s="360"/>
      <c r="DJ532" s="360"/>
      <c r="DK532" s="360"/>
      <c r="DL532" s="360"/>
    </row>
    <row r="533" spans="1:117" s="344" customFormat="1" ht="15.75" hidden="1" thickBot="1" x14ac:dyDescent="0.3">
      <c r="BI533" s="505">
        <v>4</v>
      </c>
      <c r="BJ533" s="518">
        <v>3.18</v>
      </c>
      <c r="BK533" s="473"/>
      <c r="BL533" s="473"/>
      <c r="BM533" s="463"/>
      <c r="BN533" s="463"/>
      <c r="BO533" s="463"/>
      <c r="BP533" s="473"/>
      <c r="BQ533" s="473"/>
      <c r="BR533" s="473"/>
      <c r="BS533" s="473"/>
      <c r="BT533" s="473"/>
      <c r="BU533" s="473"/>
      <c r="BV533" s="475"/>
      <c r="BW533" s="473"/>
      <c r="BX533" s="473"/>
      <c r="BY533" s="475"/>
      <c r="BZ533" s="475"/>
      <c r="CA533" s="475"/>
      <c r="CB533" s="475"/>
      <c r="CC533" s="473"/>
      <c r="CD533" s="473"/>
      <c r="CE533" s="475"/>
      <c r="CF533" s="475"/>
      <c r="CG533" s="475"/>
      <c r="CH533" s="475"/>
      <c r="CI533" s="473"/>
      <c r="CJ533" s="473"/>
      <c r="CK533" s="475"/>
      <c r="CL533" s="475"/>
      <c r="CM533" s="475"/>
      <c r="CN533" s="360"/>
      <c r="CO533" s="346"/>
      <c r="CP533" s="346">
        <f t="shared" si="402"/>
        <v>0</v>
      </c>
      <c r="CW533" s="360"/>
      <c r="CX533" s="359"/>
      <c r="CY533" s="359"/>
      <c r="CZ533" s="360"/>
      <c r="DA533" s="360"/>
      <c r="DB533" s="360"/>
      <c r="DC533" s="360"/>
      <c r="DD533" s="359"/>
      <c r="DE533" s="359"/>
      <c r="DF533" s="360"/>
      <c r="DG533" s="360"/>
      <c r="DH533" s="360"/>
      <c r="DI533" s="360"/>
      <c r="DJ533" s="360"/>
      <c r="DK533" s="360"/>
      <c r="DM533" s="360"/>
    </row>
    <row r="534" spans="1:117" s="344" customFormat="1" ht="15.75" hidden="1" thickBot="1" x14ac:dyDescent="0.3">
      <c r="BI534" s="505">
        <v>5</v>
      </c>
      <c r="BJ534" s="518">
        <v>2.78</v>
      </c>
      <c r="BK534" s="473"/>
      <c r="BL534" s="473"/>
      <c r="BM534" s="463"/>
      <c r="BN534" s="463"/>
      <c r="BO534" s="463"/>
      <c r="BP534" s="473"/>
      <c r="BQ534" s="473"/>
      <c r="BR534" s="473"/>
      <c r="BS534" s="473"/>
      <c r="BT534" s="473"/>
      <c r="BU534" s="473"/>
      <c r="BV534" s="473"/>
      <c r="BW534" s="473"/>
      <c r="BX534" s="473"/>
      <c r="BY534" s="473"/>
      <c r="BZ534" s="473"/>
      <c r="CA534" s="473"/>
      <c r="CB534" s="475"/>
      <c r="CC534" s="473"/>
      <c r="CD534" s="473"/>
      <c r="CE534" s="475"/>
      <c r="CF534" s="475"/>
      <c r="CG534" s="475"/>
      <c r="CH534" s="475"/>
      <c r="CI534" s="473"/>
      <c r="CJ534" s="473"/>
      <c r="CK534" s="475"/>
      <c r="CL534" s="475"/>
      <c r="CM534" s="475"/>
      <c r="CN534" s="360"/>
      <c r="CO534" s="346"/>
      <c r="CP534" s="346">
        <f t="shared" si="402"/>
        <v>0</v>
      </c>
      <c r="CW534" s="360"/>
      <c r="CX534" s="359"/>
      <c r="CY534" s="359"/>
      <c r="CZ534" s="360"/>
      <c r="DA534" s="360"/>
      <c r="DB534" s="360"/>
      <c r="DC534" s="360"/>
      <c r="DD534" s="359"/>
      <c r="DE534" s="359"/>
      <c r="DF534" s="360"/>
      <c r="DG534" s="360"/>
      <c r="DH534" s="360"/>
      <c r="DI534" s="360"/>
    </row>
    <row r="535" spans="1:117" s="344" customFormat="1" ht="15.75" hidden="1" thickBot="1" x14ac:dyDescent="0.3">
      <c r="BI535" s="505">
        <v>6</v>
      </c>
      <c r="BJ535" s="518">
        <v>2.57</v>
      </c>
      <c r="BK535" s="473"/>
      <c r="BL535" s="473"/>
      <c r="BM535" s="463"/>
      <c r="BN535" s="463"/>
      <c r="BO535" s="463"/>
      <c r="BP535" s="473"/>
      <c r="BQ535" s="473"/>
      <c r="BR535" s="473"/>
      <c r="BS535" s="473"/>
      <c r="BT535" s="473"/>
      <c r="BU535" s="473"/>
      <c r="BV535" s="473"/>
      <c r="BW535" s="473"/>
      <c r="BX535" s="473"/>
      <c r="BY535" s="473"/>
      <c r="BZ535" s="473"/>
      <c r="CA535" s="473"/>
      <c r="CB535" s="475"/>
      <c r="CC535" s="473"/>
      <c r="CD535" s="473"/>
      <c r="CE535" s="475"/>
      <c r="CF535" s="475"/>
      <c r="CG535" s="475"/>
      <c r="CH535" s="475"/>
      <c r="CI535" s="473"/>
      <c r="CJ535" s="473"/>
      <c r="CK535" s="475"/>
      <c r="CL535" s="475"/>
      <c r="CM535" s="475"/>
      <c r="CN535" s="360"/>
      <c r="CO535" s="582"/>
      <c r="CP535" s="346">
        <f t="shared" si="402"/>
        <v>0</v>
      </c>
    </row>
    <row r="536" spans="1:117" s="344" customFormat="1" ht="15.75" hidden="1" thickBot="1" x14ac:dyDescent="0.3">
      <c r="BI536" s="505">
        <v>7</v>
      </c>
      <c r="BJ536" s="518">
        <v>2.4500000000000002</v>
      </c>
      <c r="BK536" s="473"/>
      <c r="BL536" s="473"/>
      <c r="BM536" s="463"/>
      <c r="BN536" s="463"/>
      <c r="BO536" s="463"/>
      <c r="BP536" s="473"/>
      <c r="BQ536" s="473"/>
      <c r="BR536" s="473"/>
      <c r="BS536" s="473"/>
      <c r="BT536" s="473"/>
      <c r="BU536" s="473"/>
      <c r="BV536" s="473"/>
      <c r="BW536" s="473"/>
      <c r="BX536" s="473"/>
      <c r="BY536" s="473"/>
      <c r="BZ536" s="473"/>
      <c r="CA536" s="473"/>
      <c r="CB536" s="475"/>
      <c r="CC536" s="473"/>
      <c r="CD536" s="473"/>
      <c r="CE536" s="475"/>
      <c r="CF536" s="475"/>
      <c r="CG536" s="475"/>
      <c r="CH536" s="475"/>
      <c r="CI536" s="473"/>
      <c r="CJ536" s="473"/>
      <c r="CK536" s="475"/>
      <c r="CL536" s="475"/>
      <c r="CM536" s="475"/>
      <c r="CN536" s="360"/>
      <c r="CO536" s="346"/>
      <c r="CP536" s="346">
        <f t="shared" si="402"/>
        <v>0</v>
      </c>
    </row>
    <row r="537" spans="1:117" s="344" customFormat="1" ht="15.75" hidden="1" thickBot="1" x14ac:dyDescent="0.3">
      <c r="BI537" s="505">
        <v>8</v>
      </c>
      <c r="BJ537" s="518">
        <v>2.36</v>
      </c>
      <c r="BK537" s="473"/>
      <c r="BL537" s="473"/>
      <c r="BM537" s="463"/>
      <c r="BN537" s="463"/>
      <c r="BO537" s="463"/>
      <c r="BP537" s="473"/>
      <c r="BQ537" s="473"/>
      <c r="BR537" s="473"/>
      <c r="BS537" s="473"/>
      <c r="BT537" s="473"/>
      <c r="BU537" s="473"/>
      <c r="BV537" s="473"/>
      <c r="BW537" s="473"/>
      <c r="BX537" s="473"/>
      <c r="BY537" s="473"/>
      <c r="BZ537" s="473"/>
      <c r="CA537" s="473"/>
      <c r="CB537" s="475"/>
      <c r="CC537" s="473"/>
      <c r="CD537" s="473"/>
      <c r="CE537" s="475"/>
      <c r="CF537" s="475"/>
      <c r="CG537" s="475"/>
      <c r="CH537" s="475"/>
      <c r="CI537" s="473"/>
      <c r="CJ537" s="473"/>
      <c r="CK537" s="475"/>
      <c r="CL537" s="475"/>
      <c r="CM537" s="475"/>
      <c r="CN537" s="360"/>
      <c r="CO537" s="346"/>
      <c r="CP537" s="346">
        <f t="shared" si="402"/>
        <v>0</v>
      </c>
    </row>
    <row r="538" spans="1:117" s="344" customFormat="1" ht="15.75" hidden="1" thickBot="1" x14ac:dyDescent="0.3">
      <c r="BI538" s="505">
        <v>9</v>
      </c>
      <c r="BJ538" s="518">
        <v>2.31</v>
      </c>
      <c r="BK538" s="473"/>
      <c r="BL538" s="473"/>
      <c r="BM538" s="463"/>
      <c r="BN538" s="463"/>
      <c r="BO538" s="463"/>
      <c r="BP538" s="473"/>
      <c r="BQ538" s="473"/>
      <c r="BR538" s="473"/>
      <c r="BS538" s="473"/>
      <c r="BT538" s="473"/>
      <c r="BU538" s="473"/>
      <c r="BV538" s="473"/>
      <c r="BW538" s="473"/>
      <c r="BX538" s="473"/>
      <c r="BY538" s="473"/>
      <c r="BZ538" s="473"/>
      <c r="CA538" s="473"/>
      <c r="CB538" s="475"/>
      <c r="CC538" s="473"/>
      <c r="CD538" s="473"/>
      <c r="CE538" s="475"/>
      <c r="CF538" s="475"/>
      <c r="CG538" s="475"/>
      <c r="CH538" s="475"/>
      <c r="CI538" s="473"/>
      <c r="CJ538" s="473"/>
      <c r="CK538" s="475"/>
      <c r="CL538" s="475"/>
      <c r="CM538" s="475"/>
      <c r="CN538" s="360"/>
      <c r="CO538" s="346"/>
      <c r="CP538" s="346">
        <f t="shared" si="402"/>
        <v>0</v>
      </c>
    </row>
    <row r="539" spans="1:117" s="344" customFormat="1" ht="15.75" hidden="1" thickBot="1" x14ac:dyDescent="0.3">
      <c r="BI539" s="505">
        <v>10</v>
      </c>
      <c r="BJ539" s="518">
        <v>2.2599999999999998</v>
      </c>
      <c r="BK539" s="473"/>
      <c r="BL539" s="473"/>
      <c r="BM539" s="463"/>
      <c r="BN539" s="463"/>
      <c r="BO539" s="463"/>
      <c r="BP539" s="473"/>
      <c r="BQ539" s="473"/>
      <c r="BR539" s="473"/>
      <c r="BS539" s="473"/>
      <c r="BT539" s="473"/>
      <c r="BU539" s="473"/>
      <c r="BV539" s="473"/>
      <c r="BW539" s="473"/>
      <c r="BX539" s="473"/>
      <c r="BY539" s="473"/>
      <c r="BZ539" s="473"/>
      <c r="CA539" s="473"/>
      <c r="CB539" s="475"/>
      <c r="CC539" s="473"/>
      <c r="CD539" s="473"/>
      <c r="CE539" s="475"/>
      <c r="CF539" s="475"/>
      <c r="CG539" s="475"/>
      <c r="CH539" s="475"/>
      <c r="CI539" s="473"/>
      <c r="CJ539" s="473"/>
      <c r="CK539" s="475"/>
      <c r="CL539" s="475"/>
      <c r="CM539" s="475"/>
      <c r="CN539" s="360"/>
      <c r="CO539" s="346"/>
      <c r="CP539" s="346">
        <f t="shared" si="402"/>
        <v>0</v>
      </c>
    </row>
    <row r="540" spans="1:117" s="344" customFormat="1" ht="15.75" hidden="1" thickBot="1" x14ac:dyDescent="0.3">
      <c r="BI540" s="505">
        <v>11</v>
      </c>
      <c r="BJ540" s="518">
        <v>2.23</v>
      </c>
      <c r="BK540" s="473"/>
      <c r="BL540" s="473"/>
      <c r="BM540" s="463"/>
      <c r="BN540" s="463"/>
      <c r="BO540" s="463"/>
      <c r="BP540" s="473"/>
      <c r="BQ540" s="473"/>
      <c r="BR540" s="473"/>
      <c r="BS540" s="473"/>
      <c r="BT540" s="473"/>
      <c r="BU540" s="473"/>
      <c r="BV540" s="473"/>
      <c r="BW540" s="473"/>
      <c r="BX540" s="473"/>
      <c r="BY540" s="473"/>
      <c r="BZ540" s="473"/>
      <c r="CA540" s="473"/>
      <c r="CB540" s="475"/>
      <c r="CC540" s="473"/>
      <c r="CD540" s="473"/>
      <c r="CE540" s="475"/>
      <c r="CF540" s="475"/>
      <c r="CG540" s="475"/>
      <c r="CH540" s="475"/>
      <c r="CI540" s="473"/>
      <c r="CJ540" s="473"/>
      <c r="CK540" s="475"/>
      <c r="CL540" s="475"/>
      <c r="CM540" s="475"/>
      <c r="CN540" s="360"/>
      <c r="CO540" s="346"/>
      <c r="CP540" s="346">
        <f t="shared" si="402"/>
        <v>0</v>
      </c>
    </row>
    <row r="541" spans="1:117" s="344" customFormat="1" ht="15.75" hidden="1" thickBot="1" x14ac:dyDescent="0.3">
      <c r="BI541" s="505">
        <v>12</v>
      </c>
      <c r="BJ541" s="518">
        <v>2.2000000000000002</v>
      </c>
      <c r="BK541" s="473"/>
      <c r="BL541" s="473"/>
      <c r="BM541" s="463"/>
      <c r="BN541" s="463"/>
      <c r="BO541" s="463"/>
      <c r="BP541" s="473"/>
      <c r="BQ541" s="473"/>
      <c r="BR541" s="473"/>
      <c r="BS541" s="473"/>
      <c r="BT541" s="473"/>
      <c r="BU541" s="473"/>
      <c r="BV541" s="473"/>
      <c r="BW541" s="473"/>
      <c r="BX541" s="473"/>
      <c r="BY541" s="473"/>
      <c r="BZ541" s="473"/>
      <c r="CA541" s="473"/>
      <c r="CB541" s="475"/>
      <c r="CC541" s="473"/>
      <c r="CD541" s="473"/>
      <c r="CE541" s="475"/>
      <c r="CF541" s="475"/>
      <c r="CG541" s="475"/>
      <c r="CH541" s="475"/>
      <c r="CI541" s="473"/>
      <c r="CJ541" s="473"/>
      <c r="CK541" s="475"/>
      <c r="CL541" s="475"/>
      <c r="CM541" s="475"/>
      <c r="CN541" s="360"/>
      <c r="CO541" s="346"/>
      <c r="CP541" s="346">
        <f t="shared" si="402"/>
        <v>0</v>
      </c>
    </row>
    <row r="542" spans="1:117" s="344" customFormat="1" hidden="1" x14ac:dyDescent="0.25">
      <c r="BI542" s="345"/>
      <c r="BJ542" s="473"/>
      <c r="BK542" s="473"/>
      <c r="BL542" s="473"/>
      <c r="BM542" s="463"/>
      <c r="BN542" s="463"/>
      <c r="BO542" s="463"/>
      <c r="BP542" s="473"/>
      <c r="BQ542" s="473"/>
      <c r="BR542" s="473"/>
      <c r="BS542" s="473"/>
      <c r="BT542" s="473"/>
      <c r="BU542" s="473"/>
      <c r="BV542" s="473"/>
      <c r="BW542" s="473"/>
      <c r="BX542" s="473"/>
      <c r="BY542" s="473"/>
      <c r="BZ542" s="473"/>
      <c r="CA542" s="473"/>
      <c r="CB542" s="475"/>
      <c r="CC542" s="473"/>
      <c r="CD542" s="473"/>
      <c r="CE542" s="475"/>
      <c r="CF542" s="475"/>
      <c r="CG542" s="475"/>
      <c r="CH542" s="475"/>
      <c r="CI542" s="473"/>
      <c r="CJ542" s="473"/>
      <c r="CK542" s="475"/>
      <c r="CL542" s="475"/>
      <c r="CM542" s="475"/>
      <c r="CN542" s="360"/>
      <c r="CO542" s="583"/>
      <c r="CP542" s="346">
        <f t="shared" si="402"/>
        <v>0</v>
      </c>
    </row>
    <row r="543" spans="1:117" s="344" customFormat="1" hidden="1" x14ac:dyDescent="0.25">
      <c r="A543" s="342"/>
      <c r="V543" s="346"/>
      <c r="AA543" s="347"/>
      <c r="AB543" s="347"/>
      <c r="AD543" s="347"/>
      <c r="AE543" s="348"/>
      <c r="AH543" s="349"/>
      <c r="AI543" s="349"/>
      <c r="AK543" s="347"/>
      <c r="AR543" s="347"/>
      <c r="AV543" s="347"/>
      <c r="AX543" s="347"/>
      <c r="BB543" s="347"/>
      <c r="BC543" s="347"/>
      <c r="BE543" s="347"/>
      <c r="BH543" s="342"/>
      <c r="BI543" s="345"/>
      <c r="BJ543" s="473"/>
      <c r="BK543" s="473"/>
      <c r="BL543" s="473"/>
      <c r="BM543" s="463"/>
      <c r="BN543" s="463"/>
      <c r="BO543" s="463"/>
      <c r="BP543" s="473"/>
      <c r="BQ543" s="473"/>
      <c r="BR543" s="473"/>
      <c r="BS543" s="473"/>
      <c r="BT543" s="473"/>
      <c r="BU543" s="473"/>
      <c r="BV543" s="473"/>
      <c r="BW543" s="473"/>
      <c r="BX543" s="473"/>
      <c r="BY543" s="473"/>
      <c r="BZ543" s="473"/>
      <c r="CA543" s="473"/>
      <c r="CB543" s="475"/>
      <c r="CC543" s="473"/>
      <c r="CD543" s="473"/>
      <c r="CE543" s="475"/>
      <c r="CF543" s="475"/>
      <c r="CG543" s="475"/>
      <c r="CH543" s="475"/>
      <c r="CI543" s="473"/>
      <c r="CJ543" s="473"/>
      <c r="CK543" s="475"/>
      <c r="CL543" s="475"/>
      <c r="CM543" s="475"/>
      <c r="CN543" s="360"/>
      <c r="CO543" s="346"/>
      <c r="CP543" s="346">
        <f t="shared" si="402"/>
        <v>0</v>
      </c>
    </row>
    <row r="544" spans="1:117" s="344" customFormat="1" ht="15.75" hidden="1" thickBot="1" x14ac:dyDescent="0.3">
      <c r="A544" s="342"/>
      <c r="V544" s="346"/>
      <c r="AA544" s="347"/>
      <c r="AB544" s="347"/>
      <c r="AD544" s="347"/>
      <c r="AE544" s="348"/>
      <c r="AH544" s="349"/>
      <c r="AI544" s="349"/>
      <c r="AK544" s="347"/>
      <c r="AR544" s="347"/>
      <c r="AV544" s="347"/>
      <c r="AX544" s="347"/>
      <c r="BB544" s="347"/>
      <c r="BC544" s="347"/>
      <c r="BE544" s="347"/>
      <c r="BH544" s="342"/>
      <c r="BI544" s="345"/>
      <c r="BJ544" s="473"/>
      <c r="BK544" s="473"/>
      <c r="BL544" s="473"/>
      <c r="BM544" s="463"/>
      <c r="BN544" s="463"/>
      <c r="BO544" s="463"/>
      <c r="BP544" s="473"/>
      <c r="BQ544" s="473"/>
      <c r="BR544" s="473"/>
      <c r="BS544" s="473"/>
      <c r="BT544" s="473"/>
      <c r="BU544" s="473"/>
      <c r="BV544" s="473"/>
      <c r="BW544" s="473"/>
      <c r="BX544" s="473"/>
      <c r="BY544" s="473"/>
      <c r="BZ544" s="473"/>
      <c r="CA544" s="473"/>
      <c r="CB544" s="475"/>
      <c r="CC544" s="473"/>
      <c r="CD544" s="473"/>
      <c r="CE544" s="475"/>
      <c r="CF544" s="475"/>
      <c r="CG544" s="475"/>
      <c r="CH544" s="475"/>
      <c r="CI544" s="473"/>
      <c r="CJ544" s="473"/>
      <c r="CK544" s="475"/>
      <c r="CL544" s="475"/>
      <c r="CM544" s="475"/>
      <c r="CN544" s="360"/>
      <c r="CO544" s="346"/>
      <c r="CP544" s="346">
        <f t="shared" si="402"/>
        <v>0</v>
      </c>
    </row>
    <row r="545" spans="1:94" s="344" customFormat="1" ht="15.75" hidden="1" thickBot="1" x14ac:dyDescent="0.3">
      <c r="A545" s="342"/>
      <c r="V545" s="346"/>
      <c r="AA545" s="347"/>
      <c r="AB545" s="347"/>
      <c r="AD545" s="347"/>
      <c r="AE545" s="348"/>
      <c r="AH545" s="349"/>
      <c r="AI545" s="349"/>
      <c r="AK545" s="347"/>
      <c r="AR545" s="347"/>
      <c r="AV545" s="347"/>
      <c r="AX545" s="347"/>
      <c r="BB545" s="347"/>
      <c r="BC545" s="347"/>
      <c r="BE545" s="347"/>
      <c r="BH545" s="342"/>
      <c r="BI545" s="526"/>
      <c r="BJ545" s="526" t="s">
        <v>480</v>
      </c>
      <c r="BK545" s="526" t="s">
        <v>481</v>
      </c>
      <c r="BL545" s="526" t="s">
        <v>763</v>
      </c>
      <c r="BM545" s="463"/>
      <c r="BN545" s="463"/>
      <c r="BO545" s="463"/>
      <c r="BP545" s="473"/>
      <c r="BQ545" s="473"/>
      <c r="BR545" s="473"/>
      <c r="BS545" s="473"/>
      <c r="BT545" s="473"/>
      <c r="BU545" s="473"/>
      <c r="BV545" s="473"/>
      <c r="BW545" s="473"/>
      <c r="BX545" s="473"/>
      <c r="BY545" s="473"/>
      <c r="BZ545" s="473"/>
      <c r="CA545" s="473"/>
      <c r="CB545" s="475"/>
      <c r="CC545" s="473"/>
      <c r="CD545" s="473"/>
      <c r="CE545" s="475"/>
      <c r="CF545" s="475"/>
      <c r="CG545" s="475"/>
      <c r="CH545" s="475"/>
      <c r="CI545" s="473"/>
      <c r="CJ545" s="473"/>
      <c r="CK545" s="475"/>
      <c r="CL545" s="475"/>
      <c r="CM545" s="475"/>
      <c r="CN545" s="360"/>
      <c r="CO545" s="346"/>
      <c r="CP545" s="346">
        <f t="shared" si="402"/>
        <v>0</v>
      </c>
    </row>
    <row r="546" spans="1:94" s="344" customFormat="1" ht="25.5" hidden="1" customHeight="1" thickBot="1" x14ac:dyDescent="0.3">
      <c r="A546" s="342"/>
      <c r="V546" s="346"/>
      <c r="AA546" s="347"/>
      <c r="AB546" s="347"/>
      <c r="AD546" s="347"/>
      <c r="AE546" s="348"/>
      <c r="AH546" s="349"/>
      <c r="AI546" s="349"/>
      <c r="AK546" s="347"/>
      <c r="AR546" s="347"/>
      <c r="AV546" s="347"/>
      <c r="AX546" s="347"/>
      <c r="BB546" s="347"/>
      <c r="BC546" s="347"/>
      <c r="BE546" s="347"/>
      <c r="BH546" s="342"/>
      <c r="BI546" s="526" t="s">
        <v>478</v>
      </c>
      <c r="BJ546" s="526" t="s">
        <v>479</v>
      </c>
      <c r="BK546" s="526" t="s">
        <v>479</v>
      </c>
      <c r="BL546" s="526" t="s">
        <v>479</v>
      </c>
      <c r="BM546" s="463"/>
      <c r="BN546" s="463"/>
      <c r="BO546" s="463"/>
      <c r="BP546" s="473"/>
      <c r="BQ546" s="473"/>
      <c r="BR546" s="473"/>
      <c r="BS546" s="473"/>
      <c r="BT546" s="473"/>
      <c r="BU546" s="473"/>
      <c r="BV546" s="473"/>
      <c r="BW546" s="473"/>
      <c r="BX546" s="473"/>
      <c r="BY546" s="473"/>
      <c r="BZ546" s="473"/>
      <c r="CA546" s="473"/>
      <c r="CB546" s="475"/>
      <c r="CC546" s="473"/>
      <c r="CD546" s="473"/>
      <c r="CE546" s="475"/>
      <c r="CF546" s="475"/>
      <c r="CG546" s="475"/>
      <c r="CH546" s="475"/>
      <c r="CI546" s="473"/>
      <c r="CJ546" s="473"/>
      <c r="CK546" s="475"/>
      <c r="CL546" s="475"/>
      <c r="CM546" s="475"/>
      <c r="CN546" s="360"/>
      <c r="CO546" s="346"/>
      <c r="CP546" s="346">
        <f t="shared" si="402"/>
        <v>0</v>
      </c>
    </row>
    <row r="547" spans="1:94" s="344" customFormat="1" ht="15.75" hidden="1" thickBot="1" x14ac:dyDescent="0.3">
      <c r="A547" s="342"/>
      <c r="V547" s="346"/>
      <c r="AA547" s="347"/>
      <c r="AB547" s="347"/>
      <c r="AD547" s="347"/>
      <c r="AE547" s="348"/>
      <c r="AH547" s="349"/>
      <c r="AI547" s="349"/>
      <c r="AK547" s="347"/>
      <c r="AR547" s="347"/>
      <c r="AV547" s="347"/>
      <c r="AX547" s="347"/>
      <c r="BB547" s="347"/>
      <c r="BC547" s="347"/>
      <c r="BE547" s="347"/>
      <c r="BH547" s="342"/>
      <c r="BI547" s="505" t="s">
        <v>310</v>
      </c>
      <c r="BJ547" s="505">
        <v>1</v>
      </c>
      <c r="BK547" s="505">
        <v>1</v>
      </c>
      <c r="BL547" s="505">
        <v>1</v>
      </c>
      <c r="BM547" s="463"/>
      <c r="BN547" s="463"/>
      <c r="BO547" s="463"/>
      <c r="BP547" s="473"/>
      <c r="BQ547" s="473"/>
      <c r="BR547" s="473"/>
      <c r="BS547" s="473"/>
      <c r="BT547" s="473"/>
      <c r="BU547" s="473"/>
      <c r="BV547" s="473"/>
      <c r="BW547" s="473"/>
      <c r="BX547" s="473"/>
      <c r="BY547" s="473"/>
      <c r="BZ547" s="473"/>
      <c r="CA547" s="473"/>
      <c r="CB547" s="475"/>
      <c r="CC547" s="473"/>
      <c r="CD547" s="473"/>
      <c r="CE547" s="475"/>
      <c r="CF547" s="475"/>
      <c r="CG547" s="475"/>
      <c r="CH547" s="475"/>
      <c r="CI547" s="473"/>
      <c r="CJ547" s="473"/>
      <c r="CK547" s="475"/>
      <c r="CL547" s="475"/>
      <c r="CM547" s="475"/>
      <c r="CN547" s="360"/>
      <c r="CO547" s="346"/>
      <c r="CP547" s="346">
        <f t="shared" si="402"/>
        <v>0</v>
      </c>
    </row>
    <row r="548" spans="1:94" s="344" customFormat="1" ht="15.75" hidden="1" thickBot="1" x14ac:dyDescent="0.3">
      <c r="A548" s="342"/>
      <c r="V548" s="346"/>
      <c r="AA548" s="347"/>
      <c r="AB548" s="347"/>
      <c r="AD548" s="347"/>
      <c r="AE548" s="348"/>
      <c r="AH548" s="349"/>
      <c r="AI548" s="349"/>
      <c r="AK548" s="347"/>
      <c r="AR548" s="347"/>
      <c r="AV548" s="347"/>
      <c r="AX548" s="347"/>
      <c r="BB548" s="347"/>
      <c r="BC548" s="347"/>
      <c r="BE548" s="347"/>
      <c r="BH548" s="342"/>
      <c r="BI548" s="505" t="s">
        <v>195</v>
      </c>
      <c r="BJ548" s="505">
        <v>28</v>
      </c>
      <c r="BK548" s="505">
        <v>25</v>
      </c>
      <c r="BL548" s="505">
        <v>21</v>
      </c>
      <c r="BM548" s="463"/>
      <c r="BN548" s="463"/>
      <c r="BO548" s="463"/>
      <c r="BP548" s="473"/>
      <c r="BQ548" s="473"/>
      <c r="BR548" s="473"/>
      <c r="BS548" s="473"/>
      <c r="BT548" s="473"/>
      <c r="BU548" s="473"/>
      <c r="BV548" s="473"/>
      <c r="BW548" s="473"/>
      <c r="BX548" s="473"/>
      <c r="BY548" s="473"/>
      <c r="BZ548" s="473"/>
      <c r="CA548" s="473"/>
      <c r="CB548" s="475"/>
      <c r="CC548" s="473"/>
      <c r="CD548" s="473"/>
      <c r="CE548" s="475"/>
      <c r="CF548" s="475"/>
      <c r="CG548" s="475"/>
      <c r="CH548" s="475"/>
      <c r="CI548" s="473"/>
      <c r="CJ548" s="473"/>
      <c r="CK548" s="475"/>
      <c r="CL548" s="475"/>
      <c r="CM548" s="475"/>
      <c r="CN548" s="360"/>
      <c r="CO548" s="346"/>
      <c r="CP548" s="346">
        <f t="shared" si="402"/>
        <v>0</v>
      </c>
    </row>
    <row r="549" spans="1:94" s="344" customFormat="1" ht="15.75" hidden="1" thickBot="1" x14ac:dyDescent="0.3">
      <c r="A549" s="342"/>
      <c r="V549" s="346"/>
      <c r="AA549" s="347"/>
      <c r="AB549" s="347"/>
      <c r="AD549" s="347"/>
      <c r="AE549" s="348"/>
      <c r="AH549" s="349"/>
      <c r="AI549" s="349"/>
      <c r="AK549" s="347"/>
      <c r="AR549" s="347"/>
      <c r="AV549" s="347"/>
      <c r="AX549" s="347"/>
      <c r="BB549" s="347"/>
      <c r="BC549" s="347"/>
      <c r="BE549" s="347"/>
      <c r="BH549" s="342"/>
      <c r="BI549" s="505" t="s">
        <v>199</v>
      </c>
      <c r="BJ549" s="505">
        <v>265</v>
      </c>
      <c r="BK549" s="505">
        <v>298</v>
      </c>
      <c r="BL549" s="505">
        <v>310</v>
      </c>
      <c r="BM549" s="463"/>
      <c r="BN549" s="463"/>
      <c r="BO549" s="463"/>
      <c r="BP549" s="473"/>
      <c r="BQ549" s="473"/>
      <c r="BR549" s="473"/>
      <c r="BS549" s="473"/>
      <c r="BT549" s="473"/>
      <c r="BU549" s="473"/>
      <c r="BV549" s="473"/>
      <c r="BW549" s="473"/>
      <c r="BX549" s="473"/>
      <c r="BY549" s="473"/>
      <c r="BZ549" s="473"/>
      <c r="CA549" s="473"/>
      <c r="CB549" s="475"/>
      <c r="CC549" s="473"/>
      <c r="CD549" s="473"/>
      <c r="CE549" s="475"/>
      <c r="CF549" s="475"/>
      <c r="CG549" s="475"/>
      <c r="CH549" s="475"/>
      <c r="CI549" s="473"/>
      <c r="CJ549" s="473"/>
      <c r="CK549" s="475"/>
      <c r="CL549" s="475"/>
      <c r="CM549" s="475"/>
      <c r="CN549" s="360"/>
      <c r="CO549" s="346"/>
      <c r="CP549" s="346">
        <f t="shared" si="402"/>
        <v>0</v>
      </c>
    </row>
    <row r="550" spans="1:94" s="344" customFormat="1" ht="15.75" hidden="1" thickBot="1" x14ac:dyDescent="0.3">
      <c r="A550" s="342"/>
      <c r="V550" s="346"/>
      <c r="AA550" s="347"/>
      <c r="AB550" s="347"/>
      <c r="AD550" s="347"/>
      <c r="AE550" s="348"/>
      <c r="AH550" s="349"/>
      <c r="AI550" s="349"/>
      <c r="AK550" s="347"/>
      <c r="AR550" s="347"/>
      <c r="AV550" s="347"/>
      <c r="AX550" s="347"/>
      <c r="BB550" s="347"/>
      <c r="BC550" s="347"/>
      <c r="BE550" s="347"/>
      <c r="BH550" s="342"/>
      <c r="BI550" s="505" t="s">
        <v>76</v>
      </c>
      <c r="BJ550" s="505">
        <v>23500</v>
      </c>
      <c r="BK550" s="505">
        <v>22800</v>
      </c>
      <c r="BL550" s="505"/>
      <c r="BM550" s="463"/>
      <c r="BN550" s="463"/>
      <c r="BO550" s="463"/>
      <c r="BP550" s="473"/>
      <c r="BQ550" s="473"/>
      <c r="BR550" s="473"/>
      <c r="BS550" s="473"/>
      <c r="BT550" s="473"/>
      <c r="BU550" s="473"/>
      <c r="BV550" s="473"/>
      <c r="BW550" s="473"/>
      <c r="BX550" s="473"/>
      <c r="BY550" s="473"/>
      <c r="BZ550" s="473"/>
      <c r="CA550" s="473"/>
      <c r="CB550" s="475"/>
      <c r="CC550" s="473"/>
      <c r="CD550" s="473"/>
      <c r="CE550" s="475"/>
      <c r="CF550" s="475"/>
      <c r="CG550" s="475"/>
      <c r="CH550" s="475"/>
      <c r="CI550" s="473"/>
      <c r="CJ550" s="473"/>
      <c r="CK550" s="475"/>
      <c r="CL550" s="475"/>
      <c r="CM550" s="475"/>
      <c r="CN550" s="360"/>
      <c r="CO550" s="346"/>
      <c r="CP550" s="346">
        <f t="shared" si="402"/>
        <v>0</v>
      </c>
    </row>
    <row r="551" spans="1:94" s="344" customFormat="1" ht="15.75" hidden="1" thickBot="1" x14ac:dyDescent="0.3">
      <c r="A551" s="342"/>
      <c r="V551" s="346"/>
      <c r="AA551" s="347"/>
      <c r="AB551" s="347"/>
      <c r="AD551" s="347"/>
      <c r="AE551" s="348"/>
      <c r="AH551" s="349"/>
      <c r="AI551" s="349"/>
      <c r="AK551" s="347"/>
      <c r="AR551" s="347"/>
      <c r="AV551" s="347"/>
      <c r="AX551" s="347"/>
      <c r="BB551" s="347"/>
      <c r="BC551" s="347"/>
      <c r="BE551" s="347"/>
      <c r="BH551" s="342"/>
      <c r="BI551" s="505" t="s">
        <v>484</v>
      </c>
      <c r="BJ551" s="505">
        <v>16100</v>
      </c>
      <c r="BK551" s="505">
        <v>17200</v>
      </c>
      <c r="BL551" s="505" t="s">
        <v>485</v>
      </c>
      <c r="BM551" s="463"/>
      <c r="BN551" s="463"/>
      <c r="BO551" s="463"/>
      <c r="BP551" s="473"/>
      <c r="BQ551" s="473"/>
      <c r="BR551" s="473"/>
      <c r="BS551" s="473"/>
      <c r="BT551" s="473"/>
      <c r="BU551" s="473"/>
      <c r="BV551" s="473"/>
      <c r="BW551" s="473"/>
      <c r="BX551" s="473"/>
      <c r="BY551" s="473"/>
      <c r="BZ551" s="473"/>
      <c r="CA551" s="473"/>
      <c r="CB551" s="475"/>
      <c r="CC551" s="473"/>
      <c r="CD551" s="473"/>
      <c r="CE551" s="475"/>
      <c r="CF551" s="475"/>
      <c r="CG551" s="475"/>
      <c r="CH551" s="475"/>
      <c r="CI551" s="473"/>
      <c r="CJ551" s="473"/>
      <c r="CK551" s="475"/>
      <c r="CL551" s="475"/>
      <c r="CM551" s="475"/>
      <c r="CN551" s="360"/>
      <c r="CO551" s="346"/>
      <c r="CP551" s="346">
        <f t="shared" si="402"/>
        <v>0</v>
      </c>
    </row>
    <row r="552" spans="1:94" s="344" customFormat="1" ht="15.75" hidden="1" thickBot="1" x14ac:dyDescent="0.3">
      <c r="A552" s="342"/>
      <c r="V552" s="346"/>
      <c r="AA552" s="347"/>
      <c r="AB552" s="347"/>
      <c r="AD552" s="347"/>
      <c r="AE552" s="348"/>
      <c r="AH552" s="349"/>
      <c r="AI552" s="349"/>
      <c r="AK552" s="347"/>
      <c r="AR552" s="347"/>
      <c r="AV552" s="347"/>
      <c r="AX552" s="347"/>
      <c r="BB552" s="347"/>
      <c r="BC552" s="347"/>
      <c r="BE552" s="347"/>
      <c r="BH552" s="342"/>
      <c r="BI552" s="505"/>
      <c r="BJ552" s="505"/>
      <c r="BK552" s="505"/>
      <c r="BL552" s="505"/>
      <c r="BM552" s="463"/>
      <c r="BN552" s="463"/>
      <c r="BO552" s="463"/>
      <c r="BP552" s="473"/>
      <c r="BQ552" s="473"/>
      <c r="BR552" s="473"/>
      <c r="BS552" s="473"/>
      <c r="BT552" s="473"/>
      <c r="BU552" s="473"/>
      <c r="BV552" s="473"/>
      <c r="BW552" s="473"/>
      <c r="BX552" s="473"/>
      <c r="BY552" s="473"/>
      <c r="BZ552" s="473"/>
      <c r="CA552" s="473"/>
      <c r="CB552" s="475"/>
      <c r="CC552" s="473"/>
      <c r="CD552" s="473"/>
      <c r="CE552" s="475"/>
      <c r="CF552" s="475"/>
      <c r="CG552" s="475"/>
      <c r="CH552" s="475"/>
      <c r="CI552" s="473"/>
      <c r="CJ552" s="473"/>
      <c r="CK552" s="475"/>
      <c r="CL552" s="475"/>
      <c r="CM552" s="475"/>
      <c r="CN552" s="360"/>
      <c r="CO552" s="346"/>
      <c r="CP552" s="346">
        <f t="shared" si="402"/>
        <v>0</v>
      </c>
    </row>
    <row r="553" spans="1:94" s="344" customFormat="1" ht="15.75" hidden="1" thickBot="1" x14ac:dyDescent="0.3">
      <c r="A553" s="342"/>
      <c r="V553" s="346"/>
      <c r="AA553" s="347"/>
      <c r="AB553" s="347"/>
      <c r="AD553" s="347"/>
      <c r="AE553" s="348"/>
      <c r="AH553" s="349"/>
      <c r="AI553" s="349"/>
      <c r="AK553" s="347"/>
      <c r="AR553" s="347"/>
      <c r="AV553" s="347"/>
      <c r="AX553" s="347"/>
      <c r="BB553" s="347"/>
      <c r="BC553" s="347"/>
      <c r="BE553" s="347"/>
      <c r="BH553" s="342"/>
      <c r="BI553" s="505"/>
      <c r="BJ553" s="505"/>
      <c r="BK553" s="505"/>
      <c r="BL553" s="505"/>
      <c r="BM553" s="463"/>
      <c r="BN553" s="463"/>
      <c r="BO553" s="463"/>
      <c r="BP553" s="473"/>
      <c r="BQ553" s="473"/>
      <c r="BR553" s="473"/>
      <c r="BS553" s="473"/>
      <c r="BT553" s="473"/>
      <c r="BU553" s="473"/>
      <c r="BV553" s="473"/>
      <c r="BW553" s="473"/>
      <c r="BX553" s="473"/>
      <c r="BY553" s="473"/>
      <c r="BZ553" s="473"/>
      <c r="CA553" s="473"/>
      <c r="CB553" s="475"/>
      <c r="CC553" s="473"/>
      <c r="CD553" s="473"/>
      <c r="CE553" s="475"/>
      <c r="CF553" s="475"/>
      <c r="CG553" s="475"/>
      <c r="CH553" s="475"/>
      <c r="CI553" s="473"/>
      <c r="CJ553" s="473"/>
      <c r="CK553" s="475"/>
      <c r="CL553" s="475"/>
      <c r="CM553" s="475"/>
      <c r="CN553" s="360"/>
      <c r="CO553" s="346"/>
      <c r="CP553" s="346">
        <f t="shared" si="402"/>
        <v>0</v>
      </c>
    </row>
    <row r="554" spans="1:94" s="344" customFormat="1" ht="15.75" hidden="1" thickBot="1" x14ac:dyDescent="0.3">
      <c r="A554" s="342"/>
      <c r="V554" s="346"/>
      <c r="AA554" s="347"/>
      <c r="AB554" s="347"/>
      <c r="AD554" s="347"/>
      <c r="AE554" s="348"/>
      <c r="AH554" s="349"/>
      <c r="AI554" s="349"/>
      <c r="AK554" s="347"/>
      <c r="AR554" s="347"/>
      <c r="AV554" s="347"/>
      <c r="AX554" s="347"/>
      <c r="BB554" s="347"/>
      <c r="BC554" s="347"/>
      <c r="BE554" s="347"/>
      <c r="BH554" s="342"/>
      <c r="BI554" s="505"/>
      <c r="BJ554" s="505"/>
      <c r="BK554" s="505"/>
      <c r="BL554" s="505"/>
      <c r="BM554" s="463"/>
      <c r="BN554" s="463"/>
      <c r="BO554" s="463"/>
      <c r="BP554" s="473"/>
      <c r="BQ554" s="473"/>
      <c r="BR554" s="473"/>
      <c r="BS554" s="473"/>
      <c r="BT554" s="473"/>
      <c r="BU554" s="473"/>
      <c r="BV554" s="473"/>
      <c r="BW554" s="473"/>
      <c r="BX554" s="473"/>
      <c r="BY554" s="473"/>
      <c r="BZ554" s="473"/>
      <c r="CA554" s="473"/>
      <c r="CB554" s="475"/>
      <c r="CC554" s="473"/>
      <c r="CD554" s="473"/>
      <c r="CE554" s="475"/>
      <c r="CF554" s="475"/>
      <c r="CG554" s="475"/>
      <c r="CH554" s="475"/>
      <c r="CI554" s="473"/>
      <c r="CJ554" s="473"/>
      <c r="CK554" s="475"/>
      <c r="CL554" s="475"/>
      <c r="CM554" s="475"/>
      <c r="CN554" s="360"/>
      <c r="CO554" s="346"/>
      <c r="CP554" s="346">
        <f t="shared" si="402"/>
        <v>0</v>
      </c>
    </row>
    <row r="555" spans="1:94" s="344" customFormat="1" hidden="1" x14ac:dyDescent="0.25">
      <c r="A555" s="342"/>
      <c r="V555" s="346"/>
      <c r="AA555" s="347"/>
      <c r="AB555" s="347"/>
      <c r="AD555" s="347"/>
      <c r="AE555" s="348"/>
      <c r="AH555" s="349"/>
      <c r="AI555" s="349"/>
      <c r="AK555" s="347"/>
      <c r="AR555" s="347"/>
      <c r="AV555" s="347"/>
      <c r="AX555" s="347"/>
      <c r="BB555" s="347"/>
      <c r="BC555" s="347"/>
      <c r="BE555" s="347"/>
      <c r="BH555" s="342"/>
      <c r="BI555" s="345"/>
      <c r="BJ555" s="473"/>
      <c r="BK555" s="473"/>
      <c r="BL555" s="473"/>
      <c r="BM555" s="463"/>
      <c r="BN555" s="463"/>
      <c r="BO555" s="463"/>
      <c r="BP555" s="473"/>
      <c r="BQ555" s="473"/>
      <c r="BR555" s="473"/>
      <c r="BS555" s="473"/>
      <c r="BT555" s="473"/>
      <c r="BU555" s="473"/>
      <c r="BV555" s="473"/>
      <c r="BW555" s="473"/>
      <c r="BX555" s="473"/>
      <c r="BY555" s="473"/>
      <c r="BZ555" s="473"/>
      <c r="CA555" s="473"/>
      <c r="CB555" s="475"/>
      <c r="CC555" s="473"/>
      <c r="CD555" s="473"/>
      <c r="CE555" s="475"/>
      <c r="CF555" s="475"/>
      <c r="CG555" s="475"/>
      <c r="CH555" s="475"/>
      <c r="CI555" s="473"/>
      <c r="CJ555" s="473"/>
      <c r="CK555" s="475"/>
      <c r="CL555" s="475"/>
      <c r="CM555" s="475"/>
      <c r="CN555" s="360"/>
      <c r="CO555" s="346"/>
      <c r="CP555" s="346">
        <f t="shared" si="402"/>
        <v>0</v>
      </c>
    </row>
    <row r="556" spans="1:94" s="344" customFormat="1" hidden="1" x14ac:dyDescent="0.25">
      <c r="A556" s="342"/>
      <c r="V556" s="346"/>
      <c r="AA556" s="347"/>
      <c r="AB556" s="347"/>
      <c r="AD556" s="347"/>
      <c r="AE556" s="348"/>
      <c r="AH556" s="349"/>
      <c r="AI556" s="349"/>
      <c r="AK556" s="347"/>
      <c r="AR556" s="347"/>
      <c r="AV556" s="347"/>
      <c r="AX556" s="347"/>
      <c r="BB556" s="347"/>
      <c r="BC556" s="347"/>
      <c r="BE556" s="347"/>
      <c r="BH556" s="342"/>
      <c r="BI556" s="345"/>
      <c r="BJ556" s="473"/>
      <c r="BK556" s="473"/>
      <c r="BL556" s="473"/>
      <c r="BM556" s="463"/>
      <c r="BN556" s="463"/>
      <c r="BO556" s="463"/>
      <c r="BP556" s="473"/>
      <c r="BQ556" s="473"/>
      <c r="BR556" s="473"/>
      <c r="BS556" s="473"/>
      <c r="BT556" s="473"/>
      <c r="BU556" s="473"/>
      <c r="BV556" s="473"/>
      <c r="BW556" s="473"/>
      <c r="BX556" s="473"/>
      <c r="BY556" s="473"/>
      <c r="BZ556" s="473"/>
      <c r="CA556" s="473"/>
      <c r="CB556" s="475"/>
      <c r="CC556" s="473"/>
      <c r="CD556" s="473"/>
      <c r="CE556" s="475"/>
      <c r="CF556" s="475"/>
      <c r="CG556" s="475"/>
      <c r="CH556" s="475"/>
      <c r="CI556" s="473"/>
      <c r="CJ556" s="473"/>
      <c r="CK556" s="475"/>
      <c r="CL556" s="475"/>
      <c r="CM556" s="475"/>
      <c r="CN556" s="360"/>
      <c r="CO556" s="346"/>
      <c r="CP556" s="346">
        <f t="shared" si="402"/>
        <v>0</v>
      </c>
    </row>
    <row r="557" spans="1:94" s="344" customFormat="1" hidden="1" x14ac:dyDescent="0.25">
      <c r="A557" s="342"/>
      <c r="V557" s="346"/>
      <c r="AA557" s="347"/>
      <c r="AB557" s="347"/>
      <c r="AD557" s="347"/>
      <c r="AE557" s="348"/>
      <c r="AH557" s="349"/>
      <c r="AI557" s="349"/>
      <c r="AK557" s="347"/>
      <c r="AR557" s="347"/>
      <c r="AV557" s="347"/>
      <c r="AX557" s="347"/>
      <c r="BB557" s="347"/>
      <c r="BC557" s="347"/>
      <c r="BE557" s="347"/>
      <c r="BH557" s="342"/>
      <c r="BI557" s="345"/>
      <c r="BJ557" s="473"/>
      <c r="BK557" s="473"/>
      <c r="BL557" s="473"/>
      <c r="BM557" s="463"/>
      <c r="BN557" s="463"/>
      <c r="BO557" s="463"/>
      <c r="BP557" s="473"/>
      <c r="BQ557" s="473"/>
      <c r="BR557" s="473"/>
      <c r="BS557" s="473"/>
      <c r="BT557" s="473"/>
      <c r="BU557" s="473"/>
      <c r="BV557" s="473"/>
      <c r="BW557" s="473"/>
      <c r="BX557" s="473"/>
      <c r="BY557" s="473"/>
      <c r="BZ557" s="473"/>
      <c r="CA557" s="473"/>
      <c r="CB557" s="475"/>
      <c r="CC557" s="473"/>
      <c r="CD557" s="473"/>
      <c r="CE557" s="475"/>
      <c r="CF557" s="475"/>
      <c r="CG557" s="475"/>
      <c r="CH557" s="475"/>
      <c r="CI557" s="473"/>
      <c r="CJ557" s="473"/>
      <c r="CK557" s="475"/>
      <c r="CL557" s="475"/>
      <c r="CM557" s="475"/>
      <c r="CN557" s="360"/>
      <c r="CO557" s="346"/>
      <c r="CP557" s="346">
        <f t="shared" si="402"/>
        <v>0</v>
      </c>
    </row>
    <row r="558" spans="1:94" s="344" customFormat="1" hidden="1" x14ac:dyDescent="0.25">
      <c r="A558" s="342"/>
      <c r="V558" s="346"/>
      <c r="AA558" s="347"/>
      <c r="AB558" s="347"/>
      <c r="AD558" s="347"/>
      <c r="AE558" s="348"/>
      <c r="AH558" s="349"/>
      <c r="AI558" s="349"/>
      <c r="AK558" s="347"/>
      <c r="AR558" s="347"/>
      <c r="AV558" s="347"/>
      <c r="AX558" s="347"/>
      <c r="BB558" s="347"/>
      <c r="BC558" s="347"/>
      <c r="BE558" s="347"/>
      <c r="BH558" s="342"/>
      <c r="BI558" s="345"/>
      <c r="BJ558" s="473"/>
      <c r="BK558" s="473"/>
      <c r="BL558" s="473"/>
      <c r="BM558" s="463"/>
      <c r="BN558" s="463"/>
      <c r="BO558" s="463"/>
      <c r="BP558" s="473"/>
      <c r="BQ558" s="473"/>
      <c r="BR558" s="473"/>
      <c r="BS558" s="473"/>
      <c r="BT558" s="473"/>
      <c r="BU558" s="473"/>
      <c r="BV558" s="473"/>
      <c r="BW558" s="473"/>
      <c r="BX558" s="473"/>
      <c r="BY558" s="473"/>
      <c r="BZ558" s="473"/>
      <c r="CA558" s="473"/>
      <c r="CB558" s="475"/>
      <c r="CC558" s="473"/>
      <c r="CD558" s="473"/>
      <c r="CE558" s="475"/>
      <c r="CF558" s="475"/>
      <c r="CG558" s="475"/>
      <c r="CH558" s="475"/>
      <c r="CI558" s="473"/>
      <c r="CJ558" s="473"/>
      <c r="CK558" s="475"/>
      <c r="CL558" s="475"/>
      <c r="CM558" s="475"/>
      <c r="CN558" s="360"/>
      <c r="CO558" s="346"/>
      <c r="CP558" s="346">
        <f t="shared" si="402"/>
        <v>0</v>
      </c>
    </row>
    <row r="559" spans="1:94" s="344" customFormat="1" hidden="1" x14ac:dyDescent="0.25">
      <c r="A559" s="342"/>
      <c r="V559" s="346"/>
      <c r="AA559" s="347"/>
      <c r="AB559" s="347"/>
      <c r="AD559" s="347"/>
      <c r="AE559" s="348"/>
      <c r="AH559" s="349"/>
      <c r="AI559" s="349"/>
      <c r="AK559" s="347"/>
      <c r="AR559" s="347"/>
      <c r="AV559" s="347"/>
      <c r="AX559" s="347"/>
      <c r="BB559" s="347"/>
      <c r="BC559" s="347"/>
      <c r="BE559" s="347"/>
      <c r="BH559" s="342"/>
      <c r="BI559" s="345"/>
      <c r="BJ559" s="473"/>
      <c r="BK559" s="473"/>
      <c r="BL559" s="473"/>
      <c r="BM559" s="463"/>
      <c r="BN559" s="463"/>
      <c r="BO559" s="463"/>
      <c r="BP559" s="473"/>
      <c r="BQ559" s="473"/>
      <c r="BR559" s="473"/>
      <c r="BS559" s="473"/>
      <c r="BT559" s="473"/>
      <c r="BU559" s="473"/>
      <c r="BV559" s="473"/>
      <c r="BW559" s="473"/>
      <c r="BX559" s="473"/>
      <c r="BY559" s="473"/>
      <c r="BZ559" s="473"/>
      <c r="CA559" s="473"/>
      <c r="CB559" s="475"/>
      <c r="CC559" s="473"/>
      <c r="CD559" s="473"/>
      <c r="CE559" s="475"/>
      <c r="CF559" s="475"/>
      <c r="CG559" s="475"/>
      <c r="CH559" s="475"/>
      <c r="CI559" s="473"/>
      <c r="CJ559" s="473"/>
      <c r="CK559" s="475"/>
      <c r="CL559" s="475"/>
      <c r="CM559" s="475"/>
      <c r="CN559" s="360"/>
      <c r="CO559" s="346"/>
      <c r="CP559" s="346">
        <f t="shared" si="402"/>
        <v>0</v>
      </c>
    </row>
    <row r="560" spans="1:94" s="344" customFormat="1" hidden="1" x14ac:dyDescent="0.25">
      <c r="A560" s="342"/>
      <c r="V560" s="346"/>
      <c r="AA560" s="347"/>
      <c r="AB560" s="347"/>
      <c r="AD560" s="347"/>
      <c r="AE560" s="348"/>
      <c r="AH560" s="349"/>
      <c r="AI560" s="349"/>
      <c r="AK560" s="347"/>
      <c r="AR560" s="347"/>
      <c r="AV560" s="347"/>
      <c r="AX560" s="347"/>
      <c r="BB560" s="347"/>
      <c r="BC560" s="347"/>
      <c r="BE560" s="347"/>
      <c r="BH560" s="342"/>
      <c r="BI560" s="345"/>
      <c r="BJ560" s="473"/>
      <c r="BK560" s="473"/>
      <c r="BL560" s="473"/>
      <c r="BM560" s="463"/>
      <c r="BN560" s="463"/>
      <c r="BO560" s="463"/>
      <c r="BP560" s="473"/>
      <c r="BQ560" s="473"/>
      <c r="BR560" s="473"/>
      <c r="BS560" s="473"/>
      <c r="BT560" s="473"/>
      <c r="BU560" s="473"/>
      <c r="BV560" s="473"/>
      <c r="BW560" s="473"/>
      <c r="BX560" s="473"/>
      <c r="BY560" s="473"/>
      <c r="BZ560" s="473"/>
      <c r="CA560" s="473"/>
      <c r="CB560" s="475"/>
      <c r="CC560" s="473"/>
      <c r="CD560" s="473"/>
      <c r="CE560" s="475"/>
      <c r="CF560" s="475"/>
      <c r="CG560" s="475"/>
      <c r="CH560" s="475"/>
      <c r="CI560" s="473"/>
      <c r="CJ560" s="473"/>
      <c r="CK560" s="475"/>
      <c r="CL560" s="475"/>
      <c r="CM560" s="475"/>
      <c r="CN560" s="360"/>
      <c r="CO560" s="346"/>
      <c r="CP560" s="346">
        <f t="shared" si="402"/>
        <v>0</v>
      </c>
    </row>
    <row r="561" spans="1:94" s="344" customFormat="1" hidden="1" x14ac:dyDescent="0.25">
      <c r="A561" s="342"/>
      <c r="V561" s="346"/>
      <c r="AA561" s="347"/>
      <c r="AB561" s="347"/>
      <c r="AD561" s="347"/>
      <c r="AE561" s="348"/>
      <c r="AH561" s="349"/>
      <c r="AI561" s="349"/>
      <c r="AK561" s="347"/>
      <c r="AR561" s="347"/>
      <c r="AV561" s="347"/>
      <c r="AX561" s="347"/>
      <c r="BB561" s="347"/>
      <c r="BC561" s="347"/>
      <c r="BE561" s="347"/>
      <c r="BH561" s="342"/>
      <c r="BI561" s="345"/>
      <c r="BJ561" s="473"/>
      <c r="BK561" s="473"/>
      <c r="BL561" s="473"/>
      <c r="BM561" s="463"/>
      <c r="BN561" s="463"/>
      <c r="BO561" s="463"/>
      <c r="BP561" s="473"/>
      <c r="BQ561" s="473"/>
      <c r="BR561" s="473"/>
      <c r="BS561" s="473"/>
      <c r="BT561" s="473"/>
      <c r="BU561" s="473"/>
      <c r="BV561" s="473"/>
      <c r="BW561" s="473"/>
      <c r="BX561" s="473"/>
      <c r="BY561" s="473"/>
      <c r="BZ561" s="473"/>
      <c r="CA561" s="473"/>
      <c r="CB561" s="475"/>
      <c r="CC561" s="473"/>
      <c r="CD561" s="473"/>
      <c r="CE561" s="475"/>
      <c r="CF561" s="475"/>
      <c r="CG561" s="475"/>
      <c r="CH561" s="475"/>
      <c r="CI561" s="473"/>
      <c r="CJ561" s="473"/>
      <c r="CK561" s="475"/>
      <c r="CL561" s="475"/>
      <c r="CM561" s="475"/>
      <c r="CN561" s="360"/>
      <c r="CO561" s="346"/>
      <c r="CP561" s="346">
        <f t="shared" si="402"/>
        <v>0</v>
      </c>
    </row>
    <row r="562" spans="1:94" s="344" customFormat="1" hidden="1" x14ac:dyDescent="0.25">
      <c r="A562" s="342"/>
      <c r="V562" s="346"/>
      <c r="AA562" s="347"/>
      <c r="AB562" s="347"/>
      <c r="AD562" s="347"/>
      <c r="AE562" s="348"/>
      <c r="AH562" s="349"/>
      <c r="AI562" s="349"/>
      <c r="AK562" s="347"/>
      <c r="AR562" s="347"/>
      <c r="AV562" s="347"/>
      <c r="AX562" s="347"/>
      <c r="BB562" s="347"/>
      <c r="BC562" s="347"/>
      <c r="BE562" s="347"/>
      <c r="BH562" s="342"/>
      <c r="BI562" s="345"/>
      <c r="BJ562" s="473"/>
      <c r="BK562" s="473"/>
      <c r="BL562" s="473"/>
      <c r="BM562" s="463"/>
      <c r="BN562" s="463"/>
      <c r="BO562" s="463"/>
      <c r="BP562" s="473"/>
      <c r="BQ562" s="473"/>
      <c r="BR562" s="473"/>
      <c r="BS562" s="473"/>
      <c r="BT562" s="473"/>
      <c r="BU562" s="473"/>
      <c r="BV562" s="473"/>
      <c r="BW562" s="473"/>
      <c r="BX562" s="473"/>
      <c r="BY562" s="473"/>
      <c r="BZ562" s="473"/>
      <c r="CA562" s="473"/>
      <c r="CB562" s="475"/>
      <c r="CC562" s="473"/>
      <c r="CD562" s="473"/>
      <c r="CE562" s="475"/>
      <c r="CF562" s="475"/>
      <c r="CG562" s="475"/>
      <c r="CH562" s="475"/>
      <c r="CI562" s="473"/>
      <c r="CJ562" s="473"/>
      <c r="CK562" s="475"/>
      <c r="CL562" s="475"/>
      <c r="CM562" s="475"/>
      <c r="CN562" s="360"/>
      <c r="CO562" s="346"/>
      <c r="CP562" s="346">
        <f t="shared" si="402"/>
        <v>0</v>
      </c>
    </row>
    <row r="563" spans="1:94" s="344" customFormat="1" hidden="1" x14ac:dyDescent="0.25">
      <c r="A563" s="342"/>
      <c r="V563" s="346"/>
      <c r="AA563" s="347"/>
      <c r="AB563" s="347"/>
      <c r="AD563" s="347"/>
      <c r="AE563" s="348"/>
      <c r="AH563" s="349"/>
      <c r="AI563" s="349"/>
      <c r="AK563" s="347"/>
      <c r="AR563" s="347"/>
      <c r="AV563" s="347"/>
      <c r="AX563" s="347"/>
      <c r="BB563" s="347"/>
      <c r="BC563" s="347"/>
      <c r="BE563" s="347"/>
      <c r="BH563" s="342"/>
      <c r="BI563" s="345"/>
      <c r="BJ563" s="473"/>
      <c r="BK563" s="473"/>
      <c r="BL563" s="473"/>
      <c r="BM563" s="463"/>
      <c r="BN563" s="463"/>
      <c r="BO563" s="463"/>
      <c r="BP563" s="473"/>
      <c r="BQ563" s="473"/>
      <c r="BR563" s="473"/>
      <c r="BS563" s="473"/>
      <c r="BT563" s="473"/>
      <c r="BU563" s="473"/>
      <c r="BV563" s="473"/>
      <c r="BW563" s="473"/>
      <c r="BX563" s="473"/>
      <c r="BY563" s="473"/>
      <c r="BZ563" s="473"/>
      <c r="CA563" s="473"/>
      <c r="CB563" s="475"/>
      <c r="CC563" s="473"/>
      <c r="CD563" s="473"/>
      <c r="CE563" s="475"/>
      <c r="CF563" s="475"/>
      <c r="CG563" s="475"/>
      <c r="CH563" s="475"/>
      <c r="CI563" s="473"/>
      <c r="CJ563" s="473"/>
      <c r="CK563" s="475"/>
      <c r="CL563" s="475"/>
      <c r="CM563" s="475"/>
      <c r="CN563" s="360"/>
      <c r="CO563" s="346"/>
      <c r="CP563" s="346">
        <f t="shared" si="402"/>
        <v>0</v>
      </c>
    </row>
    <row r="564" spans="1:94" s="344" customFormat="1" hidden="1" x14ac:dyDescent="0.25">
      <c r="A564" s="342"/>
      <c r="V564" s="346"/>
      <c r="AA564" s="347"/>
      <c r="AB564" s="347"/>
      <c r="AD564" s="347"/>
      <c r="AE564" s="348"/>
      <c r="AH564" s="349"/>
      <c r="AI564" s="349"/>
      <c r="AK564" s="347"/>
      <c r="AR564" s="347"/>
      <c r="AV564" s="347"/>
      <c r="AX564" s="347"/>
      <c r="BB564" s="347"/>
      <c r="BC564" s="347"/>
      <c r="BE564" s="347"/>
      <c r="BH564" s="342"/>
      <c r="BI564" s="345"/>
      <c r="BJ564" s="473"/>
      <c r="BK564" s="473"/>
      <c r="BL564" s="473"/>
      <c r="BM564" s="463"/>
      <c r="BN564" s="463"/>
      <c r="BO564" s="463"/>
      <c r="BP564" s="473"/>
      <c r="BQ564" s="473"/>
      <c r="BR564" s="473"/>
      <c r="BS564" s="473"/>
      <c r="BT564" s="473"/>
      <c r="BU564" s="473"/>
      <c r="BV564" s="473"/>
      <c r="BW564" s="473"/>
      <c r="BX564" s="473"/>
      <c r="BY564" s="473"/>
      <c r="BZ564" s="473"/>
      <c r="CA564" s="473"/>
      <c r="CB564" s="475"/>
      <c r="CC564" s="473"/>
      <c r="CD564" s="473"/>
      <c r="CE564" s="475"/>
      <c r="CF564" s="475"/>
      <c r="CG564" s="475"/>
      <c r="CH564" s="475"/>
      <c r="CI564" s="473"/>
      <c r="CJ564" s="473"/>
      <c r="CK564" s="475"/>
      <c r="CL564" s="475"/>
      <c r="CM564" s="475"/>
      <c r="CN564" s="360"/>
      <c r="CO564" s="346"/>
      <c r="CP564" s="346">
        <f t="shared" si="402"/>
        <v>0</v>
      </c>
    </row>
    <row r="565" spans="1:94" s="344" customFormat="1" hidden="1" x14ac:dyDescent="0.25">
      <c r="A565" s="342"/>
      <c r="V565" s="346"/>
      <c r="AA565" s="347"/>
      <c r="AB565" s="347"/>
      <c r="AD565" s="347"/>
      <c r="AE565" s="348"/>
      <c r="AH565" s="349"/>
      <c r="AI565" s="349"/>
      <c r="AK565" s="347"/>
      <c r="AR565" s="347"/>
      <c r="AV565" s="347"/>
      <c r="AX565" s="347"/>
      <c r="BB565" s="347"/>
      <c r="BC565" s="347"/>
      <c r="BE565" s="347"/>
      <c r="BH565" s="342"/>
      <c r="BI565" s="345"/>
      <c r="BJ565" s="473"/>
      <c r="BK565" s="473"/>
      <c r="BL565" s="473"/>
      <c r="BM565" s="463"/>
      <c r="BN565" s="463"/>
      <c r="BO565" s="463"/>
      <c r="BP565" s="473"/>
      <c r="BQ565" s="473"/>
      <c r="BR565" s="473"/>
      <c r="BS565" s="473"/>
      <c r="BT565" s="473"/>
      <c r="BU565" s="473"/>
      <c r="BV565" s="473"/>
      <c r="BW565" s="473"/>
      <c r="BX565" s="473"/>
      <c r="BY565" s="473"/>
      <c r="BZ565" s="473"/>
      <c r="CA565" s="473"/>
      <c r="CB565" s="475"/>
      <c r="CC565" s="473"/>
      <c r="CD565" s="473"/>
      <c r="CE565" s="475"/>
      <c r="CF565" s="475"/>
      <c r="CG565" s="475"/>
      <c r="CH565" s="475"/>
      <c r="CI565" s="473"/>
      <c r="CJ565" s="473"/>
      <c r="CK565" s="475"/>
      <c r="CL565" s="475"/>
      <c r="CM565" s="475"/>
      <c r="CN565" s="360"/>
      <c r="CO565" s="346"/>
      <c r="CP565" s="346">
        <f t="shared" si="402"/>
        <v>0</v>
      </c>
    </row>
    <row r="566" spans="1:94" s="344" customFormat="1" hidden="1" x14ac:dyDescent="0.25">
      <c r="A566" s="342"/>
      <c r="V566" s="346"/>
      <c r="AA566" s="347"/>
      <c r="AB566" s="347"/>
      <c r="AD566" s="347"/>
      <c r="AE566" s="348"/>
      <c r="AH566" s="349"/>
      <c r="AI566" s="349"/>
      <c r="AK566" s="347"/>
      <c r="AR566" s="347"/>
      <c r="AV566" s="347"/>
      <c r="AX566" s="347"/>
      <c r="BB566" s="347"/>
      <c r="BC566" s="347"/>
      <c r="BE566" s="347"/>
      <c r="BH566" s="342"/>
      <c r="BI566" s="345"/>
      <c r="BJ566" s="473"/>
      <c r="BK566" s="473"/>
      <c r="BL566" s="473"/>
      <c r="BM566" s="463"/>
      <c r="BN566" s="463"/>
      <c r="BO566" s="463"/>
      <c r="BP566" s="473"/>
      <c r="BQ566" s="473"/>
      <c r="BR566" s="473"/>
      <c r="BS566" s="473"/>
      <c r="BT566" s="473"/>
      <c r="BU566" s="473"/>
      <c r="BV566" s="473"/>
      <c r="BW566" s="473"/>
      <c r="BX566" s="473"/>
      <c r="BY566" s="473"/>
      <c r="BZ566" s="473"/>
      <c r="CA566" s="473"/>
      <c r="CB566" s="475"/>
      <c r="CC566" s="473"/>
      <c r="CD566" s="473"/>
      <c r="CE566" s="475"/>
      <c r="CF566" s="475"/>
      <c r="CG566" s="475"/>
      <c r="CH566" s="475"/>
      <c r="CI566" s="473"/>
      <c r="CJ566" s="473"/>
      <c r="CK566" s="475"/>
      <c r="CL566" s="475"/>
      <c r="CM566" s="475"/>
      <c r="CN566" s="360"/>
      <c r="CO566" s="346"/>
      <c r="CP566" s="346">
        <f t="shared" si="402"/>
        <v>0</v>
      </c>
    </row>
    <row r="567" spans="1:94" s="344" customFormat="1" hidden="1" x14ac:dyDescent="0.25">
      <c r="A567" s="342"/>
      <c r="V567" s="346"/>
      <c r="AA567" s="347"/>
      <c r="AB567" s="347"/>
      <c r="AD567" s="347"/>
      <c r="AE567" s="348"/>
      <c r="AH567" s="349"/>
      <c r="AI567" s="349"/>
      <c r="AK567" s="347"/>
      <c r="AR567" s="347"/>
      <c r="AV567" s="347"/>
      <c r="AX567" s="347"/>
      <c r="BB567" s="347"/>
      <c r="BC567" s="347"/>
      <c r="BE567" s="347"/>
      <c r="BH567" s="342"/>
      <c r="BI567" s="345"/>
      <c r="BJ567" s="473"/>
      <c r="BK567" s="473"/>
      <c r="BL567" s="473"/>
      <c r="BM567" s="463"/>
      <c r="BN567" s="463"/>
      <c r="BO567" s="463"/>
      <c r="BP567" s="473"/>
      <c r="BQ567" s="473"/>
      <c r="BR567" s="473"/>
      <c r="BS567" s="473"/>
      <c r="BT567" s="473"/>
      <c r="BU567" s="473"/>
      <c r="BV567" s="473"/>
      <c r="BW567" s="473"/>
      <c r="BX567" s="473"/>
      <c r="BY567" s="473"/>
      <c r="BZ567" s="473"/>
      <c r="CA567" s="473"/>
      <c r="CB567" s="475"/>
      <c r="CC567" s="473"/>
      <c r="CD567" s="473"/>
      <c r="CE567" s="475"/>
      <c r="CF567" s="475"/>
      <c r="CG567" s="475"/>
      <c r="CH567" s="475"/>
      <c r="CI567" s="473"/>
      <c r="CJ567" s="473"/>
      <c r="CK567" s="475"/>
      <c r="CL567" s="475"/>
      <c r="CM567" s="475"/>
      <c r="CN567" s="360"/>
      <c r="CO567" s="346"/>
      <c r="CP567" s="346">
        <f t="shared" si="402"/>
        <v>0</v>
      </c>
    </row>
    <row r="568" spans="1:94" s="344" customFormat="1" hidden="1" x14ac:dyDescent="0.25">
      <c r="A568" s="342"/>
      <c r="V568" s="346"/>
      <c r="AA568" s="347"/>
      <c r="AB568" s="347"/>
      <c r="AD568" s="347"/>
      <c r="AE568" s="348"/>
      <c r="AH568" s="349"/>
      <c r="AI568" s="349"/>
      <c r="AK568" s="347"/>
      <c r="AR568" s="347"/>
      <c r="AV568" s="347"/>
      <c r="AX568" s="347"/>
      <c r="BB568" s="347"/>
      <c r="BC568" s="347"/>
      <c r="BE568" s="347"/>
      <c r="BH568" s="342"/>
      <c r="BI568" s="345"/>
      <c r="BJ568" s="473"/>
      <c r="BK568" s="473"/>
      <c r="BL568" s="473"/>
      <c r="BM568" s="463"/>
      <c r="BN568" s="463"/>
      <c r="BO568" s="463"/>
      <c r="BP568" s="473"/>
      <c r="BQ568" s="473"/>
      <c r="BR568" s="473"/>
      <c r="BS568" s="473"/>
      <c r="BT568" s="473"/>
      <c r="BU568" s="473"/>
      <c r="BV568" s="473"/>
      <c r="BW568" s="473"/>
      <c r="BX568" s="473"/>
      <c r="BY568" s="473"/>
      <c r="BZ568" s="473"/>
      <c r="CA568" s="473"/>
      <c r="CB568" s="475"/>
      <c r="CC568" s="473"/>
      <c r="CD568" s="473"/>
      <c r="CE568" s="475"/>
      <c r="CF568" s="475"/>
      <c r="CG568" s="475"/>
      <c r="CH568" s="475"/>
      <c r="CI568" s="473"/>
      <c r="CJ568" s="473"/>
      <c r="CK568" s="475"/>
      <c r="CL568" s="475"/>
      <c r="CM568" s="475"/>
      <c r="CN568" s="360"/>
      <c r="CO568" s="346"/>
      <c r="CP568" s="346">
        <f t="shared" si="402"/>
        <v>0</v>
      </c>
    </row>
    <row r="569" spans="1:94" s="344" customFormat="1" x14ac:dyDescent="0.25">
      <c r="A569" s="342"/>
      <c r="V569" s="346"/>
      <c r="AA569" s="347"/>
      <c r="AB569" s="347"/>
      <c r="AD569" s="347"/>
      <c r="AE569" s="348"/>
      <c r="AH569" s="349"/>
      <c r="AI569" s="349"/>
      <c r="AK569" s="347"/>
      <c r="AR569" s="347"/>
      <c r="AV569" s="347"/>
      <c r="AX569" s="347"/>
      <c r="BB569" s="347"/>
      <c r="BC569" s="347"/>
      <c r="BE569" s="347"/>
      <c r="BH569" s="342"/>
      <c r="BI569" s="345"/>
      <c r="BJ569" s="473"/>
      <c r="BK569" s="473"/>
      <c r="BL569" s="473"/>
      <c r="BM569" s="463"/>
      <c r="BN569" s="463"/>
      <c r="BO569" s="463"/>
      <c r="BP569" s="473"/>
      <c r="BQ569" s="473"/>
      <c r="BR569" s="473"/>
      <c r="BS569" s="473"/>
      <c r="BT569" s="473"/>
      <c r="BU569" s="473"/>
      <c r="BV569" s="473"/>
      <c r="BW569" s="473"/>
      <c r="BX569" s="473"/>
      <c r="BY569" s="473"/>
      <c r="BZ569" s="473"/>
      <c r="CA569" s="473"/>
      <c r="CB569" s="475"/>
      <c r="CC569" s="473"/>
      <c r="CD569" s="473"/>
      <c r="CE569" s="475"/>
      <c r="CF569" s="475"/>
      <c r="CG569" s="475"/>
      <c r="CH569" s="475"/>
      <c r="CI569" s="473"/>
      <c r="CJ569" s="473"/>
      <c r="CK569" s="475"/>
      <c r="CL569" s="475"/>
      <c r="CM569" s="475"/>
      <c r="CN569" s="360"/>
      <c r="CO569" s="346"/>
      <c r="CP569" s="346">
        <f t="shared" si="402"/>
        <v>0</v>
      </c>
    </row>
    <row r="570" spans="1:94" s="344" customFormat="1" x14ac:dyDescent="0.25">
      <c r="A570" s="342"/>
      <c r="V570" s="346"/>
      <c r="AA570" s="347"/>
      <c r="AB570" s="347"/>
      <c r="AD570" s="347"/>
      <c r="AE570" s="348"/>
      <c r="AH570" s="349"/>
      <c r="AI570" s="349"/>
      <c r="AK570" s="347"/>
      <c r="AR570" s="347"/>
      <c r="AV570" s="347"/>
      <c r="AX570" s="347"/>
      <c r="BB570" s="347"/>
      <c r="BC570" s="347"/>
      <c r="BE570" s="347"/>
      <c r="BH570" s="342"/>
      <c r="BI570" s="345"/>
      <c r="BJ570" s="473"/>
      <c r="BK570" s="473"/>
      <c r="BL570" s="473"/>
      <c r="BM570" s="463"/>
      <c r="BN570" s="463"/>
      <c r="BO570" s="463"/>
      <c r="BP570" s="473"/>
      <c r="BQ570" s="473"/>
      <c r="BR570" s="473"/>
      <c r="BS570" s="473"/>
      <c r="BT570" s="473"/>
      <c r="BU570" s="473"/>
      <c r="BV570" s="473"/>
      <c r="BW570" s="473"/>
      <c r="BX570" s="473"/>
      <c r="BY570" s="473"/>
      <c r="BZ570" s="473"/>
      <c r="CA570" s="473"/>
      <c r="CB570" s="475"/>
      <c r="CC570" s="473"/>
      <c r="CD570" s="473"/>
      <c r="CE570" s="475"/>
      <c r="CF570" s="475"/>
      <c r="CG570" s="475"/>
      <c r="CH570" s="475"/>
      <c r="CI570" s="473"/>
      <c r="CJ570" s="473"/>
      <c r="CK570" s="475"/>
      <c r="CL570" s="475"/>
      <c r="CM570" s="475"/>
      <c r="CN570" s="360"/>
      <c r="CO570" s="346"/>
      <c r="CP570" s="346">
        <f t="shared" si="402"/>
        <v>0</v>
      </c>
    </row>
    <row r="571" spans="1:94" s="344" customFormat="1" x14ac:dyDescent="0.25">
      <c r="A571" s="342"/>
      <c r="V571" s="346"/>
      <c r="AA571" s="347"/>
      <c r="AB571" s="347"/>
      <c r="AD571" s="347"/>
      <c r="AE571" s="348"/>
      <c r="AH571" s="349"/>
      <c r="AI571" s="349"/>
      <c r="AK571" s="347"/>
      <c r="AR571" s="347"/>
      <c r="AV571" s="347"/>
      <c r="AX571" s="347"/>
      <c r="BB571" s="347"/>
      <c r="BC571" s="347"/>
      <c r="BE571" s="347"/>
      <c r="BH571" s="342"/>
      <c r="BI571" s="345"/>
      <c r="BJ571" s="473"/>
      <c r="BK571" s="473"/>
      <c r="BL571" s="473"/>
      <c r="BM571" s="463"/>
      <c r="BN571" s="463"/>
      <c r="BO571" s="463"/>
      <c r="BP571" s="473"/>
      <c r="BQ571" s="473"/>
      <c r="BR571" s="473"/>
      <c r="BS571" s="473"/>
      <c r="BT571" s="473"/>
      <c r="BU571" s="473"/>
      <c r="BV571" s="473"/>
      <c r="BW571" s="473"/>
      <c r="BX571" s="473"/>
      <c r="BY571" s="473"/>
      <c r="BZ571" s="473"/>
      <c r="CA571" s="473"/>
      <c r="CB571" s="475"/>
      <c r="CC571" s="473"/>
      <c r="CD571" s="473"/>
      <c r="CE571" s="475"/>
      <c r="CF571" s="475"/>
      <c r="CG571" s="475"/>
      <c r="CH571" s="475"/>
      <c r="CI571" s="473"/>
      <c r="CJ571" s="473"/>
      <c r="CK571" s="475"/>
      <c r="CL571" s="475"/>
      <c r="CM571" s="475"/>
      <c r="CN571" s="360"/>
      <c r="CO571" s="346"/>
      <c r="CP571" s="346"/>
    </row>
    <row r="572" spans="1:94" s="344" customFormat="1" x14ac:dyDescent="0.25">
      <c r="A572" s="342"/>
      <c r="V572" s="346"/>
      <c r="AA572" s="347"/>
      <c r="AB572" s="347"/>
      <c r="AD572" s="347"/>
      <c r="AE572" s="348"/>
      <c r="AH572" s="349"/>
      <c r="AI572" s="349"/>
      <c r="AK572" s="347"/>
      <c r="AR572" s="347"/>
      <c r="AV572" s="347"/>
      <c r="AX572" s="347"/>
      <c r="BB572" s="347"/>
      <c r="BC572" s="347"/>
      <c r="BE572" s="347"/>
      <c r="BH572" s="342"/>
      <c r="BI572" s="345"/>
      <c r="BJ572" s="473"/>
      <c r="BK572" s="473"/>
      <c r="BL572" s="473"/>
      <c r="BM572" s="463"/>
      <c r="BN572" s="463"/>
      <c r="BO572" s="463"/>
      <c r="BP572" s="473"/>
      <c r="BQ572" s="473"/>
      <c r="BR572" s="473"/>
      <c r="BS572" s="473"/>
      <c r="BT572" s="473"/>
      <c r="BU572" s="473"/>
      <c r="BV572" s="473"/>
      <c r="BW572" s="473"/>
      <c r="BX572" s="473"/>
      <c r="BY572" s="473"/>
      <c r="BZ572" s="473"/>
      <c r="CA572" s="473"/>
      <c r="CB572" s="475"/>
      <c r="CC572" s="473"/>
      <c r="CD572" s="473"/>
      <c r="CE572" s="475"/>
      <c r="CF572" s="475"/>
      <c r="CG572" s="475"/>
      <c r="CH572" s="475"/>
      <c r="CI572" s="473"/>
      <c r="CJ572" s="473"/>
      <c r="CK572" s="475"/>
      <c r="CL572" s="475"/>
      <c r="CM572" s="475"/>
      <c r="CN572" s="360"/>
      <c r="CO572" s="346"/>
      <c r="CP572" s="346"/>
    </row>
    <row r="573" spans="1:94" s="344" customFormat="1" x14ac:dyDescent="0.25">
      <c r="A573" s="342"/>
      <c r="V573" s="346"/>
      <c r="AA573" s="347"/>
      <c r="AB573" s="347"/>
      <c r="AD573" s="347"/>
      <c r="AE573" s="348"/>
      <c r="AH573" s="349"/>
      <c r="AI573" s="349"/>
      <c r="AK573" s="347"/>
      <c r="AR573" s="347"/>
      <c r="AV573" s="347"/>
      <c r="AX573" s="347"/>
      <c r="BB573" s="347"/>
      <c r="BC573" s="347"/>
      <c r="BE573" s="347"/>
      <c r="BH573" s="342"/>
      <c r="BI573" s="345"/>
      <c r="BJ573" s="473"/>
      <c r="BK573" s="473"/>
      <c r="BL573" s="473"/>
      <c r="BM573" s="463"/>
      <c r="BN573" s="463"/>
      <c r="BO573" s="463"/>
      <c r="BP573" s="473"/>
      <c r="BQ573" s="473"/>
      <c r="BR573" s="473"/>
      <c r="BS573" s="473"/>
      <c r="BT573" s="473"/>
      <c r="BU573" s="473"/>
      <c r="BV573" s="473"/>
      <c r="BW573" s="473"/>
      <c r="BX573" s="473"/>
      <c r="BY573" s="473"/>
      <c r="BZ573" s="473"/>
      <c r="CA573" s="473"/>
      <c r="CB573" s="475"/>
      <c r="CC573" s="473"/>
      <c r="CD573" s="473"/>
      <c r="CE573" s="475"/>
      <c r="CF573" s="475"/>
      <c r="CG573" s="475"/>
      <c r="CH573" s="475"/>
      <c r="CI573" s="473"/>
      <c r="CJ573" s="473"/>
      <c r="CK573" s="475"/>
      <c r="CL573" s="475"/>
      <c r="CM573" s="475"/>
      <c r="CN573" s="360"/>
      <c r="CO573" s="346"/>
      <c r="CP573" s="346"/>
    </row>
    <row r="574" spans="1:94" s="344" customFormat="1" x14ac:dyDescent="0.25">
      <c r="A574" s="342"/>
      <c r="V574" s="346"/>
      <c r="AA574" s="347"/>
      <c r="AB574" s="347"/>
      <c r="AD574" s="347"/>
      <c r="AE574" s="348"/>
      <c r="AH574" s="349"/>
      <c r="AI574" s="349"/>
      <c r="AK574" s="347"/>
      <c r="AR574" s="347"/>
      <c r="AV574" s="347"/>
      <c r="AX574" s="347"/>
      <c r="BB574" s="347"/>
      <c r="BC574" s="347"/>
      <c r="BE574" s="347"/>
      <c r="BH574" s="342"/>
      <c r="BI574" s="345"/>
      <c r="BJ574" s="473"/>
      <c r="BK574" s="473"/>
      <c r="BL574" s="473"/>
      <c r="BM574" s="463"/>
      <c r="BN574" s="463"/>
      <c r="BO574" s="463"/>
      <c r="BP574" s="473"/>
      <c r="BQ574" s="473"/>
      <c r="BR574" s="473"/>
      <c r="BS574" s="473"/>
      <c r="BT574" s="473"/>
      <c r="BU574" s="473"/>
      <c r="BV574" s="473"/>
      <c r="BW574" s="473"/>
      <c r="BX574" s="473"/>
      <c r="BY574" s="473"/>
      <c r="BZ574" s="473"/>
      <c r="CA574" s="473"/>
      <c r="CB574" s="475"/>
      <c r="CC574" s="473"/>
      <c r="CD574" s="473"/>
      <c r="CE574" s="475"/>
      <c r="CF574" s="475"/>
      <c r="CG574" s="475"/>
      <c r="CH574" s="475"/>
      <c r="CI574" s="473"/>
      <c r="CJ574" s="473"/>
      <c r="CK574" s="475"/>
      <c r="CL574" s="475"/>
      <c r="CM574" s="475"/>
      <c r="CN574" s="360"/>
      <c r="CO574" s="346"/>
      <c r="CP574" s="346"/>
    </row>
    <row r="575" spans="1:94" s="344" customFormat="1" x14ac:dyDescent="0.25">
      <c r="A575" s="342"/>
      <c r="V575" s="346"/>
      <c r="AA575" s="347"/>
      <c r="AB575" s="347"/>
      <c r="AD575" s="347"/>
      <c r="AE575" s="348"/>
      <c r="AH575" s="349"/>
      <c r="AI575" s="349"/>
      <c r="AK575" s="347"/>
      <c r="AR575" s="347"/>
      <c r="AV575" s="347"/>
      <c r="AX575" s="347"/>
      <c r="BB575" s="347"/>
      <c r="BC575" s="347"/>
      <c r="BE575" s="347"/>
      <c r="BH575" s="342"/>
      <c r="BI575" s="345"/>
      <c r="BJ575" s="473"/>
      <c r="BK575" s="473"/>
      <c r="BL575" s="473"/>
      <c r="BM575" s="463"/>
      <c r="BN575" s="463"/>
      <c r="BO575" s="463"/>
      <c r="BP575" s="473"/>
      <c r="BQ575" s="473"/>
      <c r="BR575" s="473"/>
      <c r="BS575" s="473"/>
      <c r="BT575" s="473"/>
      <c r="BU575" s="473"/>
      <c r="BV575" s="473"/>
      <c r="BW575" s="473"/>
      <c r="BX575" s="473"/>
      <c r="BY575" s="473"/>
      <c r="BZ575" s="473"/>
      <c r="CA575" s="473"/>
      <c r="CB575" s="475"/>
      <c r="CC575" s="473"/>
      <c r="CD575" s="473"/>
      <c r="CE575" s="475"/>
      <c r="CF575" s="475"/>
      <c r="CG575" s="475"/>
      <c r="CH575" s="475"/>
      <c r="CI575" s="473"/>
      <c r="CJ575" s="473"/>
      <c r="CK575" s="475"/>
      <c r="CL575" s="475"/>
      <c r="CM575" s="475"/>
      <c r="CN575" s="360"/>
      <c r="CO575" s="346"/>
      <c r="CP575" s="346"/>
    </row>
    <row r="576" spans="1:94" s="344" customFormat="1" x14ac:dyDescent="0.25">
      <c r="A576" s="342"/>
      <c r="V576" s="346"/>
      <c r="AA576" s="347"/>
      <c r="AB576" s="347"/>
      <c r="AD576" s="347"/>
      <c r="AE576" s="348"/>
      <c r="AH576" s="349"/>
      <c r="AI576" s="349"/>
      <c r="AK576" s="347"/>
      <c r="AR576" s="347"/>
      <c r="AV576" s="347"/>
      <c r="AX576" s="347"/>
      <c r="BB576" s="347"/>
      <c r="BC576" s="347"/>
      <c r="BE576" s="347"/>
      <c r="BH576" s="342"/>
      <c r="BI576" s="345"/>
      <c r="BJ576" s="473"/>
      <c r="BK576" s="473"/>
      <c r="BL576" s="473"/>
      <c r="BM576" s="463"/>
      <c r="BN576" s="463"/>
      <c r="BO576" s="463"/>
      <c r="BP576" s="473"/>
      <c r="BQ576" s="473"/>
      <c r="BR576" s="473"/>
      <c r="BS576" s="473"/>
      <c r="BT576" s="473"/>
      <c r="BU576" s="473"/>
      <c r="BV576" s="473"/>
      <c r="BW576" s="473"/>
      <c r="BX576" s="473"/>
      <c r="BY576" s="473"/>
      <c r="BZ576" s="473"/>
      <c r="CA576" s="473"/>
      <c r="CB576" s="475"/>
      <c r="CC576" s="473"/>
      <c r="CD576" s="473"/>
      <c r="CE576" s="475"/>
      <c r="CF576" s="475"/>
      <c r="CG576" s="475"/>
      <c r="CH576" s="475"/>
      <c r="CI576" s="473"/>
      <c r="CJ576" s="473"/>
      <c r="CK576" s="475"/>
      <c r="CL576" s="475"/>
      <c r="CM576" s="475"/>
      <c r="CN576" s="360"/>
      <c r="CO576" s="346"/>
      <c r="CP576" s="346"/>
    </row>
    <row r="577" spans="1:94" s="344" customFormat="1" x14ac:dyDescent="0.25">
      <c r="A577" s="342"/>
      <c r="V577" s="346"/>
      <c r="AA577" s="347"/>
      <c r="AB577" s="347"/>
      <c r="AD577" s="347"/>
      <c r="AE577" s="348"/>
      <c r="AH577" s="349"/>
      <c r="AI577" s="349"/>
      <c r="AK577" s="347"/>
      <c r="AR577" s="347"/>
      <c r="AV577" s="347"/>
      <c r="AX577" s="347"/>
      <c r="BB577" s="347"/>
      <c r="BC577" s="347"/>
      <c r="BE577" s="347"/>
      <c r="BH577" s="342"/>
      <c r="BI577" s="345"/>
      <c r="BJ577" s="473"/>
      <c r="BK577" s="473"/>
      <c r="BL577" s="473"/>
      <c r="BM577" s="463"/>
      <c r="BN577" s="463"/>
      <c r="BO577" s="463"/>
      <c r="BP577" s="473"/>
      <c r="BQ577" s="473"/>
      <c r="BR577" s="473"/>
      <c r="BS577" s="473"/>
      <c r="BT577" s="473"/>
      <c r="BU577" s="473"/>
      <c r="BV577" s="473"/>
      <c r="BW577" s="473"/>
      <c r="BX577" s="473"/>
      <c r="BY577" s="473"/>
      <c r="BZ577" s="473"/>
      <c r="CA577" s="473"/>
      <c r="CB577" s="475"/>
      <c r="CC577" s="473"/>
      <c r="CD577" s="473"/>
      <c r="CE577" s="475"/>
      <c r="CF577" s="475"/>
      <c r="CG577" s="475"/>
      <c r="CH577" s="475"/>
      <c r="CI577" s="473"/>
      <c r="CJ577" s="473"/>
      <c r="CK577" s="475"/>
      <c r="CL577" s="475"/>
      <c r="CM577" s="475"/>
      <c r="CN577" s="360"/>
      <c r="CO577" s="346"/>
      <c r="CP577" s="346"/>
    </row>
    <row r="578" spans="1:94" s="344" customFormat="1" x14ac:dyDescent="0.25">
      <c r="A578" s="342"/>
      <c r="V578" s="346"/>
      <c r="AA578" s="347"/>
      <c r="AB578" s="347"/>
      <c r="AD578" s="347"/>
      <c r="AE578" s="348"/>
      <c r="AH578" s="349"/>
      <c r="AI578" s="349"/>
      <c r="AK578" s="347"/>
      <c r="AR578" s="347"/>
      <c r="AV578" s="347"/>
      <c r="AX578" s="347"/>
      <c r="BB578" s="347"/>
      <c r="BC578" s="347"/>
      <c r="BE578" s="347"/>
      <c r="BH578" s="342"/>
      <c r="BI578" s="345"/>
      <c r="BJ578" s="473"/>
      <c r="BK578" s="473"/>
      <c r="BL578" s="473"/>
      <c r="BM578" s="463"/>
      <c r="BN578" s="463"/>
      <c r="BO578" s="463"/>
      <c r="BP578" s="473"/>
      <c r="BQ578" s="473"/>
      <c r="BR578" s="473"/>
      <c r="BS578" s="473"/>
      <c r="BT578" s="473"/>
      <c r="BU578" s="473"/>
      <c r="BV578" s="473"/>
      <c r="BW578" s="473"/>
      <c r="BX578" s="473"/>
      <c r="BY578" s="473"/>
      <c r="BZ578" s="473"/>
      <c r="CA578" s="473"/>
      <c r="CB578" s="475"/>
      <c r="CC578" s="473"/>
      <c r="CD578" s="473"/>
      <c r="CE578" s="475"/>
      <c r="CF578" s="475"/>
      <c r="CG578" s="475"/>
      <c r="CH578" s="475"/>
      <c r="CI578" s="473"/>
      <c r="CJ578" s="473"/>
      <c r="CK578" s="475"/>
      <c r="CL578" s="475"/>
      <c r="CM578" s="475"/>
      <c r="CN578" s="360"/>
      <c r="CO578" s="346"/>
      <c r="CP578" s="346"/>
    </row>
  </sheetData>
  <sheetProtection algorithmName="SHA-512" hashValue="um/4E8fDLorYhjGcyLYFH3u+qu6KudNSETTM8gRG24fZDI5/DrTcS59hXIOwLSbiAIaACZAFmtIluTvkJ5AOvg==" saltValue="2OtZowlkMaNdlidhxJohOg==" spinCount="100000" sheet="1" formatCells="0" formatColumns="0" formatRows="0" insertColumns="0" insertRows="0" insertHyperlinks="0" deleteColumns="0" deleteRows="0" sort="0" autoFilter="0" pivotTables="0"/>
  <protectedRanges>
    <protectedRange algorithmName="SHA-512" hashValue="JkwGMkyN6uDZy9K3UnLYKHbONkTneyvcBkZbw832pf3/OvzPn47/tOjWWFkoHruJFqsDNzL3ZtFhUW1rxpiesQ==" saltValue="hiIEQ6ppq6xjmWFZjcvCAg==" spinCount="100000" sqref="BP222:BS223 BP207:BP221 BP239:BS240 BW222:BX223 BW239:BX240 CC222:CD223 CC239:CD240 CI222:CJ223 CI239:CJ240 BU222:BU223 BU239:BU240 BS221 BT221:BT223 BS208:BT220 BS226:BT237 BT238:BT240 BS238 CI226:CI238 CC226:CC238 BW226:BW238 BP226:BQ238" name="Rango1_10"/>
  </protectedRanges>
  <dataConsolidate/>
  <mergeCells count="307">
    <mergeCell ref="M7:AC7"/>
    <mergeCell ref="M8:AC8"/>
    <mergeCell ref="M9:AC9"/>
    <mergeCell ref="M10:AC10"/>
    <mergeCell ref="D14:R14"/>
    <mergeCell ref="B14:B15"/>
    <mergeCell ref="C14:C15"/>
    <mergeCell ref="H1:I1"/>
    <mergeCell ref="B5:AD5"/>
    <mergeCell ref="B12:BG12"/>
    <mergeCell ref="B13:BG13"/>
    <mergeCell ref="D1:F1"/>
    <mergeCell ref="D2:W3"/>
    <mergeCell ref="C2:C4"/>
    <mergeCell ref="C6:K6"/>
    <mergeCell ref="C7:K7"/>
    <mergeCell ref="C8:K8"/>
    <mergeCell ref="C9:K9"/>
    <mergeCell ref="C10:K10"/>
    <mergeCell ref="BG37:BG38"/>
    <mergeCell ref="BG14:BG15"/>
    <mergeCell ref="M6:AC6"/>
    <mergeCell ref="AE38:AF38"/>
    <mergeCell ref="AL38:AM38"/>
    <mergeCell ref="AS38:AT38"/>
    <mergeCell ref="AY38:AZ38"/>
    <mergeCell ref="X15:Y15"/>
    <mergeCell ref="AE15:AF15"/>
    <mergeCell ref="AL15:AM15"/>
    <mergeCell ref="AS15:AT15"/>
    <mergeCell ref="AL14:AR14"/>
    <mergeCell ref="AE14:AK14"/>
    <mergeCell ref="X14:AD14"/>
    <mergeCell ref="B36:BG36"/>
    <mergeCell ref="AE37:AK37"/>
    <mergeCell ref="X37:AD37"/>
    <mergeCell ref="S14:W14"/>
    <mergeCell ref="BF14:BF15"/>
    <mergeCell ref="B37:B38"/>
    <mergeCell ref="C37:C38"/>
    <mergeCell ref="BF37:BF38"/>
    <mergeCell ref="AY14:BE14"/>
    <mergeCell ref="AS14:AX14"/>
    <mergeCell ref="S37:W37"/>
    <mergeCell ref="AS37:AX37"/>
    <mergeCell ref="AY37:BE37"/>
    <mergeCell ref="X38:Y38"/>
    <mergeCell ref="C160:C161"/>
    <mergeCell ref="B153:B154"/>
    <mergeCell ref="B67:B68"/>
    <mergeCell ref="C67:C68"/>
    <mergeCell ref="C153:C154"/>
    <mergeCell ref="B70:B71"/>
    <mergeCell ref="B72:B74"/>
    <mergeCell ref="B75:B77"/>
    <mergeCell ref="B78:B80"/>
    <mergeCell ref="S153:W153"/>
    <mergeCell ref="AS68:AT68"/>
    <mergeCell ref="AL68:AM68"/>
    <mergeCell ref="X127:Y127"/>
    <mergeCell ref="AE127:AF127"/>
    <mergeCell ref="AL127:AM127"/>
    <mergeCell ref="AS127:AT127"/>
    <mergeCell ref="S126:W126"/>
    <mergeCell ref="X126:AD126"/>
    <mergeCell ref="AE126:AK126"/>
    <mergeCell ref="B118:B119"/>
    <mergeCell ref="B143:B144"/>
    <mergeCell ref="B145:B146"/>
    <mergeCell ref="B155:B156"/>
    <mergeCell ref="B157:B158"/>
    <mergeCell ref="D153:R153"/>
    <mergeCell ref="D126:R126"/>
    <mergeCell ref="B135:B137"/>
    <mergeCell ref="D37:R37"/>
    <mergeCell ref="B120:B121"/>
    <mergeCell ref="B89:B90"/>
    <mergeCell ref="C89:C90"/>
    <mergeCell ref="C81:C82"/>
    <mergeCell ref="C126:C127"/>
    <mergeCell ref="B91:B92"/>
    <mergeCell ref="B83:B84"/>
    <mergeCell ref="B85:B87"/>
    <mergeCell ref="AL90:AM90"/>
    <mergeCell ref="X89:AD89"/>
    <mergeCell ref="AE89:AK89"/>
    <mergeCell ref="AL89:AR89"/>
    <mergeCell ref="B97:BG97"/>
    <mergeCell ref="B126:B127"/>
    <mergeCell ref="S67:W67"/>
    <mergeCell ref="BF81:BF82"/>
    <mergeCell ref="X81:AD81"/>
    <mergeCell ref="B103:B104"/>
    <mergeCell ref="C103:C104"/>
    <mergeCell ref="D103:R103"/>
    <mergeCell ref="S103:W103"/>
    <mergeCell ref="CB224:CM224"/>
    <mergeCell ref="BK195:BK196"/>
    <mergeCell ref="BM195:BM196"/>
    <mergeCell ref="BO195:BO196"/>
    <mergeCell ref="BP195:CA195"/>
    <mergeCell ref="BK262:BK263"/>
    <mergeCell ref="BM262:BM263"/>
    <mergeCell ref="BN262:BN263"/>
    <mergeCell ref="BO262:BO263"/>
    <mergeCell ref="CB195:CM195"/>
    <mergeCell ref="BK241:BK242"/>
    <mergeCell ref="BQ262:BQ263"/>
    <mergeCell ref="BS262:BS263"/>
    <mergeCell ref="BT262:BT263"/>
    <mergeCell ref="BU262:BU263"/>
    <mergeCell ref="CB241:CM241"/>
    <mergeCell ref="BN195:BN196"/>
    <mergeCell ref="BN224:BN225"/>
    <mergeCell ref="BN241:BN242"/>
    <mergeCell ref="BK224:BK225"/>
    <mergeCell ref="BM224:BM225"/>
    <mergeCell ref="BO224:BO225"/>
    <mergeCell ref="BN294:BN295"/>
    <mergeCell ref="DD400:DD401"/>
    <mergeCell ref="DE400:DE401"/>
    <mergeCell ref="DF400:DF401"/>
    <mergeCell ref="DG400:DH400"/>
    <mergeCell ref="BS436:BS437"/>
    <mergeCell ref="BP401:BP402"/>
    <mergeCell ref="BR401:BR402"/>
    <mergeCell ref="BS401:BS402"/>
    <mergeCell ref="BQ305:BQ306"/>
    <mergeCell ref="BS305:BS306"/>
    <mergeCell ref="BT305:BT306"/>
    <mergeCell ref="BU305:BU306"/>
    <mergeCell ref="BO294:BO295"/>
    <mergeCell ref="BK379:BK380"/>
    <mergeCell ref="BM379:BM380"/>
    <mergeCell ref="BN379:BN380"/>
    <mergeCell ref="BO379:BO380"/>
    <mergeCell ref="BJ379:BJ380"/>
    <mergeCell ref="BN460:BN461"/>
    <mergeCell ref="BI305:BI306"/>
    <mergeCell ref="BK305:BK306"/>
    <mergeCell ref="BM305:BM306"/>
    <mergeCell ref="BI401:BI402"/>
    <mergeCell ref="BK401:BK402"/>
    <mergeCell ref="BM401:BM402"/>
    <mergeCell ref="BN401:BN402"/>
    <mergeCell ref="BN447:BN448"/>
    <mergeCell ref="BO447:BO448"/>
    <mergeCell ref="DI400:DJ400"/>
    <mergeCell ref="BT436:BT437"/>
    <mergeCell ref="BP436:BP437"/>
    <mergeCell ref="BR436:BR437"/>
    <mergeCell ref="BP400:BT400"/>
    <mergeCell ref="BK400:BO400"/>
    <mergeCell ref="BI436:BI437"/>
    <mergeCell ref="BK436:BK437"/>
    <mergeCell ref="BM436:BM437"/>
    <mergeCell ref="BN436:BN437"/>
    <mergeCell ref="BO436:BO437"/>
    <mergeCell ref="BT401:BT402"/>
    <mergeCell ref="CY400:CY401"/>
    <mergeCell ref="CZ400:DA400"/>
    <mergeCell ref="DB400:DB401"/>
    <mergeCell ref="DC400:DC401"/>
    <mergeCell ref="BN510:BN511"/>
    <mergeCell ref="BO510:BO511"/>
    <mergeCell ref="BO460:BO461"/>
    <mergeCell ref="BO401:BO402"/>
    <mergeCell ref="BO300:BO301"/>
    <mergeCell ref="BI312:BI313"/>
    <mergeCell ref="BK312:BK313"/>
    <mergeCell ref="BM312:BM313"/>
    <mergeCell ref="BN312:BN313"/>
    <mergeCell ref="BO312:BO313"/>
    <mergeCell ref="BO305:BO306"/>
    <mergeCell ref="BN305:BN306"/>
    <mergeCell ref="BI300:BI301"/>
    <mergeCell ref="BK300:BK301"/>
    <mergeCell ref="BM300:BM301"/>
    <mergeCell ref="BN300:BN301"/>
    <mergeCell ref="BO475:BO476"/>
    <mergeCell ref="BI475:BI476"/>
    <mergeCell ref="BK475:BK476"/>
    <mergeCell ref="BM475:BM476"/>
    <mergeCell ref="BN475:BN476"/>
    <mergeCell ref="BI460:BI461"/>
    <mergeCell ref="BK460:BK461"/>
    <mergeCell ref="BM460:BM461"/>
    <mergeCell ref="BK510:BK511"/>
    <mergeCell ref="BM510:BM511"/>
    <mergeCell ref="AY126:BE126"/>
    <mergeCell ref="BF126:BF127"/>
    <mergeCell ref="AY160:BE160"/>
    <mergeCell ref="BI288:BI289"/>
    <mergeCell ref="BK288:BK289"/>
    <mergeCell ref="BM288:BM289"/>
    <mergeCell ref="BI447:BI448"/>
    <mergeCell ref="BK447:BK448"/>
    <mergeCell ref="BM447:BM448"/>
    <mergeCell ref="BM294:BM295"/>
    <mergeCell ref="BF160:BF161"/>
    <mergeCell ref="BG160:BG161"/>
    <mergeCell ref="AY161:AZ161"/>
    <mergeCell ref="BG153:BG154"/>
    <mergeCell ref="BI294:BI295"/>
    <mergeCell ref="BK294:BK295"/>
    <mergeCell ref="BI262:BI263"/>
    <mergeCell ref="BI241:BI242"/>
    <mergeCell ref="BM241:BM242"/>
    <mergeCell ref="BG126:BG127"/>
    <mergeCell ref="AY127:AZ127"/>
    <mergeCell ref="BI379:BI380"/>
    <mergeCell ref="X154:Y154"/>
    <mergeCell ref="AE153:AK153"/>
    <mergeCell ref="AL153:AR153"/>
    <mergeCell ref="AS153:AX153"/>
    <mergeCell ref="AY153:BE153"/>
    <mergeCell ref="AE154:AF154"/>
    <mergeCell ref="X103:AD103"/>
    <mergeCell ref="AI401:AM401"/>
    <mergeCell ref="B102:BG102"/>
    <mergeCell ref="AL154:AM154"/>
    <mergeCell ref="AS154:AT154"/>
    <mergeCell ref="AY154:AZ154"/>
    <mergeCell ref="X153:AD153"/>
    <mergeCell ref="AE103:AK103"/>
    <mergeCell ref="BF153:BF154"/>
    <mergeCell ref="B125:BG125"/>
    <mergeCell ref="B152:BG152"/>
    <mergeCell ref="BG103:BG104"/>
    <mergeCell ref="X104:Y104"/>
    <mergeCell ref="AE104:AF104"/>
    <mergeCell ref="AL104:AM104"/>
    <mergeCell ref="AS104:AT104"/>
    <mergeCell ref="AY104:AZ104"/>
    <mergeCell ref="AS126:AX126"/>
    <mergeCell ref="BI510:BI511"/>
    <mergeCell ref="AE81:AK81"/>
    <mergeCell ref="AL81:AR81"/>
    <mergeCell ref="AS81:AX81"/>
    <mergeCell ref="AY81:BE81"/>
    <mergeCell ref="AS82:AT82"/>
    <mergeCell ref="AY82:AZ82"/>
    <mergeCell ref="AL82:AM82"/>
    <mergeCell ref="AS89:AX89"/>
    <mergeCell ref="AS90:AT90"/>
    <mergeCell ref="BG89:BG90"/>
    <mergeCell ref="BF89:BF90"/>
    <mergeCell ref="AY89:BE89"/>
    <mergeCell ref="AY90:AZ90"/>
    <mergeCell ref="B101:BG101"/>
    <mergeCell ref="AL103:AR103"/>
    <mergeCell ref="AS103:AX103"/>
    <mergeCell ref="AY103:BE103"/>
    <mergeCell ref="BF103:BF104"/>
    <mergeCell ref="AL126:AR126"/>
    <mergeCell ref="D89:R89"/>
    <mergeCell ref="S89:W89"/>
    <mergeCell ref="X90:Y90"/>
    <mergeCell ref="AE90:AF90"/>
    <mergeCell ref="AL37:AR37"/>
    <mergeCell ref="AY15:AZ15"/>
    <mergeCell ref="B66:BG66"/>
    <mergeCell ref="BG81:BG82"/>
    <mergeCell ref="D81:R81"/>
    <mergeCell ref="S81:W81"/>
    <mergeCell ref="X82:Y82"/>
    <mergeCell ref="AE82:AF82"/>
    <mergeCell ref="B81:B82"/>
    <mergeCell ref="BF67:BF68"/>
    <mergeCell ref="D67:R67"/>
    <mergeCell ref="AE67:AK67"/>
    <mergeCell ref="AL67:AR67"/>
    <mergeCell ref="BG67:BG68"/>
    <mergeCell ref="AS67:AX67"/>
    <mergeCell ref="AY67:BE67"/>
    <mergeCell ref="X68:Y68"/>
    <mergeCell ref="AE68:AF68"/>
    <mergeCell ref="AY68:AZ68"/>
    <mergeCell ref="X67:AD67"/>
    <mergeCell ref="B29:B30"/>
    <mergeCell ref="B31:B32"/>
    <mergeCell ref="B57:B58"/>
    <mergeCell ref="B59:B60"/>
    <mergeCell ref="B182:C182"/>
    <mergeCell ref="BO241:BO242"/>
    <mergeCell ref="BP241:CA241"/>
    <mergeCell ref="B175:C175"/>
    <mergeCell ref="B160:B161"/>
    <mergeCell ref="BS288:BS289"/>
    <mergeCell ref="BT288:BT289"/>
    <mergeCell ref="BU288:BU289"/>
    <mergeCell ref="BO288:BO289"/>
    <mergeCell ref="BN288:BN289"/>
    <mergeCell ref="BI224:BI225"/>
    <mergeCell ref="B162:B173"/>
    <mergeCell ref="X160:AD160"/>
    <mergeCell ref="AL161:AM161"/>
    <mergeCell ref="AS161:AT161"/>
    <mergeCell ref="BP224:CA224"/>
    <mergeCell ref="BQ288:BQ289"/>
    <mergeCell ref="D160:R160"/>
    <mergeCell ref="S160:W160"/>
    <mergeCell ref="AE160:AK160"/>
    <mergeCell ref="AL160:AR160"/>
    <mergeCell ref="AS160:AX160"/>
    <mergeCell ref="X161:Y161"/>
    <mergeCell ref="AE161:AF161"/>
  </mergeCells>
  <dataValidations count="23">
    <dataValidation type="list" allowBlank="1" showInputMessage="1" showErrorMessage="1" sqref="C39:C42 C128:C131" xr:uid="{00000000-0002-0000-0500-000000000000}">
      <formula1>$BI$197:$BI$221</formula1>
    </dataValidation>
    <dataValidation type="list" allowBlank="1" showInputMessage="1" showErrorMessage="1" sqref="C31:C32 C145:C146 C120:C121 C59:C60" xr:uid="{00000000-0002-0000-0500-000001000000}">
      <formula1>$BI$296:$BI$297</formula1>
    </dataValidation>
    <dataValidation type="list" allowBlank="1" showInputMessage="1" showErrorMessage="1" sqref="C61 C147" xr:uid="{00000000-0002-0000-0500-000002000000}">
      <formula1>$BI$302</formula1>
    </dataValidation>
    <dataValidation type="list" allowBlank="1" showInputMessage="1" showErrorMessage="1" sqref="C62 C148" xr:uid="{00000000-0002-0000-0500-000003000000}">
      <formula1>$BI$307</formula1>
    </dataValidation>
    <dataValidation type="list" allowBlank="1" showInputMessage="1" showErrorMessage="1" sqref="C75:C77" xr:uid="{00000000-0002-0000-0500-000004000000}">
      <formula1>$BI$381:$BI$397</formula1>
    </dataValidation>
    <dataValidation type="list" allowBlank="1" showInputMessage="1" showErrorMessage="1" sqref="C57 C118 C143 C29" xr:uid="{00000000-0002-0000-0500-000005000000}">
      <formula1>$BI$290</formula1>
    </dataValidation>
    <dataValidation type="list" allowBlank="1" showInputMessage="1" showErrorMessage="1" sqref="C58 C119 C144 C30" xr:uid="{00000000-0002-0000-0500-000006000000}">
      <formula1>$BI$291</formula1>
    </dataValidation>
    <dataValidation type="list" allowBlank="1" showInputMessage="1" showErrorMessage="1" sqref="C73" xr:uid="{00000000-0002-0000-0500-000007000000}">
      <formula1>$BI$336</formula1>
    </dataValidation>
    <dataValidation type="list" allowBlank="1" showInputMessage="1" showErrorMessage="1" sqref="C155:C156" xr:uid="{00000000-0002-0000-0500-000008000000}">
      <formula1>$BI$512:$BI$521</formula1>
    </dataValidation>
    <dataValidation type="list" allowBlank="1" showInputMessage="1" showErrorMessage="1" sqref="C162:C173" xr:uid="{00000000-0002-0000-0500-000009000000}">
      <formula1>$BI$477:$BI$506</formula1>
    </dataValidation>
    <dataValidation type="list" allowBlank="1" showInputMessage="1" showErrorMessage="1" sqref="C69" xr:uid="{00000000-0002-0000-0500-00000A000000}">
      <formula1>$BI$316</formula1>
    </dataValidation>
    <dataValidation type="list" allowBlank="1" showInputMessage="1" showErrorMessage="1" sqref="C70:C71" xr:uid="{00000000-0002-0000-0500-00000B000000}">
      <formula1>$BI$314:$BI$315</formula1>
    </dataValidation>
    <dataValidation type="list" allowBlank="1" showInputMessage="1" showErrorMessage="1" sqref="C72" xr:uid="{00000000-0002-0000-0500-00000C000000}">
      <formula1>$BI$317:$BI$318</formula1>
    </dataValidation>
    <dataValidation type="list" allowBlank="1" showInputMessage="1" showErrorMessage="1" sqref="C16:C19 C105:C108 C132:C134 C43:C46" xr:uid="{00000000-0002-0000-0500-00000D000000}">
      <formula1>$BI$226:$BI$238</formula1>
    </dataValidation>
    <dataValidation type="list" allowBlank="1" showInputMessage="1" showErrorMessage="1" sqref="C20:C23 C47:C49 C109:C112 C135:C137" xr:uid="{00000000-0002-0000-0500-00000E000000}">
      <formula1>$BI$243:$BI$260</formula1>
    </dataValidation>
    <dataValidation type="list" allowBlank="1" showInputMessage="1" showErrorMessage="1" sqref="C74" xr:uid="{00000000-0002-0000-0500-00000F000000}">
      <formula1>$BI$319:$BI$335</formula1>
    </dataValidation>
    <dataValidation type="list" allowBlank="1" showInputMessage="1" showErrorMessage="1" sqref="C98" xr:uid="{00000000-0002-0000-0500-000010000000}">
      <formula1>$BI$462:$BI$471</formula1>
    </dataValidation>
    <dataValidation type="list" allowBlank="1" showInputMessage="1" showErrorMessage="1" sqref="C88" xr:uid="{00000000-0002-0000-0500-000011000000}">
      <formula1>$BI$453:$BI$455</formula1>
    </dataValidation>
    <dataValidation type="list" allowBlank="1" showInputMessage="1" showErrorMessage="1" sqref="C85:C87" xr:uid="{00000000-0002-0000-0500-000012000000}">
      <formula1>$BI$449:$BI$452</formula1>
    </dataValidation>
    <dataValidation type="list" allowBlank="1" showInputMessage="1" showErrorMessage="1" sqref="C139:C142 C51:C56 C114:C117 C25:C28" xr:uid="{00000000-0002-0000-0500-000013000000}">
      <formula1>$BI$264:$BI$285</formula1>
    </dataValidation>
    <dataValidation type="list" allowBlank="1" showInputMessage="1" showErrorMessage="1" sqref="C83:C84" xr:uid="{00000000-0002-0000-0500-000014000000}">
      <formula1>$BI$438:$BI$444</formula1>
    </dataValidation>
    <dataValidation type="list" allowBlank="1" showInputMessage="1" showErrorMessage="1" sqref="C78:C80" xr:uid="{00000000-0002-0000-0500-000015000000}">
      <formula1>$BI$403:$BI$432</formula1>
    </dataValidation>
    <dataValidation type="list" allowBlank="1" showInputMessage="1" showErrorMessage="1" sqref="C91:C92 C157:C158" xr:uid="{00000000-0002-0000-0500-000016000000}">
      <formula1>$BI$337:$BI$376</formula1>
    </dataValidation>
  </dataValidations>
  <hyperlinks>
    <hyperlink ref="Q15" location="'INSTRUCCIONES INCERTIDUMBRE'!C21" display="TOTAL" xr:uid="{00000000-0004-0000-0500-000000000000}"/>
    <hyperlink ref="R15" location="'INSTRUCCIONES INCERTIDUMBRE'!C22" display="No. DATOS" xr:uid="{00000000-0004-0000-0500-000001000000}"/>
    <hyperlink ref="S15" location="'INSTRUCCIONES INCERTIDUMBRE'!C23" display="PROMEDIO" xr:uid="{00000000-0004-0000-0500-000002000000}"/>
    <hyperlink ref="T15" location="'INSTRUCCIONES INCERTIDUMBRE'!C24" display="DESVIACION ESTÁNDAR" xr:uid="{00000000-0004-0000-0500-000003000000}"/>
    <hyperlink ref="U15" location="'INSTRUCCIONES INCERTIDUMBRE'!C25" display="FACTOR T" xr:uid="{00000000-0004-0000-0500-000004000000}"/>
    <hyperlink ref="W15" location="'INSTRUCCIONES INCERTIDUMBRE'!C26" display="INCERTIDUMBRE" xr:uid="{00000000-0004-0000-0500-000005000000}"/>
    <hyperlink ref="BF14:BF15" location="'INSTRUCCIONES INCERTIDUMBRE'!C32" display="'INSTRUCCIONES INCERTIDUMBRE'!C32" xr:uid="{00000000-0004-0000-0500-000006000000}"/>
    <hyperlink ref="BG14:BG15" location="'INSTRUCCIONES INCERTIDUMBRE'!C34" display="INCERTIDUMBRE DE LA FUENTE" xr:uid="{00000000-0004-0000-0500-000007000000}"/>
    <hyperlink ref="B182" location="MENÚ!A1" display="MENÚ" xr:uid="{00000000-0004-0000-0500-000008000000}"/>
    <hyperlink ref="B182:C182" location="'INSTRUCCIONES INCERTIDUMBRE'!A1" display="INSTRUCCIONES" xr:uid="{00000000-0004-0000-0500-000009000000}"/>
    <hyperlink ref="D1" location="MENÚ!A1" display="MENÚ" xr:uid="{00000000-0004-0000-0500-00000A000000}"/>
    <hyperlink ref="D1" location="'INSTRUCCIONES INCERTIDUMBRE'!A1" display="INSTRUCCIONES" xr:uid="{00000000-0004-0000-0500-00000B000000}"/>
    <hyperlink ref="D15" location="'INSTRUCCIONES INCERTIDUMBRE'!C19" display="UNIDAD" xr:uid="{00000000-0004-0000-0500-00000C000000}"/>
    <hyperlink ref="E15" location="'HC CORPORATIVA-INCERTIDUMBRE'!C20" display="DATO 1" xr:uid="{00000000-0004-0000-0500-00000D000000}"/>
    <hyperlink ref="Q38" location="'INSTRUCCIONES INCERTIDUMBRE'!C21" display="TOTAL" xr:uid="{00000000-0004-0000-0500-00000E000000}"/>
    <hyperlink ref="R38" location="'INSTRUCCIONES INCERTIDUMBRE'!C22" display="No. DATOS" xr:uid="{00000000-0004-0000-0500-00000F000000}"/>
    <hyperlink ref="S38" location="'INSTRUCCIONES INCERTIDUMBRE'!C23" display="PROMEDIO" xr:uid="{00000000-0004-0000-0500-000010000000}"/>
    <hyperlink ref="T38" location="'INSTRUCCIONES INCERTIDUMBRE'!C24" display="DESVIACION ESTÁNDAR" xr:uid="{00000000-0004-0000-0500-000011000000}"/>
    <hyperlink ref="U38" location="'INSTRUCCIONES INCERTIDUMBRE'!C25" display="FACTOR T" xr:uid="{00000000-0004-0000-0500-000012000000}"/>
    <hyperlink ref="W38" location="'INSTRUCCIONES INCERTIDUMBRE'!C26" display="INCERTIDUMBRE" xr:uid="{00000000-0004-0000-0500-000013000000}"/>
    <hyperlink ref="BF37:BF38" location="'INSTRUCCIONES INCERTIDUMBRE'!C32" display="'INSTRUCCIONES INCERTIDUMBRE'!C32" xr:uid="{00000000-0004-0000-0500-000014000000}"/>
    <hyperlink ref="BG37:BG38" location="'INSTRUCCIONES INCERTIDUMBRE'!C34" display="INCERTIDUMBRE DE LA FUENTE" xr:uid="{00000000-0004-0000-0500-000015000000}"/>
    <hyperlink ref="D38" location="'INSTRUCCIONES INCERTIDUMBRE'!C19" display="UNIDAD" xr:uid="{00000000-0004-0000-0500-000016000000}"/>
    <hyperlink ref="E38" location="'HC CORPORATIVA-INCERTIDUMBRE'!C20" display="DATO 1" xr:uid="{00000000-0004-0000-0500-000017000000}"/>
    <hyperlink ref="Q82" location="'INSTRUCCIONES INCERTIDUMBRE'!C21" display="TOTAL" xr:uid="{00000000-0004-0000-0500-000018000000}"/>
    <hyperlink ref="R82" location="'INSTRUCCIONES INCERTIDUMBRE'!C22" display="No. DATOS" xr:uid="{00000000-0004-0000-0500-000019000000}"/>
    <hyperlink ref="S82" location="'INSTRUCCIONES INCERTIDUMBRE'!C23" display="PROMEDIO" xr:uid="{00000000-0004-0000-0500-00001A000000}"/>
    <hyperlink ref="T82" location="'INSTRUCCIONES INCERTIDUMBRE'!C24" display="DESVIACION ESTÁNDAR" xr:uid="{00000000-0004-0000-0500-00001B000000}"/>
    <hyperlink ref="U82" location="'INSTRUCCIONES INCERTIDUMBRE'!C25" display="FACTOR T" xr:uid="{00000000-0004-0000-0500-00001C000000}"/>
    <hyperlink ref="W82" location="'INSTRUCCIONES INCERTIDUMBRE'!C26" display="INCERTIDUMBRE" xr:uid="{00000000-0004-0000-0500-00001D000000}"/>
    <hyperlink ref="BF81:BF82" location="'INSTRUCCIONES INCERTIDUMBRE'!C32" display="'INSTRUCCIONES INCERTIDUMBRE'!C32" xr:uid="{00000000-0004-0000-0500-00001E000000}"/>
    <hyperlink ref="BG81:BG82" location="'INSTRUCCIONES INCERTIDUMBRE'!C34" display="INCERTIDUMBRE DE LA FUENTE" xr:uid="{00000000-0004-0000-0500-00001F000000}"/>
    <hyperlink ref="D82" location="'INSTRUCCIONES INCERTIDUMBRE'!C19" display="UNIDAD" xr:uid="{00000000-0004-0000-0500-000020000000}"/>
    <hyperlink ref="E82" location="'HC CORPORATIVA-INCERTIDUMBRE'!C20" display="DATO 1" xr:uid="{00000000-0004-0000-0500-000021000000}"/>
    <hyperlink ref="Q68" location="'INSTRUCCIONES INCERTIDUMBRE'!C21" display="TOTAL" xr:uid="{00000000-0004-0000-0500-000022000000}"/>
    <hyperlink ref="R68" location="'INSTRUCCIONES INCERTIDUMBRE'!C22" display="No. DATOS" xr:uid="{00000000-0004-0000-0500-000023000000}"/>
    <hyperlink ref="S68" location="'INSTRUCCIONES INCERTIDUMBRE'!C23" display="PROMEDIO" xr:uid="{00000000-0004-0000-0500-000024000000}"/>
    <hyperlink ref="T68" location="'INSTRUCCIONES INCERTIDUMBRE'!C24" display="DESVIACION ESTÁNDAR" xr:uid="{00000000-0004-0000-0500-000025000000}"/>
    <hyperlink ref="U68" location="'INSTRUCCIONES INCERTIDUMBRE'!C25" display="FACTOR T" xr:uid="{00000000-0004-0000-0500-000026000000}"/>
    <hyperlink ref="W68" location="'INSTRUCCIONES INCERTIDUMBRE'!C26" display="INCERTIDUMBRE" xr:uid="{00000000-0004-0000-0500-000027000000}"/>
    <hyperlink ref="BF67:BF68" location="'INSTRUCCIONES INCERTIDUMBRE'!C32" display="'INSTRUCCIONES INCERTIDUMBRE'!C32" xr:uid="{00000000-0004-0000-0500-000028000000}"/>
    <hyperlink ref="BG67:BG68" location="'INSTRUCCIONES INCERTIDUMBRE'!C34" display="INCERTIDUMBRE DE LA FUENTE" xr:uid="{00000000-0004-0000-0500-000029000000}"/>
    <hyperlink ref="D68" location="'INSTRUCCIONES INCERTIDUMBRE'!C19" display="UNIDAD" xr:uid="{00000000-0004-0000-0500-00002A000000}"/>
    <hyperlink ref="E68" location="'HC CORPORATIVA-INCERTIDUMBRE'!C20" display="DATO 1" xr:uid="{00000000-0004-0000-0500-00002B000000}"/>
    <hyperlink ref="Q90" location="'INSTRUCCIONES INCERTIDUMBRE'!C21" display="TOTAL" xr:uid="{00000000-0004-0000-0500-00002C000000}"/>
    <hyperlink ref="R90" location="'INSTRUCCIONES INCERTIDUMBRE'!C22" display="No. DATOS" xr:uid="{00000000-0004-0000-0500-00002D000000}"/>
    <hyperlink ref="S90" location="'INSTRUCCIONES INCERTIDUMBRE'!C23" display="PROMEDIO" xr:uid="{00000000-0004-0000-0500-00002E000000}"/>
    <hyperlink ref="T90" location="'INSTRUCCIONES INCERTIDUMBRE'!C24" display="DESVIACION ESTÁNDAR" xr:uid="{00000000-0004-0000-0500-00002F000000}"/>
    <hyperlink ref="U90" location="'INSTRUCCIONES INCERTIDUMBRE'!C25" display="FACTOR T" xr:uid="{00000000-0004-0000-0500-000030000000}"/>
    <hyperlink ref="W90" location="'INSTRUCCIONES INCERTIDUMBRE'!C26" display="INCERTIDUMBRE" xr:uid="{00000000-0004-0000-0500-000031000000}"/>
    <hyperlink ref="BF89:BF90" location="'INSTRUCCIONES INCERTIDUMBRE'!C32" display="'INSTRUCCIONES INCERTIDUMBRE'!C32" xr:uid="{00000000-0004-0000-0500-000032000000}"/>
    <hyperlink ref="BG89:BG90" location="'INSTRUCCIONES INCERTIDUMBRE'!C34" display="INCERTIDUMBRE DE LA FUENTE" xr:uid="{00000000-0004-0000-0500-000033000000}"/>
    <hyperlink ref="D90" location="'INSTRUCCIONES INCERTIDUMBRE'!C19" display="UNIDAD" xr:uid="{00000000-0004-0000-0500-000034000000}"/>
    <hyperlink ref="E90" location="'HC CORPORATIVA-INCERTIDUMBRE'!C20" display="DATO 1" xr:uid="{00000000-0004-0000-0500-000035000000}"/>
    <hyperlink ref="Q154" location="'INSTRUCCIONES INCERTIDUMBRE'!C21" display="TOTAL" xr:uid="{00000000-0004-0000-0500-000036000000}"/>
    <hyperlink ref="R154" location="'INSTRUCCIONES INCERTIDUMBRE'!C22" display="No. DATOS" xr:uid="{00000000-0004-0000-0500-000037000000}"/>
    <hyperlink ref="S154" location="'INSTRUCCIONES INCERTIDUMBRE'!C23" display="PROMEDIO" xr:uid="{00000000-0004-0000-0500-000038000000}"/>
    <hyperlink ref="T154" location="'INSTRUCCIONES INCERTIDUMBRE'!C24" display="DESVIACION ESTÁNDAR" xr:uid="{00000000-0004-0000-0500-000039000000}"/>
    <hyperlink ref="U154" location="'INSTRUCCIONES INCERTIDUMBRE'!C25" display="FACTOR T" xr:uid="{00000000-0004-0000-0500-00003A000000}"/>
    <hyperlink ref="W154" location="'INSTRUCCIONES INCERTIDUMBRE'!C26" display="INCERTIDUMBRE" xr:uid="{00000000-0004-0000-0500-00003B000000}"/>
    <hyperlink ref="BF153:BF154" location="'INSTRUCCIONES INCERTIDUMBRE'!C32" display="'INSTRUCCIONES INCERTIDUMBRE'!C32" xr:uid="{00000000-0004-0000-0500-00003C000000}"/>
    <hyperlink ref="BG153:BG154" location="'INSTRUCCIONES INCERTIDUMBRE'!C34" display="INCERTIDUMBRE DE LA FUENTE" xr:uid="{00000000-0004-0000-0500-00003D000000}"/>
    <hyperlink ref="D154" location="'INSTRUCCIONES INCERTIDUMBRE'!C19" display="UNIDAD" xr:uid="{00000000-0004-0000-0500-00003E000000}"/>
    <hyperlink ref="E154" location="'HC CORPORATIVA-INCERTIDUMBRE'!C20" display="DATO 1" xr:uid="{00000000-0004-0000-0500-00003F000000}"/>
    <hyperlink ref="Q161" location="'INSTRUCCIONES INCERTIDUMBRE'!C21" display="TOTAL" xr:uid="{00000000-0004-0000-0500-000040000000}"/>
    <hyperlink ref="R161" location="'INSTRUCCIONES INCERTIDUMBRE'!C22" display="No. DATOS" xr:uid="{00000000-0004-0000-0500-000041000000}"/>
    <hyperlink ref="S161" location="'INSTRUCCIONES INCERTIDUMBRE'!C23" display="PROMEDIO" xr:uid="{00000000-0004-0000-0500-000042000000}"/>
    <hyperlink ref="T161" location="'INSTRUCCIONES INCERTIDUMBRE'!C24" display="DESVIACION ESTÁNDAR" xr:uid="{00000000-0004-0000-0500-000043000000}"/>
    <hyperlink ref="U161" location="'INSTRUCCIONES INCERTIDUMBRE'!C25" display="FACTOR T" xr:uid="{00000000-0004-0000-0500-000044000000}"/>
    <hyperlink ref="W161" location="'INSTRUCCIONES INCERTIDUMBRE'!C26" display="INCERTIDUMBRE" xr:uid="{00000000-0004-0000-0500-000045000000}"/>
    <hyperlink ref="BF160:BF161" location="'INSTRUCCIONES INCERTIDUMBRE'!C32" display="'INSTRUCCIONES INCERTIDUMBRE'!C32" xr:uid="{00000000-0004-0000-0500-000046000000}"/>
    <hyperlink ref="BG160:BG161" location="'INSTRUCCIONES INCERTIDUMBRE'!C34" display="INCERTIDUMBRE DE LA FUENTE" xr:uid="{00000000-0004-0000-0500-000047000000}"/>
    <hyperlink ref="D161" location="'INSTRUCCIONES INCERTIDUMBRE'!C19" display="UNIDAD" xr:uid="{00000000-0004-0000-0500-000048000000}"/>
    <hyperlink ref="E161" location="'HC CORPORATIVA-INCERTIDUMBRE'!C20" display="DATO 1" xr:uid="{00000000-0004-0000-0500-000049000000}"/>
    <hyperlink ref="Q104" location="'INSTRUCCIONES INCERTIDUMBRE'!C21" display="TOTAL" xr:uid="{00000000-0004-0000-0500-00004A000000}"/>
    <hyperlink ref="R104" location="'INSTRUCCIONES INCERTIDUMBRE'!C22" display="No. DATOS" xr:uid="{00000000-0004-0000-0500-00004B000000}"/>
    <hyperlink ref="S104" location="'INSTRUCCIONES INCERTIDUMBRE'!C23" display="PROMEDIO" xr:uid="{00000000-0004-0000-0500-00004C000000}"/>
    <hyperlink ref="T104" location="'INSTRUCCIONES INCERTIDUMBRE'!C24" display="DESVIACION ESTÁNDAR" xr:uid="{00000000-0004-0000-0500-00004D000000}"/>
    <hyperlink ref="U104" location="'INSTRUCCIONES INCERTIDUMBRE'!C25" display="FACTOR T" xr:uid="{00000000-0004-0000-0500-00004E000000}"/>
    <hyperlink ref="W104" location="'INSTRUCCIONES INCERTIDUMBRE'!C26" display="INCERTIDUMBRE" xr:uid="{00000000-0004-0000-0500-00004F000000}"/>
    <hyperlink ref="BF103:BF104" location="'INSTRUCCIONES INCERTIDUMBRE'!C32" display="'INSTRUCCIONES INCERTIDUMBRE'!C32" xr:uid="{00000000-0004-0000-0500-000050000000}"/>
    <hyperlink ref="BG103:BG104" location="'INSTRUCCIONES INCERTIDUMBRE'!C34" display="INCERTIDUMBRE DE LA FUENTE" xr:uid="{00000000-0004-0000-0500-000051000000}"/>
    <hyperlink ref="D104" location="'INSTRUCCIONES INCERTIDUMBRE'!C19" display="UNIDAD" xr:uid="{00000000-0004-0000-0500-000052000000}"/>
    <hyperlink ref="E104" location="'HC CORPORATIVA-INCERTIDUMBRE'!C20" display="DATO 1" xr:uid="{00000000-0004-0000-0500-000053000000}"/>
    <hyperlink ref="Q127" location="'INSTRUCCIONES INCERTIDUMBRE'!C21" display="TOTAL" xr:uid="{00000000-0004-0000-0500-000054000000}"/>
    <hyperlink ref="R127" location="'INSTRUCCIONES INCERTIDUMBRE'!C22" display="No. DATOS" xr:uid="{00000000-0004-0000-0500-000055000000}"/>
    <hyperlink ref="S127" location="'INSTRUCCIONES INCERTIDUMBRE'!C23" display="PROMEDIO" xr:uid="{00000000-0004-0000-0500-000056000000}"/>
    <hyperlink ref="T127" location="'INSTRUCCIONES INCERTIDUMBRE'!C24" display="DESVIACION ESTÁNDAR" xr:uid="{00000000-0004-0000-0500-000057000000}"/>
    <hyperlink ref="U127" location="'INSTRUCCIONES INCERTIDUMBRE'!C25" display="FACTOR T" xr:uid="{00000000-0004-0000-0500-000058000000}"/>
    <hyperlink ref="W127" location="'INSTRUCCIONES INCERTIDUMBRE'!C26" display="INCERTIDUMBRE" xr:uid="{00000000-0004-0000-0500-000059000000}"/>
    <hyperlink ref="BF126:BF127" location="'INSTRUCCIONES INCERTIDUMBRE'!C32" display="'INSTRUCCIONES INCERTIDUMBRE'!C32" xr:uid="{00000000-0004-0000-0500-00005A000000}"/>
    <hyperlink ref="BG126:BG127" location="'INSTRUCCIONES INCERTIDUMBRE'!C34" display="INCERTIDUMBRE DE LA FUENTE" xr:uid="{00000000-0004-0000-0500-00005B000000}"/>
    <hyperlink ref="D127" location="'INSTRUCCIONES INCERTIDUMBRE'!C19" display="UNIDAD" xr:uid="{00000000-0004-0000-0500-00005C000000}"/>
    <hyperlink ref="E127" location="'HC CORPORATIVA-INCERTIDUMBRE'!C20" display="DATO 1" xr:uid="{00000000-0004-0000-0500-00005D000000}"/>
    <hyperlink ref="BU276" r:id="rId1" xr:uid="{00000000-0004-0000-0500-00005E000000}"/>
    <hyperlink ref="BO282" r:id="rId2" xr:uid="{00000000-0004-0000-0500-00005F000000}"/>
    <hyperlink ref="H1:I1" location="'Resumen y Gráfica '!B90" display="CREDITOS" xr:uid="{00000000-0004-0000-0500-000060000000}"/>
    <hyperlink ref="C10" r:id="rId3" xr:uid="{00000000-0004-0000-0500-000061000000}"/>
    <hyperlink ref="BO316" r:id="rId4" xr:uid="{00000000-0004-0000-0500-000062000000}"/>
  </hyperlinks>
  <pageMargins left="0.7" right="0.7" top="0.75" bottom="0.75" header="0.3" footer="0.3"/>
  <pageSetup orientation="portrait" r:id="rId5"/>
  <drawing r:id="rId6"/>
  <legacyDrawing r:id="rId7"/>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39997558519241921"/>
  </sheetPr>
  <dimension ref="A1:DC113"/>
  <sheetViews>
    <sheetView topLeftCell="E4" zoomScale="90" zoomScaleNormal="90" workbookViewId="0">
      <selection activeCell="M8" sqref="M8:AC8"/>
    </sheetView>
  </sheetViews>
  <sheetFormatPr baseColWidth="10" defaultColWidth="11.42578125" defaultRowHeight="15" x14ac:dyDescent="0.25"/>
  <cols>
    <col min="1" max="1" width="5.5703125" style="340" customWidth="1"/>
    <col min="2" max="2" width="39.5703125" style="341" customWidth="1"/>
    <col min="3" max="3" width="49.28515625" style="341" customWidth="1"/>
    <col min="4" max="4" width="11.42578125" style="341" customWidth="1"/>
    <col min="5" max="5" width="12.5703125" style="341" customWidth="1"/>
    <col min="6" max="16" width="12.42578125" style="341" customWidth="1"/>
    <col min="17" max="17" width="14.85546875" style="341" customWidth="1"/>
    <col min="18" max="18" width="10" style="341" hidden="1" customWidth="1"/>
    <col min="19" max="19" width="13.42578125" style="341" hidden="1" customWidth="1"/>
    <col min="20" max="20" width="14" style="341" hidden="1" customWidth="1"/>
    <col min="21" max="21" width="11.42578125" style="341" hidden="1" customWidth="1"/>
    <col min="22" max="22" width="18.28515625" style="336" customWidth="1"/>
    <col min="23" max="23" width="18.140625" style="341" customWidth="1"/>
    <col min="24" max="24" width="11.42578125" style="341" customWidth="1"/>
    <col min="25" max="25" width="20.5703125" style="341" customWidth="1"/>
    <col min="26" max="26" width="18.28515625" style="341" customWidth="1"/>
    <col min="27" max="28" width="12.85546875" style="337" customWidth="1"/>
    <col min="29" max="29" width="18" style="341" customWidth="1"/>
    <col min="30" max="30" width="12.85546875" style="337" hidden="1" customWidth="1"/>
    <col min="31" max="31" width="21.5703125" style="341" customWidth="1"/>
    <col min="32" max="32" width="20" style="341" customWidth="1"/>
    <col min="33" max="33" width="16.5703125" style="342" customWidth="1"/>
    <col min="34" max="34" width="41.28515625" style="345" customWidth="1"/>
    <col min="35" max="35" width="11.28515625" style="473" customWidth="1"/>
    <col min="36" max="37" width="16.7109375" style="473" customWidth="1"/>
    <col min="38" max="39" width="11.7109375" style="463" customWidth="1"/>
    <col min="40" max="40" width="18.42578125" style="463" customWidth="1"/>
    <col min="41" max="41" width="16.28515625" style="473" customWidth="1"/>
    <col min="42" max="42" width="16" style="473" customWidth="1"/>
    <col min="43" max="43" width="13.42578125" style="473" customWidth="1"/>
    <col min="44" max="45" width="11.7109375" style="473" customWidth="1"/>
    <col min="46" max="46" width="14.85546875" style="473" bestFit="1" customWidth="1"/>
    <col min="47" max="51" width="11.7109375" style="473" customWidth="1"/>
    <col min="52" max="52" width="14.85546875" style="473" bestFit="1" customWidth="1"/>
    <col min="53" max="53" width="11.7109375" style="475" customWidth="1"/>
    <col min="54" max="55" width="11.7109375" style="473" customWidth="1"/>
    <col min="56" max="57" width="11.7109375" style="475" customWidth="1"/>
    <col min="58" max="58" width="14.85546875" style="475" bestFit="1" customWidth="1"/>
    <col min="59" max="59" width="11.7109375" style="475" customWidth="1"/>
    <col min="60" max="61" width="11.7109375" style="473" customWidth="1"/>
    <col min="62" max="63" width="11.7109375" style="475" customWidth="1"/>
    <col min="64" max="64" width="14.85546875" style="475" bestFit="1" customWidth="1"/>
    <col min="65" max="65" width="11.7109375" style="360" customWidth="1"/>
    <col min="66" max="72" width="11.7109375" style="344" customWidth="1"/>
    <col min="73" max="73" width="11.42578125" style="344" customWidth="1"/>
    <col min="74" max="74" width="13.42578125" style="344" customWidth="1"/>
    <col min="75" max="75" width="14.85546875" style="344" customWidth="1"/>
    <col min="76" max="76" width="11.5703125" style="344" customWidth="1"/>
    <col min="77" max="84" width="11.42578125" style="344" customWidth="1"/>
    <col min="85" max="99" width="11.42578125" style="344"/>
    <col min="100" max="107" width="11.42578125" style="343"/>
    <col min="108" max="16384" width="11.42578125" style="341"/>
  </cols>
  <sheetData>
    <row r="1" spans="1:107" s="146" customFormat="1" ht="27" customHeight="1" thickBot="1" x14ac:dyDescent="0.3">
      <c r="B1" s="146" t="s">
        <v>464</v>
      </c>
      <c r="D1" s="818" t="s">
        <v>261</v>
      </c>
      <c r="E1" s="819"/>
      <c r="F1" s="819"/>
      <c r="G1" s="154"/>
      <c r="H1" s="773" t="s">
        <v>580</v>
      </c>
      <c r="I1" s="774"/>
      <c r="J1" s="154"/>
      <c r="K1" s="154"/>
      <c r="L1" s="154"/>
      <c r="M1" s="154"/>
      <c r="N1" s="154"/>
      <c r="O1" s="154"/>
      <c r="P1" s="154"/>
      <c r="Q1" s="154"/>
      <c r="R1" s="155"/>
      <c r="S1" s="154"/>
      <c r="T1" s="154"/>
      <c r="U1" s="154"/>
      <c r="V1" s="156"/>
      <c r="W1" s="156"/>
      <c r="Z1" s="156"/>
      <c r="AA1" s="157"/>
      <c r="AB1" s="157"/>
      <c r="AC1" s="156"/>
      <c r="AD1" s="157"/>
      <c r="AE1" s="154"/>
      <c r="AF1" s="156"/>
      <c r="AG1" s="160"/>
      <c r="AH1" s="458"/>
      <c r="AI1" s="459"/>
      <c r="AJ1" s="459"/>
      <c r="AK1" s="459"/>
      <c r="AL1" s="460"/>
      <c r="AM1" s="460"/>
      <c r="AN1" s="460"/>
      <c r="AO1" s="459"/>
      <c r="AP1" s="459"/>
      <c r="AQ1" s="459"/>
      <c r="AR1" s="459"/>
      <c r="AS1" s="459"/>
      <c r="AT1" s="459"/>
      <c r="AU1" s="459"/>
      <c r="AV1" s="459"/>
      <c r="AW1" s="459"/>
      <c r="AX1" s="459"/>
      <c r="AY1" s="459"/>
      <c r="AZ1" s="459"/>
      <c r="BA1" s="461"/>
      <c r="BB1" s="459"/>
      <c r="BC1" s="459"/>
      <c r="BD1" s="461"/>
      <c r="BE1" s="461"/>
      <c r="BF1" s="461"/>
      <c r="BG1" s="461"/>
      <c r="BH1" s="459"/>
      <c r="BI1" s="459"/>
      <c r="BJ1" s="461"/>
      <c r="BK1" s="461"/>
      <c r="BL1" s="461"/>
      <c r="BM1" s="355"/>
      <c r="BN1" s="160"/>
      <c r="BO1" s="160"/>
      <c r="BP1" s="160"/>
      <c r="BQ1" s="160"/>
      <c r="BR1" s="160"/>
      <c r="BS1" s="160"/>
      <c r="BT1" s="160"/>
      <c r="BU1" s="160"/>
      <c r="BV1" s="160"/>
      <c r="BW1" s="160"/>
      <c r="BX1" s="160"/>
      <c r="BY1" s="160"/>
      <c r="BZ1" s="160"/>
      <c r="CA1" s="160"/>
      <c r="CB1" s="160"/>
      <c r="CC1" s="160"/>
      <c r="CD1" s="160"/>
      <c r="CE1" s="160"/>
      <c r="CF1" s="160"/>
      <c r="CG1" s="160"/>
      <c r="CH1" s="160"/>
      <c r="CI1" s="160"/>
      <c r="CJ1" s="160"/>
      <c r="CK1" s="160"/>
      <c r="CL1" s="160"/>
      <c r="CM1" s="160"/>
      <c r="CN1" s="160"/>
      <c r="CO1" s="160"/>
      <c r="CP1" s="160"/>
      <c r="CQ1" s="160"/>
      <c r="CR1" s="160"/>
      <c r="CS1" s="160"/>
      <c r="CT1" s="160"/>
      <c r="CU1" s="160"/>
      <c r="CV1" s="161"/>
      <c r="CW1" s="161"/>
      <c r="CX1" s="161"/>
      <c r="CY1" s="161"/>
      <c r="CZ1" s="161"/>
      <c r="DA1" s="161"/>
      <c r="DB1" s="161"/>
      <c r="DC1" s="161"/>
    </row>
    <row r="2" spans="1:107" s="147" customFormat="1" ht="24" customHeight="1" x14ac:dyDescent="0.25">
      <c r="A2" s="146"/>
      <c r="B2" s="393" t="s">
        <v>573</v>
      </c>
      <c r="C2" s="782"/>
      <c r="D2" s="720" t="s">
        <v>477</v>
      </c>
      <c r="E2" s="721"/>
      <c r="F2" s="721"/>
      <c r="G2" s="721"/>
      <c r="H2" s="721"/>
      <c r="I2" s="721"/>
      <c r="J2" s="721"/>
      <c r="K2" s="721"/>
      <c r="L2" s="721"/>
      <c r="M2" s="721"/>
      <c r="N2" s="721"/>
      <c r="O2" s="721"/>
      <c r="P2" s="721"/>
      <c r="Q2" s="721"/>
      <c r="R2" s="721"/>
      <c r="S2" s="721"/>
      <c r="T2" s="721"/>
      <c r="U2" s="721"/>
      <c r="V2" s="721"/>
      <c r="W2" s="780"/>
      <c r="X2" s="162"/>
      <c r="Y2" s="163"/>
      <c r="Z2" s="164"/>
      <c r="AA2" s="165"/>
      <c r="AB2" s="165"/>
      <c r="AC2" s="164"/>
      <c r="AD2" s="165"/>
      <c r="AE2" s="168"/>
      <c r="AF2" s="169"/>
      <c r="AG2" s="160"/>
      <c r="AH2" s="200"/>
      <c r="AI2" s="462"/>
      <c r="AJ2" s="462"/>
      <c r="AK2" s="462"/>
      <c r="AL2" s="463"/>
      <c r="AM2" s="463"/>
      <c r="AN2" s="463"/>
      <c r="AO2" s="462"/>
      <c r="AP2" s="462"/>
      <c r="AQ2" s="462"/>
      <c r="AR2" s="462"/>
      <c r="AS2" s="462"/>
      <c r="AT2" s="462"/>
      <c r="AU2" s="462"/>
      <c r="AV2" s="462"/>
      <c r="AW2" s="462"/>
      <c r="AX2" s="462"/>
      <c r="AY2" s="462"/>
      <c r="AZ2" s="462"/>
      <c r="BA2" s="464"/>
      <c r="BB2" s="462"/>
      <c r="BC2" s="462"/>
      <c r="BD2" s="464"/>
      <c r="BE2" s="464"/>
      <c r="BF2" s="464"/>
      <c r="BG2" s="464"/>
      <c r="BH2" s="462"/>
      <c r="BI2" s="462"/>
      <c r="BJ2" s="464"/>
      <c r="BK2" s="464"/>
      <c r="BL2" s="464"/>
      <c r="BM2" s="357"/>
      <c r="BN2" s="171"/>
      <c r="BO2" s="171"/>
      <c r="BP2" s="171"/>
      <c r="BQ2" s="171"/>
      <c r="BR2" s="171"/>
      <c r="BS2" s="171"/>
      <c r="BT2" s="171"/>
      <c r="BU2" s="171"/>
      <c r="BV2" s="171"/>
      <c r="BW2" s="171"/>
      <c r="BX2" s="171"/>
      <c r="BY2" s="171"/>
      <c r="BZ2" s="171"/>
      <c r="CA2" s="171"/>
      <c r="CB2" s="171"/>
      <c r="CC2" s="171"/>
      <c r="CD2" s="171"/>
      <c r="CE2" s="171"/>
      <c r="CF2" s="171"/>
      <c r="CG2" s="171"/>
      <c r="CH2" s="171"/>
      <c r="CI2" s="171"/>
      <c r="CJ2" s="171"/>
      <c r="CK2" s="171"/>
      <c r="CL2" s="171"/>
      <c r="CM2" s="171"/>
      <c r="CN2" s="171"/>
      <c r="CO2" s="171"/>
      <c r="CP2" s="171"/>
      <c r="CQ2" s="171"/>
      <c r="CR2" s="171"/>
      <c r="CS2" s="171"/>
      <c r="CT2" s="171"/>
      <c r="CU2" s="171"/>
      <c r="CV2" s="170"/>
      <c r="CW2" s="170"/>
      <c r="CX2" s="170"/>
      <c r="CY2" s="170"/>
      <c r="CZ2" s="170"/>
      <c r="DA2" s="170"/>
      <c r="DB2" s="170"/>
      <c r="DC2" s="170"/>
    </row>
    <row r="3" spans="1:107" s="147" customFormat="1" ht="24" customHeight="1" thickBot="1" x14ac:dyDescent="0.3">
      <c r="A3" s="146"/>
      <c r="B3" s="394"/>
      <c r="C3" s="782"/>
      <c r="D3" s="722"/>
      <c r="E3" s="723"/>
      <c r="F3" s="723"/>
      <c r="G3" s="723"/>
      <c r="H3" s="723"/>
      <c r="I3" s="723"/>
      <c r="J3" s="723"/>
      <c r="K3" s="723"/>
      <c r="L3" s="723"/>
      <c r="M3" s="723"/>
      <c r="N3" s="723"/>
      <c r="O3" s="723"/>
      <c r="P3" s="723"/>
      <c r="Q3" s="723"/>
      <c r="R3" s="723"/>
      <c r="S3" s="723"/>
      <c r="T3" s="723"/>
      <c r="U3" s="723"/>
      <c r="V3" s="723"/>
      <c r="W3" s="781"/>
      <c r="X3" s="172"/>
      <c r="Y3" s="173"/>
      <c r="Z3" s="174"/>
      <c r="AA3" s="175"/>
      <c r="AB3" s="175"/>
      <c r="AC3" s="174"/>
      <c r="AD3" s="175"/>
      <c r="AE3" s="178"/>
      <c r="AF3" s="164"/>
      <c r="AG3" s="160"/>
      <c r="AH3" s="200"/>
      <c r="AI3" s="462"/>
      <c r="AJ3" s="462"/>
      <c r="AK3" s="462"/>
      <c r="AL3" s="463"/>
      <c r="AM3" s="463"/>
      <c r="AN3" s="463"/>
      <c r="AO3" s="462"/>
      <c r="AP3" s="462"/>
      <c r="AQ3" s="462"/>
      <c r="AR3" s="462"/>
      <c r="AS3" s="462"/>
      <c r="AT3" s="462"/>
      <c r="AU3" s="462"/>
      <c r="AV3" s="462"/>
      <c r="AW3" s="462"/>
      <c r="AX3" s="462"/>
      <c r="AY3" s="462"/>
      <c r="AZ3" s="462"/>
      <c r="BA3" s="464"/>
      <c r="BB3" s="462"/>
      <c r="BC3" s="462"/>
      <c r="BD3" s="464"/>
      <c r="BE3" s="464"/>
      <c r="BF3" s="464"/>
      <c r="BG3" s="464"/>
      <c r="BH3" s="462"/>
      <c r="BI3" s="462"/>
      <c r="BJ3" s="464"/>
      <c r="BK3" s="464"/>
      <c r="BL3" s="464"/>
      <c r="BM3" s="357"/>
      <c r="BN3" s="171"/>
      <c r="BO3" s="171"/>
      <c r="BP3" s="171"/>
      <c r="BQ3" s="171"/>
      <c r="BR3" s="171"/>
      <c r="BS3" s="171"/>
      <c r="BT3" s="171"/>
      <c r="BU3" s="171"/>
      <c r="BV3" s="171"/>
      <c r="BW3" s="171"/>
      <c r="BX3" s="171"/>
      <c r="BY3" s="171"/>
      <c r="BZ3" s="171"/>
      <c r="CA3" s="171"/>
      <c r="CB3" s="171"/>
      <c r="CC3" s="171"/>
      <c r="CD3" s="171"/>
      <c r="CE3" s="171"/>
      <c r="CF3" s="171"/>
      <c r="CG3" s="171"/>
      <c r="CH3" s="171"/>
      <c r="CI3" s="171"/>
      <c r="CJ3" s="171"/>
      <c r="CK3" s="171"/>
      <c r="CL3" s="171"/>
      <c r="CM3" s="171"/>
      <c r="CN3" s="171"/>
      <c r="CO3" s="171"/>
      <c r="CP3" s="171"/>
      <c r="CQ3" s="171"/>
      <c r="CR3" s="171"/>
      <c r="CS3" s="171"/>
      <c r="CT3" s="171"/>
      <c r="CU3" s="171"/>
      <c r="CV3" s="170"/>
      <c r="CW3" s="170"/>
      <c r="CX3" s="170"/>
      <c r="CY3" s="170"/>
      <c r="CZ3" s="170"/>
      <c r="DA3" s="170"/>
      <c r="DB3" s="170"/>
      <c r="DC3" s="170"/>
    </row>
    <row r="4" spans="1:107" s="146" customFormat="1" ht="19.5" thickBot="1" x14ac:dyDescent="0.3">
      <c r="A4" s="179"/>
      <c r="B4" s="163"/>
      <c r="C4" s="782"/>
      <c r="D4" s="179"/>
      <c r="E4" s="180"/>
      <c r="F4" s="180"/>
      <c r="G4" s="180"/>
      <c r="H4" s="180"/>
      <c r="I4" s="180"/>
      <c r="J4" s="180"/>
      <c r="K4" s="180"/>
      <c r="L4" s="180"/>
      <c r="M4" s="180"/>
      <c r="N4" s="180"/>
      <c r="O4" s="180"/>
      <c r="P4" s="180"/>
      <c r="Q4" s="180"/>
      <c r="R4" s="181"/>
      <c r="S4" s="180"/>
      <c r="T4" s="180"/>
      <c r="U4" s="180"/>
      <c r="V4" s="182"/>
      <c r="W4" s="182"/>
      <c r="X4" s="179"/>
      <c r="Y4" s="179"/>
      <c r="Z4" s="182"/>
      <c r="AA4" s="183"/>
      <c r="AB4" s="183"/>
      <c r="AC4" s="182"/>
      <c r="AD4" s="183"/>
      <c r="AE4" s="186"/>
      <c r="AF4" s="187"/>
      <c r="AG4" s="160"/>
      <c r="AH4" s="458"/>
      <c r="AI4" s="459"/>
      <c r="AJ4" s="459"/>
      <c r="AK4" s="459"/>
      <c r="AL4" s="460"/>
      <c r="AM4" s="460"/>
      <c r="AN4" s="460"/>
      <c r="AO4" s="459"/>
      <c r="AP4" s="459"/>
      <c r="AQ4" s="459"/>
      <c r="AR4" s="459"/>
      <c r="AS4" s="459"/>
      <c r="AT4" s="459"/>
      <c r="AU4" s="459"/>
      <c r="AV4" s="459"/>
      <c r="AW4" s="459"/>
      <c r="AX4" s="459"/>
      <c r="AY4" s="459"/>
      <c r="AZ4" s="459"/>
      <c r="BA4" s="461"/>
      <c r="BB4" s="459"/>
      <c r="BC4" s="459"/>
      <c r="BD4" s="461"/>
      <c r="BE4" s="461"/>
      <c r="BF4" s="461"/>
      <c r="BG4" s="461"/>
      <c r="BH4" s="459"/>
      <c r="BI4" s="459"/>
      <c r="BJ4" s="461"/>
      <c r="BK4" s="461"/>
      <c r="BL4" s="461"/>
      <c r="BM4" s="355"/>
      <c r="BN4" s="160"/>
      <c r="BO4" s="160"/>
      <c r="BP4" s="160"/>
      <c r="BQ4" s="160"/>
      <c r="BR4" s="160"/>
      <c r="BS4" s="160"/>
      <c r="BT4" s="160"/>
      <c r="BU4" s="160"/>
      <c r="BV4" s="160"/>
      <c r="BW4" s="160"/>
      <c r="BX4" s="160"/>
      <c r="BY4" s="160"/>
      <c r="BZ4" s="160"/>
      <c r="CA4" s="160"/>
      <c r="CB4" s="160"/>
      <c r="CC4" s="160"/>
      <c r="CD4" s="160"/>
      <c r="CE4" s="160"/>
      <c r="CF4" s="160"/>
      <c r="CG4" s="160"/>
      <c r="CH4" s="160"/>
      <c r="CI4" s="160"/>
      <c r="CJ4" s="160"/>
      <c r="CK4" s="160"/>
      <c r="CL4" s="160"/>
      <c r="CM4" s="160"/>
      <c r="CN4" s="160"/>
      <c r="CO4" s="160"/>
      <c r="CP4" s="160"/>
      <c r="CQ4" s="160"/>
      <c r="CR4" s="160"/>
      <c r="CS4" s="160"/>
      <c r="CT4" s="160"/>
      <c r="CU4" s="160"/>
      <c r="CV4" s="161"/>
      <c r="CW4" s="161"/>
      <c r="CX4" s="161"/>
      <c r="CY4" s="161"/>
      <c r="CZ4" s="161"/>
      <c r="DA4" s="161"/>
      <c r="DB4" s="161"/>
      <c r="DC4" s="161"/>
    </row>
    <row r="5" spans="1:107" s="147" customFormat="1" ht="18.75" customHeight="1" x14ac:dyDescent="0.25">
      <c r="A5" s="146"/>
      <c r="B5" s="820" t="s">
        <v>95</v>
      </c>
      <c r="C5" s="821"/>
      <c r="D5" s="821"/>
      <c r="E5" s="821"/>
      <c r="F5" s="821"/>
      <c r="G5" s="821"/>
      <c r="H5" s="821"/>
      <c r="I5" s="821"/>
      <c r="J5" s="821"/>
      <c r="K5" s="821"/>
      <c r="L5" s="821"/>
      <c r="M5" s="821"/>
      <c r="N5" s="821"/>
      <c r="O5" s="821"/>
      <c r="P5" s="821"/>
      <c r="Q5" s="821"/>
      <c r="R5" s="821"/>
      <c r="S5" s="821"/>
      <c r="T5" s="821"/>
      <c r="U5" s="821"/>
      <c r="V5" s="821"/>
      <c r="W5" s="821"/>
      <c r="X5" s="821"/>
      <c r="Y5" s="821"/>
      <c r="Z5" s="821"/>
      <c r="AA5" s="821"/>
      <c r="AB5" s="821"/>
      <c r="AC5" s="822"/>
      <c r="AD5" s="425"/>
      <c r="AE5" s="356"/>
      <c r="AF5" s="356"/>
      <c r="AG5" s="160"/>
      <c r="AH5" s="200"/>
      <c r="AI5" s="462"/>
      <c r="AJ5" s="462"/>
      <c r="AK5" s="462"/>
      <c r="AL5" s="463"/>
      <c r="AM5" s="463"/>
      <c r="AN5" s="463"/>
      <c r="AO5" s="462"/>
      <c r="AP5" s="462"/>
      <c r="AQ5" s="462"/>
      <c r="AR5" s="462"/>
      <c r="AS5" s="462"/>
      <c r="AT5" s="462"/>
      <c r="AU5" s="462"/>
      <c r="AV5" s="462"/>
      <c r="AW5" s="462"/>
      <c r="AX5" s="462"/>
      <c r="AY5" s="462"/>
      <c r="AZ5" s="462"/>
      <c r="BA5" s="464"/>
      <c r="BB5" s="462"/>
      <c r="BC5" s="462"/>
      <c r="BD5" s="464"/>
      <c r="BE5" s="464"/>
      <c r="BF5" s="464"/>
      <c r="BG5" s="464"/>
      <c r="BH5" s="462"/>
      <c r="BI5" s="462"/>
      <c r="BJ5" s="464"/>
      <c r="BK5" s="464"/>
      <c r="BL5" s="464"/>
      <c r="BM5" s="357"/>
      <c r="BN5" s="171"/>
      <c r="BO5" s="171"/>
      <c r="BP5" s="171"/>
      <c r="BQ5" s="171"/>
      <c r="BR5" s="171"/>
      <c r="BS5" s="171"/>
      <c r="BT5" s="171"/>
      <c r="BU5" s="171"/>
      <c r="BV5" s="171"/>
      <c r="BW5" s="171"/>
      <c r="BX5" s="171"/>
      <c r="BY5" s="171"/>
      <c r="BZ5" s="171"/>
      <c r="CA5" s="171"/>
      <c r="CB5" s="171"/>
      <c r="CC5" s="171"/>
      <c r="CD5" s="171"/>
      <c r="CE5" s="171"/>
      <c r="CF5" s="171"/>
      <c r="CG5" s="171"/>
      <c r="CH5" s="171"/>
      <c r="CI5" s="171"/>
      <c r="CJ5" s="171"/>
      <c r="CK5" s="171"/>
      <c r="CL5" s="171"/>
      <c r="CM5" s="171"/>
      <c r="CN5" s="171"/>
      <c r="CO5" s="171"/>
      <c r="CP5" s="171"/>
      <c r="CQ5" s="171"/>
      <c r="CR5" s="171"/>
      <c r="CS5" s="171"/>
      <c r="CT5" s="171"/>
      <c r="CU5" s="171"/>
      <c r="CV5" s="170"/>
      <c r="CW5" s="170"/>
      <c r="CX5" s="170"/>
      <c r="CY5" s="170"/>
      <c r="CZ5" s="170"/>
      <c r="DA5" s="170"/>
      <c r="DB5" s="170"/>
      <c r="DC5" s="170"/>
    </row>
    <row r="6" spans="1:107" s="147" customFormat="1" x14ac:dyDescent="0.25">
      <c r="A6" s="146"/>
      <c r="B6" s="137" t="s">
        <v>96</v>
      </c>
      <c r="C6" s="783" t="s">
        <v>970</v>
      </c>
      <c r="D6" s="783"/>
      <c r="E6" s="783"/>
      <c r="F6" s="783"/>
      <c r="G6" s="783"/>
      <c r="H6" s="783"/>
      <c r="I6" s="783"/>
      <c r="J6" s="783"/>
      <c r="K6" s="783"/>
      <c r="L6" s="141" t="s">
        <v>97</v>
      </c>
      <c r="M6" s="769" t="s">
        <v>976</v>
      </c>
      <c r="N6" s="769"/>
      <c r="O6" s="769"/>
      <c r="P6" s="769"/>
      <c r="Q6" s="769"/>
      <c r="R6" s="769"/>
      <c r="S6" s="769"/>
      <c r="T6" s="769"/>
      <c r="U6" s="769"/>
      <c r="V6" s="769"/>
      <c r="W6" s="769"/>
      <c r="X6" s="769"/>
      <c r="Y6" s="769"/>
      <c r="Z6" s="769"/>
      <c r="AA6" s="769"/>
      <c r="AB6" s="769"/>
      <c r="AC6" s="769"/>
      <c r="AD6" s="424"/>
      <c r="AE6" s="356"/>
      <c r="AF6" s="356"/>
      <c r="AG6" s="160"/>
      <c r="AH6" s="200"/>
      <c r="AI6" s="462"/>
      <c r="AJ6" s="462"/>
      <c r="AK6" s="462"/>
      <c r="AL6" s="463"/>
      <c r="AM6" s="463"/>
      <c r="AN6" s="463"/>
      <c r="AO6" s="462"/>
      <c r="AP6" s="462"/>
      <c r="AQ6" s="462"/>
      <c r="AR6" s="462"/>
      <c r="AS6" s="462"/>
      <c r="AT6" s="462"/>
      <c r="AU6" s="462"/>
      <c r="AV6" s="462"/>
      <c r="AW6" s="462"/>
      <c r="AX6" s="462"/>
      <c r="AY6" s="462"/>
      <c r="AZ6" s="462"/>
      <c r="BA6" s="464"/>
      <c r="BB6" s="462"/>
      <c r="BC6" s="462"/>
      <c r="BD6" s="464"/>
      <c r="BE6" s="464"/>
      <c r="BF6" s="464"/>
      <c r="BG6" s="464"/>
      <c r="BH6" s="462"/>
      <c r="BI6" s="462"/>
      <c r="BJ6" s="464"/>
      <c r="BK6" s="464"/>
      <c r="BL6" s="464"/>
      <c r="BM6" s="357"/>
      <c r="BN6" s="171"/>
      <c r="BO6" s="171"/>
      <c r="BP6" s="171"/>
      <c r="BQ6" s="171"/>
      <c r="BR6" s="171"/>
      <c r="BS6" s="171"/>
      <c r="BT6" s="171"/>
      <c r="BU6" s="171"/>
      <c r="BV6" s="171"/>
      <c r="BW6" s="171"/>
      <c r="BX6" s="171"/>
      <c r="BY6" s="171"/>
      <c r="BZ6" s="171"/>
      <c r="CA6" s="171"/>
      <c r="CB6" s="171"/>
      <c r="CC6" s="171"/>
      <c r="CD6" s="171"/>
      <c r="CE6" s="171"/>
      <c r="CF6" s="171"/>
      <c r="CG6" s="171"/>
      <c r="CH6" s="171"/>
      <c r="CI6" s="171"/>
      <c r="CJ6" s="171"/>
      <c r="CK6" s="171"/>
      <c r="CL6" s="171"/>
      <c r="CM6" s="171"/>
      <c r="CN6" s="171"/>
      <c r="CO6" s="171"/>
      <c r="CP6" s="171"/>
      <c r="CQ6" s="171"/>
      <c r="CR6" s="171"/>
      <c r="CS6" s="171"/>
      <c r="CT6" s="171"/>
      <c r="CU6" s="171"/>
      <c r="CV6" s="170"/>
      <c r="CW6" s="170"/>
      <c r="CX6" s="170"/>
      <c r="CY6" s="170"/>
      <c r="CZ6" s="170"/>
      <c r="DA6" s="170"/>
      <c r="DB6" s="170"/>
      <c r="DC6" s="170"/>
    </row>
    <row r="7" spans="1:107" s="147" customFormat="1" x14ac:dyDescent="0.25">
      <c r="A7" s="146"/>
      <c r="B7" s="137" t="s">
        <v>98</v>
      </c>
      <c r="C7" s="784" t="s">
        <v>971</v>
      </c>
      <c r="D7" s="784"/>
      <c r="E7" s="784"/>
      <c r="F7" s="784"/>
      <c r="G7" s="784"/>
      <c r="H7" s="784"/>
      <c r="I7" s="784"/>
      <c r="J7" s="784"/>
      <c r="K7" s="784"/>
      <c r="L7" s="420" t="s">
        <v>99</v>
      </c>
      <c r="M7" s="770" t="s">
        <v>972</v>
      </c>
      <c r="N7" s="770"/>
      <c r="O7" s="770"/>
      <c r="P7" s="770"/>
      <c r="Q7" s="770"/>
      <c r="R7" s="770"/>
      <c r="S7" s="770"/>
      <c r="T7" s="770"/>
      <c r="U7" s="770"/>
      <c r="V7" s="770"/>
      <c r="W7" s="770"/>
      <c r="X7" s="770"/>
      <c r="Y7" s="770"/>
      <c r="Z7" s="770"/>
      <c r="AA7" s="770"/>
      <c r="AB7" s="770"/>
      <c r="AC7" s="770"/>
      <c r="AD7" s="424"/>
      <c r="AE7" s="356"/>
      <c r="AF7" s="356"/>
      <c r="AG7" s="160"/>
      <c r="AH7" s="200"/>
      <c r="AI7" s="462"/>
      <c r="AJ7" s="462"/>
      <c r="AK7" s="462"/>
      <c r="AL7" s="463"/>
      <c r="AM7" s="463"/>
      <c r="AN7" s="463"/>
      <c r="AO7" s="462"/>
      <c r="AP7" s="462"/>
      <c r="AQ7" s="462"/>
      <c r="AR7" s="462"/>
      <c r="AS7" s="462"/>
      <c r="AT7" s="462"/>
      <c r="AU7" s="462"/>
      <c r="AV7" s="462"/>
      <c r="AW7" s="462"/>
      <c r="AX7" s="462"/>
      <c r="AY7" s="462"/>
      <c r="AZ7" s="462"/>
      <c r="BA7" s="464"/>
      <c r="BB7" s="462"/>
      <c r="BC7" s="462"/>
      <c r="BD7" s="464"/>
      <c r="BE7" s="464"/>
      <c r="BF7" s="464"/>
      <c r="BG7" s="464"/>
      <c r="BH7" s="462"/>
      <c r="BI7" s="462"/>
      <c r="BJ7" s="464"/>
      <c r="BK7" s="464"/>
      <c r="BL7" s="464"/>
      <c r="BM7" s="357"/>
      <c r="BN7" s="171"/>
      <c r="BO7" s="171"/>
      <c r="BP7" s="171"/>
      <c r="BQ7" s="171"/>
      <c r="BR7" s="171"/>
      <c r="BS7" s="171"/>
      <c r="BT7" s="171"/>
      <c r="BU7" s="171"/>
      <c r="BV7" s="171"/>
      <c r="BW7" s="171"/>
      <c r="BX7" s="171"/>
      <c r="BY7" s="171"/>
      <c r="BZ7" s="171"/>
      <c r="CA7" s="171"/>
      <c r="CB7" s="171"/>
      <c r="CC7" s="171"/>
      <c r="CD7" s="171"/>
      <c r="CE7" s="171"/>
      <c r="CF7" s="171"/>
      <c r="CG7" s="171"/>
      <c r="CH7" s="171"/>
      <c r="CI7" s="171"/>
      <c r="CJ7" s="171"/>
      <c r="CK7" s="171"/>
      <c r="CL7" s="171"/>
      <c r="CM7" s="171"/>
      <c r="CN7" s="171"/>
      <c r="CO7" s="171"/>
      <c r="CP7" s="171"/>
      <c r="CQ7" s="171"/>
      <c r="CR7" s="171"/>
      <c r="CS7" s="171"/>
      <c r="CT7" s="171"/>
      <c r="CU7" s="171"/>
      <c r="CV7" s="170"/>
      <c r="CW7" s="170"/>
      <c r="CX7" s="170"/>
      <c r="CY7" s="170"/>
      <c r="CZ7" s="170"/>
      <c r="DA7" s="170"/>
      <c r="DB7" s="170"/>
      <c r="DC7" s="170"/>
    </row>
    <row r="8" spans="1:107" s="147" customFormat="1" x14ac:dyDescent="0.25">
      <c r="A8" s="146"/>
      <c r="B8" s="137" t="s">
        <v>100</v>
      </c>
      <c r="C8" s="784" t="s">
        <v>979</v>
      </c>
      <c r="D8" s="784"/>
      <c r="E8" s="784"/>
      <c r="F8" s="784"/>
      <c r="G8" s="784"/>
      <c r="H8" s="784"/>
      <c r="I8" s="784"/>
      <c r="J8" s="784"/>
      <c r="K8" s="784"/>
      <c r="L8" s="420" t="s">
        <v>101</v>
      </c>
      <c r="M8" s="770"/>
      <c r="N8" s="770"/>
      <c r="O8" s="770"/>
      <c r="P8" s="770"/>
      <c r="Q8" s="770"/>
      <c r="R8" s="770"/>
      <c r="S8" s="770"/>
      <c r="T8" s="770"/>
      <c r="U8" s="770"/>
      <c r="V8" s="770"/>
      <c r="W8" s="770"/>
      <c r="X8" s="770"/>
      <c r="Y8" s="770"/>
      <c r="Z8" s="770"/>
      <c r="AA8" s="770"/>
      <c r="AB8" s="770"/>
      <c r="AC8" s="770"/>
      <c r="AD8" s="424"/>
      <c r="AE8" s="356"/>
      <c r="AF8" s="356"/>
      <c r="AG8" s="160"/>
      <c r="AH8" s="200"/>
      <c r="AI8" s="462"/>
      <c r="AJ8" s="462"/>
      <c r="AK8" s="462"/>
      <c r="AL8" s="463"/>
      <c r="AM8" s="463"/>
      <c r="AN8" s="463"/>
      <c r="AO8" s="462"/>
      <c r="AP8" s="462"/>
      <c r="AQ8" s="462"/>
      <c r="AR8" s="462"/>
      <c r="AS8" s="462"/>
      <c r="AT8" s="462"/>
      <c r="AU8" s="462"/>
      <c r="AV8" s="462"/>
      <c r="AW8" s="462"/>
      <c r="AX8" s="462"/>
      <c r="AY8" s="462"/>
      <c r="AZ8" s="462"/>
      <c r="BA8" s="464"/>
      <c r="BB8" s="462"/>
      <c r="BC8" s="462"/>
      <c r="BD8" s="464"/>
      <c r="BE8" s="464"/>
      <c r="BF8" s="464"/>
      <c r="BG8" s="464"/>
      <c r="BH8" s="462"/>
      <c r="BI8" s="462"/>
      <c r="BJ8" s="464"/>
      <c r="BK8" s="464"/>
      <c r="BL8" s="464"/>
      <c r="BM8" s="357"/>
      <c r="BN8" s="171"/>
      <c r="BO8" s="171"/>
      <c r="BP8" s="171"/>
      <c r="BQ8" s="171"/>
      <c r="BR8" s="171"/>
      <c r="BS8" s="171"/>
      <c r="BT8" s="171"/>
      <c r="BU8" s="171"/>
      <c r="BV8" s="171"/>
      <c r="BW8" s="171"/>
      <c r="BX8" s="171"/>
      <c r="BY8" s="171"/>
      <c r="BZ8" s="171"/>
      <c r="CA8" s="171"/>
      <c r="CB8" s="171"/>
      <c r="CC8" s="171"/>
      <c r="CD8" s="171"/>
      <c r="CE8" s="171"/>
      <c r="CF8" s="171"/>
      <c r="CG8" s="171"/>
      <c r="CH8" s="171"/>
      <c r="CI8" s="171"/>
      <c r="CJ8" s="171"/>
      <c r="CK8" s="171"/>
      <c r="CL8" s="171"/>
      <c r="CM8" s="171"/>
      <c r="CN8" s="171"/>
      <c r="CO8" s="171"/>
      <c r="CP8" s="171"/>
      <c r="CQ8" s="171"/>
      <c r="CR8" s="171"/>
      <c r="CS8" s="171"/>
      <c r="CT8" s="171"/>
      <c r="CU8" s="171"/>
      <c r="CV8" s="170"/>
      <c r="CW8" s="170"/>
      <c r="CX8" s="170"/>
      <c r="CY8" s="170"/>
      <c r="CZ8" s="170"/>
      <c r="DA8" s="170"/>
      <c r="DB8" s="170"/>
      <c r="DC8" s="170"/>
    </row>
    <row r="9" spans="1:107" s="147" customFormat="1" x14ac:dyDescent="0.25">
      <c r="A9" s="146"/>
      <c r="B9" s="137" t="s">
        <v>102</v>
      </c>
      <c r="C9" s="784" t="s">
        <v>980</v>
      </c>
      <c r="D9" s="784"/>
      <c r="E9" s="784"/>
      <c r="F9" s="784"/>
      <c r="G9" s="784"/>
      <c r="H9" s="784"/>
      <c r="I9" s="784"/>
      <c r="J9" s="784"/>
      <c r="K9" s="784"/>
      <c r="L9" s="420" t="s">
        <v>103</v>
      </c>
      <c r="M9" s="770">
        <v>2016</v>
      </c>
      <c r="N9" s="770"/>
      <c r="O9" s="770"/>
      <c r="P9" s="770"/>
      <c r="Q9" s="770"/>
      <c r="R9" s="770"/>
      <c r="S9" s="770"/>
      <c r="T9" s="770"/>
      <c r="U9" s="770"/>
      <c r="V9" s="770"/>
      <c r="W9" s="770"/>
      <c r="X9" s="770"/>
      <c r="Y9" s="770"/>
      <c r="Z9" s="770"/>
      <c r="AA9" s="770"/>
      <c r="AB9" s="770"/>
      <c r="AC9" s="770"/>
      <c r="AD9" s="424"/>
      <c r="AE9" s="356"/>
      <c r="AF9" s="356"/>
      <c r="AG9" s="160"/>
      <c r="AH9" s="200"/>
      <c r="AI9" s="462"/>
      <c r="AJ9" s="462"/>
      <c r="AK9" s="462"/>
      <c r="AL9" s="463"/>
      <c r="AM9" s="463"/>
      <c r="AN9" s="463"/>
      <c r="AO9" s="462"/>
      <c r="AP9" s="462"/>
      <c r="AQ9" s="462"/>
      <c r="AR9" s="462"/>
      <c r="AS9" s="462"/>
      <c r="AT9" s="462"/>
      <c r="AU9" s="462"/>
      <c r="AV9" s="462"/>
      <c r="AW9" s="462"/>
      <c r="AX9" s="462"/>
      <c r="AY9" s="462"/>
      <c r="AZ9" s="462"/>
      <c r="BA9" s="464"/>
      <c r="BB9" s="462"/>
      <c r="BC9" s="462"/>
      <c r="BD9" s="464"/>
      <c r="BE9" s="464"/>
      <c r="BF9" s="464"/>
      <c r="BG9" s="464"/>
      <c r="BH9" s="462"/>
      <c r="BI9" s="462"/>
      <c r="BJ9" s="464"/>
      <c r="BK9" s="464"/>
      <c r="BL9" s="464"/>
      <c r="BM9" s="357"/>
      <c r="BN9" s="171"/>
      <c r="BO9" s="171"/>
      <c r="BP9" s="171"/>
      <c r="BQ9" s="171"/>
      <c r="BR9" s="171"/>
      <c r="BS9" s="171"/>
      <c r="BT9" s="171"/>
      <c r="BU9" s="171"/>
      <c r="BV9" s="171"/>
      <c r="BW9" s="171"/>
      <c r="BX9" s="171"/>
      <c r="BY9" s="171"/>
      <c r="BZ9" s="171"/>
      <c r="CA9" s="171"/>
      <c r="CB9" s="171"/>
      <c r="CC9" s="171"/>
      <c r="CD9" s="171"/>
      <c r="CE9" s="171"/>
      <c r="CF9" s="171"/>
      <c r="CG9" s="171"/>
      <c r="CH9" s="171"/>
      <c r="CI9" s="171"/>
      <c r="CJ9" s="171"/>
      <c r="CK9" s="171"/>
      <c r="CL9" s="171"/>
      <c r="CM9" s="171"/>
      <c r="CN9" s="171"/>
      <c r="CO9" s="171"/>
      <c r="CP9" s="171"/>
      <c r="CQ9" s="171"/>
      <c r="CR9" s="171"/>
      <c r="CS9" s="171"/>
      <c r="CT9" s="171"/>
      <c r="CU9" s="171"/>
      <c r="CV9" s="170"/>
      <c r="CW9" s="170"/>
      <c r="CX9" s="170"/>
      <c r="CY9" s="170"/>
      <c r="CZ9" s="170"/>
      <c r="DA9" s="170"/>
      <c r="DB9" s="170"/>
      <c r="DC9" s="170"/>
    </row>
    <row r="10" spans="1:107" s="147" customFormat="1" ht="15.75" thickBot="1" x14ac:dyDescent="0.3">
      <c r="A10" s="146"/>
      <c r="B10" s="138" t="s">
        <v>230</v>
      </c>
      <c r="C10" s="785" t="s">
        <v>981</v>
      </c>
      <c r="D10" s="786"/>
      <c r="E10" s="786"/>
      <c r="F10" s="786"/>
      <c r="G10" s="786"/>
      <c r="H10" s="786"/>
      <c r="I10" s="786"/>
      <c r="J10" s="786"/>
      <c r="K10" s="786"/>
      <c r="L10" s="139" t="s">
        <v>104</v>
      </c>
      <c r="M10" s="771" t="s">
        <v>975</v>
      </c>
      <c r="N10" s="772"/>
      <c r="O10" s="772"/>
      <c r="P10" s="772"/>
      <c r="Q10" s="772"/>
      <c r="R10" s="772"/>
      <c r="S10" s="772"/>
      <c r="T10" s="772"/>
      <c r="U10" s="772"/>
      <c r="V10" s="772"/>
      <c r="W10" s="772"/>
      <c r="X10" s="772"/>
      <c r="Y10" s="772"/>
      <c r="Z10" s="772"/>
      <c r="AA10" s="772"/>
      <c r="AB10" s="772"/>
      <c r="AC10" s="772"/>
      <c r="AD10" s="424"/>
      <c r="AE10" s="356"/>
      <c r="AF10" s="356"/>
      <c r="AG10" s="160"/>
      <c r="AH10" s="200"/>
      <c r="AI10" s="462"/>
      <c r="AJ10" s="462"/>
      <c r="AK10" s="462"/>
      <c r="AL10" s="463"/>
      <c r="AM10" s="463"/>
      <c r="AN10" s="463"/>
      <c r="AO10" s="465"/>
      <c r="AP10" s="465"/>
      <c r="AQ10" s="465"/>
      <c r="AR10" s="465"/>
      <c r="AS10" s="465"/>
      <c r="AT10" s="465"/>
      <c r="AU10" s="462"/>
      <c r="AV10" s="465"/>
      <c r="AW10" s="465"/>
      <c r="AX10" s="462"/>
      <c r="AY10" s="462"/>
      <c r="AZ10" s="462"/>
      <c r="BA10" s="464"/>
      <c r="BB10" s="465"/>
      <c r="BC10" s="465"/>
      <c r="BD10" s="464"/>
      <c r="BE10" s="464"/>
      <c r="BF10" s="464"/>
      <c r="BG10" s="464"/>
      <c r="BH10" s="465"/>
      <c r="BI10" s="465"/>
      <c r="BJ10" s="464"/>
      <c r="BK10" s="464"/>
      <c r="BL10" s="464"/>
      <c r="BM10" s="357"/>
      <c r="BN10" s="171"/>
      <c r="BO10" s="171"/>
      <c r="BP10" s="171"/>
      <c r="BQ10" s="171"/>
      <c r="BR10" s="171"/>
      <c r="BS10" s="171"/>
      <c r="BT10" s="171"/>
      <c r="BU10" s="171"/>
      <c r="BV10" s="171"/>
      <c r="BW10" s="171"/>
      <c r="BX10" s="171"/>
      <c r="BY10" s="171"/>
      <c r="BZ10" s="171"/>
      <c r="CA10" s="171"/>
      <c r="CB10" s="171"/>
      <c r="CC10" s="171"/>
      <c r="CD10" s="171"/>
      <c r="CE10" s="171"/>
      <c r="CF10" s="171"/>
      <c r="CG10" s="171"/>
      <c r="CH10" s="171"/>
      <c r="CI10" s="171"/>
      <c r="CJ10" s="171"/>
      <c r="CK10" s="171"/>
      <c r="CL10" s="171"/>
      <c r="CM10" s="171"/>
      <c r="CN10" s="171"/>
      <c r="CO10" s="171"/>
      <c r="CP10" s="171"/>
      <c r="CQ10" s="171"/>
      <c r="CR10" s="171"/>
      <c r="CS10" s="171"/>
      <c r="CT10" s="171"/>
      <c r="CU10" s="171"/>
      <c r="CV10" s="170"/>
      <c r="CW10" s="170"/>
      <c r="CX10" s="170"/>
      <c r="CY10" s="170"/>
      <c r="CZ10" s="170"/>
      <c r="DA10" s="170"/>
      <c r="DB10" s="170"/>
      <c r="DC10" s="170"/>
    </row>
    <row r="11" spans="1:107" s="146" customFormat="1" ht="15.75" thickBot="1" x14ac:dyDescent="0.3">
      <c r="B11" s="188"/>
      <c r="C11" s="189"/>
      <c r="D11" s="189"/>
      <c r="E11" s="190"/>
      <c r="F11" s="190"/>
      <c r="G11" s="190"/>
      <c r="H11" s="190"/>
      <c r="I11" s="190"/>
      <c r="J11" s="190"/>
      <c r="K11" s="190"/>
      <c r="L11" s="190"/>
      <c r="M11" s="190"/>
      <c r="N11" s="190"/>
      <c r="O11" s="190"/>
      <c r="P11" s="190"/>
      <c r="Q11" s="190"/>
      <c r="R11" s="191"/>
      <c r="S11" s="190"/>
      <c r="T11" s="190"/>
      <c r="U11" s="190"/>
      <c r="V11" s="192"/>
      <c r="W11" s="192"/>
      <c r="X11" s="189"/>
      <c r="Y11" s="193"/>
      <c r="Z11" s="194"/>
      <c r="AA11" s="195"/>
      <c r="AB11" s="195"/>
      <c r="AC11" s="194"/>
      <c r="AD11" s="195"/>
      <c r="AE11" s="198"/>
      <c r="AF11" s="199"/>
      <c r="AG11" s="160"/>
      <c r="AH11" s="458"/>
      <c r="AI11" s="459"/>
      <c r="AJ11" s="459"/>
      <c r="AK11" s="459"/>
      <c r="AL11" s="460"/>
      <c r="AM11" s="460"/>
      <c r="AN11" s="460"/>
      <c r="AO11" s="466"/>
      <c r="AP11" s="466"/>
      <c r="AQ11" s="466"/>
      <c r="AR11" s="466"/>
      <c r="AS11" s="466"/>
      <c r="AT11" s="466"/>
      <c r="AU11" s="459"/>
      <c r="AV11" s="466"/>
      <c r="AW11" s="466"/>
      <c r="AX11" s="459"/>
      <c r="AY11" s="459"/>
      <c r="AZ11" s="459"/>
      <c r="BA11" s="461"/>
      <c r="BB11" s="466"/>
      <c r="BC11" s="466"/>
      <c r="BD11" s="461"/>
      <c r="BE11" s="461"/>
      <c r="BF11" s="461"/>
      <c r="BG11" s="461"/>
      <c r="BH11" s="466"/>
      <c r="BI11" s="466"/>
      <c r="BJ11" s="461"/>
      <c r="BK11" s="461"/>
      <c r="BL11" s="461"/>
      <c r="BM11" s="355"/>
      <c r="BN11" s="160"/>
      <c r="BO11" s="160"/>
      <c r="BP11" s="160"/>
      <c r="BQ11" s="160"/>
      <c r="BR11" s="160"/>
      <c r="BS11" s="160"/>
      <c r="BT11" s="160"/>
      <c r="BU11" s="160"/>
      <c r="BV11" s="160"/>
      <c r="BW11" s="160"/>
      <c r="BX11" s="160"/>
      <c r="BY11" s="160"/>
      <c r="BZ11" s="160"/>
      <c r="CA11" s="160"/>
      <c r="CB11" s="160"/>
      <c r="CC11" s="160"/>
      <c r="CD11" s="160"/>
      <c r="CE11" s="160"/>
      <c r="CF11" s="160"/>
      <c r="CG11" s="160"/>
      <c r="CH11" s="160"/>
      <c r="CI11" s="160"/>
      <c r="CJ11" s="160"/>
      <c r="CK11" s="160"/>
      <c r="CL11" s="160"/>
      <c r="CM11" s="160"/>
      <c r="CN11" s="160"/>
      <c r="CO11" s="160"/>
      <c r="CP11" s="160"/>
      <c r="CQ11" s="160"/>
      <c r="CR11" s="160"/>
      <c r="CS11" s="160"/>
      <c r="CT11" s="160"/>
      <c r="CU11" s="160"/>
      <c r="CV11" s="161"/>
      <c r="CW11" s="161"/>
      <c r="CX11" s="161"/>
      <c r="CY11" s="161"/>
      <c r="CZ11" s="161"/>
      <c r="DA11" s="161"/>
      <c r="DB11" s="161"/>
      <c r="DC11" s="161"/>
    </row>
    <row r="12" spans="1:107" s="200" customFormat="1" ht="15.75" thickBot="1" x14ac:dyDescent="0.3">
      <c r="A12" s="146"/>
      <c r="B12" s="133" t="s">
        <v>476</v>
      </c>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5"/>
      <c r="AG12" s="160"/>
      <c r="AI12" s="462"/>
      <c r="AJ12" s="462"/>
      <c r="AK12" s="462"/>
      <c r="AL12" s="463"/>
      <c r="AM12" s="463"/>
      <c r="AN12" s="463"/>
      <c r="AO12" s="462"/>
      <c r="AP12" s="462"/>
      <c r="AQ12" s="462"/>
      <c r="AR12" s="462"/>
      <c r="AS12" s="462"/>
      <c r="AT12" s="462"/>
      <c r="AU12" s="462"/>
      <c r="AV12" s="462"/>
      <c r="AW12" s="462"/>
      <c r="AX12" s="462"/>
      <c r="AY12" s="462"/>
      <c r="AZ12" s="462"/>
      <c r="BA12" s="464"/>
      <c r="BB12" s="462"/>
      <c r="BC12" s="462"/>
      <c r="BD12" s="464"/>
      <c r="BE12" s="464"/>
      <c r="BF12" s="464"/>
      <c r="BG12" s="464"/>
      <c r="BH12" s="462"/>
      <c r="BI12" s="462"/>
      <c r="BJ12" s="464"/>
      <c r="BK12" s="464"/>
      <c r="BL12" s="464"/>
      <c r="BM12" s="357"/>
      <c r="BN12" s="171"/>
      <c r="BO12" s="171"/>
      <c r="BP12" s="171"/>
      <c r="BQ12" s="171"/>
      <c r="BR12" s="171"/>
      <c r="BS12" s="171"/>
      <c r="BT12" s="171"/>
      <c r="BU12" s="171"/>
      <c r="BV12" s="171"/>
      <c r="BW12" s="171"/>
      <c r="BX12" s="171"/>
      <c r="BY12" s="171"/>
      <c r="BZ12" s="171"/>
      <c r="CA12" s="171"/>
      <c r="CB12" s="171"/>
      <c r="CC12" s="171"/>
      <c r="CD12" s="171"/>
      <c r="CE12" s="171"/>
      <c r="CF12" s="171"/>
      <c r="CG12" s="171"/>
      <c r="CH12" s="171"/>
      <c r="CI12" s="171"/>
      <c r="CJ12" s="171"/>
      <c r="CK12" s="171"/>
      <c r="CL12" s="171"/>
      <c r="CM12" s="171"/>
      <c r="CN12" s="171"/>
      <c r="CO12" s="171"/>
      <c r="CP12" s="171"/>
      <c r="CQ12" s="171"/>
      <c r="CR12" s="171"/>
      <c r="CS12" s="171"/>
      <c r="CT12" s="171"/>
      <c r="CU12" s="171"/>
      <c r="CV12" s="170"/>
      <c r="CW12" s="170"/>
      <c r="CX12" s="170"/>
      <c r="CY12" s="170"/>
      <c r="CZ12" s="170"/>
      <c r="DA12" s="170"/>
      <c r="DB12" s="170"/>
      <c r="DC12" s="170"/>
    </row>
    <row r="13" spans="1:107" s="373" customFormat="1" x14ac:dyDescent="0.25">
      <c r="A13" s="369"/>
      <c r="B13" s="807" t="s">
        <v>106</v>
      </c>
      <c r="C13" s="808"/>
      <c r="D13" s="808"/>
      <c r="E13" s="808"/>
      <c r="F13" s="808"/>
      <c r="G13" s="808"/>
      <c r="H13" s="808"/>
      <c r="I13" s="808"/>
      <c r="J13" s="808"/>
      <c r="K13" s="808"/>
      <c r="L13" s="808"/>
      <c r="M13" s="808"/>
      <c r="N13" s="808"/>
      <c r="O13" s="808"/>
      <c r="P13" s="808"/>
      <c r="Q13" s="808"/>
      <c r="R13" s="808"/>
      <c r="S13" s="808"/>
      <c r="T13" s="808"/>
      <c r="U13" s="808"/>
      <c r="V13" s="808"/>
      <c r="W13" s="808"/>
      <c r="X13" s="808"/>
      <c r="Y13" s="808"/>
      <c r="Z13" s="808"/>
      <c r="AA13" s="808"/>
      <c r="AB13" s="808"/>
      <c r="AC13" s="808"/>
      <c r="AD13" s="808"/>
      <c r="AE13" s="808"/>
      <c r="AF13" s="809"/>
      <c r="AG13" s="370"/>
      <c r="AI13" s="467"/>
      <c r="AJ13" s="467"/>
      <c r="AK13" s="467"/>
      <c r="AL13" s="467"/>
      <c r="AM13" s="467"/>
      <c r="AN13" s="467"/>
      <c r="AO13" s="467"/>
      <c r="AP13" s="467"/>
      <c r="AQ13" s="467"/>
      <c r="AR13" s="467"/>
      <c r="AS13" s="467"/>
      <c r="AT13" s="467"/>
      <c r="AU13" s="467"/>
      <c r="AV13" s="467"/>
      <c r="AW13" s="467"/>
      <c r="AX13" s="467"/>
      <c r="AY13" s="467"/>
      <c r="AZ13" s="467"/>
      <c r="BA13" s="468"/>
      <c r="BB13" s="467"/>
      <c r="BC13" s="467"/>
      <c r="BD13" s="468"/>
      <c r="BE13" s="468"/>
      <c r="BF13" s="468"/>
      <c r="BG13" s="468"/>
      <c r="BH13" s="467"/>
      <c r="BI13" s="467"/>
      <c r="BJ13" s="468"/>
      <c r="BK13" s="468"/>
      <c r="BL13" s="468"/>
      <c r="BM13" s="385"/>
      <c r="BN13" s="372"/>
      <c r="BO13" s="372"/>
      <c r="BP13" s="372"/>
      <c r="BQ13" s="372"/>
      <c r="BR13" s="372"/>
      <c r="BS13" s="372"/>
      <c r="BT13" s="372"/>
      <c r="BU13" s="372"/>
      <c r="BV13" s="372"/>
      <c r="BW13" s="372"/>
      <c r="BX13" s="372"/>
      <c r="BY13" s="372"/>
      <c r="BZ13" s="372"/>
      <c r="CA13" s="372"/>
      <c r="CB13" s="372"/>
      <c r="CC13" s="372"/>
      <c r="CD13" s="372"/>
      <c r="CE13" s="372"/>
      <c r="CF13" s="372"/>
      <c r="CG13" s="372"/>
      <c r="CH13" s="372"/>
      <c r="CI13" s="372"/>
      <c r="CJ13" s="372"/>
      <c r="CK13" s="372"/>
      <c r="CL13" s="372"/>
      <c r="CM13" s="372"/>
      <c r="CN13" s="372"/>
      <c r="CO13" s="372"/>
      <c r="CP13" s="372"/>
      <c r="CQ13" s="372"/>
      <c r="CR13" s="372"/>
      <c r="CS13" s="372"/>
      <c r="CT13" s="372"/>
      <c r="CU13" s="372"/>
      <c r="CV13" s="371"/>
      <c r="CW13" s="371"/>
      <c r="CX13" s="371"/>
      <c r="CY13" s="371"/>
      <c r="CZ13" s="371"/>
      <c r="DA13" s="371"/>
      <c r="DB13" s="371"/>
      <c r="DC13" s="371"/>
    </row>
    <row r="14" spans="1:107" s="373" customFormat="1" ht="15" customHeight="1" x14ac:dyDescent="0.25">
      <c r="A14" s="369"/>
      <c r="B14" s="802" t="s">
        <v>442</v>
      </c>
      <c r="C14" s="803" t="s">
        <v>446</v>
      </c>
      <c r="D14" s="800" t="s">
        <v>107</v>
      </c>
      <c r="E14" s="800"/>
      <c r="F14" s="800"/>
      <c r="G14" s="800"/>
      <c r="H14" s="800"/>
      <c r="I14" s="800"/>
      <c r="J14" s="800"/>
      <c r="K14" s="800"/>
      <c r="L14" s="800"/>
      <c r="M14" s="800"/>
      <c r="N14" s="800"/>
      <c r="O14" s="800"/>
      <c r="P14" s="800"/>
      <c r="Q14" s="800"/>
      <c r="R14" s="800"/>
      <c r="S14" s="800" t="s">
        <v>352</v>
      </c>
      <c r="T14" s="800"/>
      <c r="U14" s="800"/>
      <c r="V14" s="800"/>
      <c r="W14" s="800"/>
      <c r="X14" s="800" t="s">
        <v>360</v>
      </c>
      <c r="Y14" s="800"/>
      <c r="Z14" s="800"/>
      <c r="AA14" s="800"/>
      <c r="AB14" s="800"/>
      <c r="AC14" s="800"/>
      <c r="AD14" s="800"/>
      <c r="AE14" s="800" t="s">
        <v>828</v>
      </c>
      <c r="AF14" s="801" t="s">
        <v>109</v>
      </c>
      <c r="AG14" s="370"/>
      <c r="AI14" s="467"/>
      <c r="AJ14" s="467"/>
      <c r="AK14" s="467"/>
      <c r="AL14" s="467"/>
      <c r="AM14" s="467"/>
      <c r="AN14" s="467"/>
      <c r="AO14" s="467"/>
      <c r="AP14" s="467"/>
      <c r="AQ14" s="467"/>
      <c r="AR14" s="467"/>
      <c r="AS14" s="467"/>
      <c r="AT14" s="467"/>
      <c r="AU14" s="467"/>
      <c r="AV14" s="467"/>
      <c r="AW14" s="467"/>
      <c r="AX14" s="467"/>
      <c r="AY14" s="467"/>
      <c r="AZ14" s="467"/>
      <c r="BA14" s="468"/>
      <c r="BB14" s="467"/>
      <c r="BC14" s="467"/>
      <c r="BD14" s="468"/>
      <c r="BE14" s="468"/>
      <c r="BF14" s="468"/>
      <c r="BG14" s="468"/>
      <c r="BH14" s="467"/>
      <c r="BI14" s="467"/>
      <c r="BJ14" s="468"/>
      <c r="BK14" s="468"/>
      <c r="BL14" s="468"/>
      <c r="BM14" s="385"/>
      <c r="BN14" s="372"/>
      <c r="BO14" s="372"/>
      <c r="BP14" s="372"/>
      <c r="BQ14" s="372"/>
      <c r="BR14" s="372"/>
      <c r="BS14" s="372"/>
      <c r="BT14" s="372"/>
      <c r="BU14" s="372"/>
      <c r="BV14" s="372"/>
      <c r="BW14" s="372"/>
      <c r="BX14" s="372"/>
      <c r="BY14" s="372"/>
      <c r="BZ14" s="372"/>
      <c r="CA14" s="372"/>
      <c r="CB14" s="372"/>
      <c r="CC14" s="372"/>
      <c r="CD14" s="372"/>
      <c r="CE14" s="372"/>
      <c r="CF14" s="372"/>
      <c r="CG14" s="372"/>
      <c r="CH14" s="372"/>
      <c r="CI14" s="372"/>
      <c r="CJ14" s="372"/>
      <c r="CK14" s="372"/>
      <c r="CL14" s="372"/>
      <c r="CM14" s="372"/>
      <c r="CN14" s="372"/>
      <c r="CO14" s="372"/>
      <c r="CP14" s="372"/>
      <c r="CQ14" s="372"/>
      <c r="CR14" s="372"/>
      <c r="CS14" s="372"/>
      <c r="CT14" s="372"/>
      <c r="CU14" s="372"/>
      <c r="CV14" s="371"/>
      <c r="CW14" s="371"/>
      <c r="CX14" s="371"/>
      <c r="CY14" s="371"/>
      <c r="CZ14" s="371"/>
      <c r="DA14" s="371"/>
      <c r="DB14" s="371"/>
      <c r="DC14" s="371"/>
    </row>
    <row r="15" spans="1:107" s="373" customFormat="1" ht="36" customHeight="1" x14ac:dyDescent="0.25">
      <c r="A15" s="369"/>
      <c r="B15" s="802"/>
      <c r="C15" s="803"/>
      <c r="D15" s="144" t="s">
        <v>110</v>
      </c>
      <c r="E15" s="144" t="s">
        <v>111</v>
      </c>
      <c r="F15" s="144" t="s">
        <v>112</v>
      </c>
      <c r="G15" s="144" t="s">
        <v>113</v>
      </c>
      <c r="H15" s="144" t="s">
        <v>114</v>
      </c>
      <c r="I15" s="144" t="s">
        <v>115</v>
      </c>
      <c r="J15" s="144" t="s">
        <v>116</v>
      </c>
      <c r="K15" s="144" t="s">
        <v>117</v>
      </c>
      <c r="L15" s="144" t="s">
        <v>118</v>
      </c>
      <c r="M15" s="144" t="s">
        <v>119</v>
      </c>
      <c r="N15" s="144" t="s">
        <v>120</v>
      </c>
      <c r="O15" s="144" t="s">
        <v>121</v>
      </c>
      <c r="P15" s="144" t="s">
        <v>122</v>
      </c>
      <c r="Q15" s="144" t="s">
        <v>123</v>
      </c>
      <c r="R15" s="144" t="s">
        <v>124</v>
      </c>
      <c r="S15" s="144" t="s">
        <v>125</v>
      </c>
      <c r="T15" s="144" t="s">
        <v>126</v>
      </c>
      <c r="U15" s="144" t="s">
        <v>127</v>
      </c>
      <c r="V15" s="144" t="s">
        <v>369</v>
      </c>
      <c r="W15" s="144" t="s">
        <v>352</v>
      </c>
      <c r="X15" s="144" t="s">
        <v>353</v>
      </c>
      <c r="Y15" s="144" t="s">
        <v>110</v>
      </c>
      <c r="Z15" s="144" t="s">
        <v>361</v>
      </c>
      <c r="AA15" s="144" t="s">
        <v>829</v>
      </c>
      <c r="AB15" s="144" t="s">
        <v>830</v>
      </c>
      <c r="AC15" s="144" t="s">
        <v>362</v>
      </c>
      <c r="AD15" s="144" t="s">
        <v>453</v>
      </c>
      <c r="AE15" s="800"/>
      <c r="AF15" s="801"/>
      <c r="AG15" s="370" t="s">
        <v>128</v>
      </c>
      <c r="AI15" s="467"/>
      <c r="AJ15" s="467"/>
      <c r="AK15" s="467"/>
      <c r="AL15" s="467"/>
      <c r="AM15" s="467"/>
      <c r="AN15" s="467"/>
      <c r="AO15" s="467"/>
      <c r="AP15" s="467"/>
      <c r="AQ15" s="467"/>
      <c r="AR15" s="467"/>
      <c r="AS15" s="467"/>
      <c r="AT15" s="467"/>
      <c r="AU15" s="467"/>
      <c r="AV15" s="467"/>
      <c r="AW15" s="467"/>
      <c r="AX15" s="467"/>
      <c r="AY15" s="467"/>
      <c r="AZ15" s="467"/>
      <c r="BA15" s="468"/>
      <c r="BB15" s="467"/>
      <c r="BC15" s="467"/>
      <c r="BD15" s="468"/>
      <c r="BE15" s="468"/>
      <c r="BF15" s="468"/>
      <c r="BG15" s="468"/>
      <c r="BH15" s="467"/>
      <c r="BI15" s="467"/>
      <c r="BJ15" s="468"/>
      <c r="BK15" s="468"/>
      <c r="BL15" s="468"/>
      <c r="BM15" s="385"/>
      <c r="BN15" s="372"/>
      <c r="BO15" s="372"/>
      <c r="BP15" s="372"/>
      <c r="BQ15" s="372"/>
      <c r="BR15" s="372"/>
      <c r="BS15" s="372"/>
      <c r="BT15" s="372"/>
      <c r="BU15" s="372"/>
      <c r="BV15" s="372"/>
      <c r="BW15" s="372"/>
      <c r="BX15" s="372"/>
      <c r="BY15" s="372"/>
      <c r="BZ15" s="372"/>
      <c r="CA15" s="372"/>
      <c r="CB15" s="372"/>
      <c r="CC15" s="372"/>
      <c r="CD15" s="372"/>
      <c r="CE15" s="372"/>
      <c r="CF15" s="372"/>
      <c r="CG15" s="372"/>
      <c r="CH15" s="372"/>
      <c r="CI15" s="372"/>
      <c r="CJ15" s="372"/>
      <c r="CK15" s="372"/>
      <c r="CL15" s="372"/>
      <c r="CM15" s="372"/>
      <c r="CN15" s="372"/>
      <c r="CO15" s="372"/>
      <c r="CP15" s="372"/>
      <c r="CQ15" s="372"/>
      <c r="CR15" s="372"/>
      <c r="CS15" s="372"/>
      <c r="CT15" s="372"/>
      <c r="CU15" s="372"/>
      <c r="CV15" s="371"/>
      <c r="CW15" s="371"/>
      <c r="CX15" s="371"/>
      <c r="CY15" s="371"/>
      <c r="CZ15" s="371"/>
      <c r="DA15" s="371"/>
      <c r="DB15" s="371"/>
      <c r="DC15" s="371"/>
    </row>
    <row r="16" spans="1:107" s="147" customFormat="1" ht="15" customHeight="1" x14ac:dyDescent="0.25">
      <c r="A16" s="146"/>
      <c r="B16" s="806" t="s">
        <v>443</v>
      </c>
      <c r="C16" s="111" t="s">
        <v>396</v>
      </c>
      <c r="D16" s="112" t="str">
        <f>VLOOKUP($C16,$AH$57:$BL$84,2,FALSE)</f>
        <v>Gal</v>
      </c>
      <c r="E16" s="641">
        <f>+'HC CORPORATIVA-INCERTIDUMBRE'!E18</f>
        <v>1286.3588000000002</v>
      </c>
      <c r="F16" s="641">
        <f>+'HC CORPORATIVA-INCERTIDUMBRE'!F18</f>
        <v>1618.5840800000003</v>
      </c>
      <c r="G16" s="641">
        <f>+'HC CORPORATIVA-INCERTIDUMBRE'!G18</f>
        <v>1586.0934395199999</v>
      </c>
      <c r="H16" s="641">
        <f>+'HC CORPORATIVA-INCERTIDUMBRE'!H18</f>
        <v>1753.3088799999998</v>
      </c>
      <c r="I16" s="641">
        <f>+'HC CORPORATIVA-INCERTIDUMBRE'!I18</f>
        <v>1736.9059200000002</v>
      </c>
      <c r="J16" s="641">
        <f>+'HC CORPORATIVA-INCERTIDUMBRE'!J18</f>
        <v>1474.7035360000004</v>
      </c>
      <c r="K16" s="641">
        <f>+'HC CORPORATIVA-INCERTIDUMBRE'!K18</f>
        <v>1539.3153920000004</v>
      </c>
      <c r="L16" s="641">
        <f>+'HC CORPORATIVA-INCERTIDUMBRE'!L18</f>
        <v>1585.2849999999999</v>
      </c>
      <c r="M16" s="641">
        <f>+'HC CORPORATIVA-INCERTIDUMBRE'!M18</f>
        <v>1644.00568</v>
      </c>
      <c r="N16" s="641">
        <f>+'HC CORPORATIVA-INCERTIDUMBRE'!N18</f>
        <v>1667.69588</v>
      </c>
      <c r="O16" s="641">
        <f>+'HC CORPORATIVA-INCERTIDUMBRE'!O18</f>
        <v>1485.7688800000003</v>
      </c>
      <c r="P16" s="641">
        <f>+'HC CORPORATIVA-INCERTIDUMBRE'!P18</f>
        <v>1287.3025599999999</v>
      </c>
      <c r="Q16" s="113">
        <f>SUM(E16:P16)</f>
        <v>18665.328047520001</v>
      </c>
      <c r="R16" s="113">
        <f>COUNT(E16:P16)</f>
        <v>12</v>
      </c>
      <c r="S16" s="113">
        <f>IF(R16&gt;1,AVERAGE(E16:P16),0)</f>
        <v>1555.4440039600001</v>
      </c>
      <c r="T16" s="113">
        <f>IF(R16&gt;1,STDEV(E16:P16),0)</f>
        <v>152.04054231326671</v>
      </c>
      <c r="U16" s="113">
        <f>IF(R16&gt;1,VLOOKUP($R16,$AH$91:$AI$103,2,FALSE),0)</f>
        <v>2.2000000000000002</v>
      </c>
      <c r="V16" s="92"/>
      <c r="W16" s="374">
        <f>IF(R16&gt;1,1-((S16-((T16*U16)/(SQRT(R16))))/S16),VLOOKUP($C16,$AH$57:$BO$132,34,FALSE))</f>
        <v>6.2077909966352318E-2</v>
      </c>
      <c r="X16" s="375">
        <f>VLOOKUP($C16,$AH$57:$BL$84,3,FALSE)</f>
        <v>6.8822999999999999</v>
      </c>
      <c r="Y16" s="376" t="str">
        <f>VLOOKUP($C16,$AH$57:$BL$84,4,FALSE)</f>
        <v>kg CO2/gal</v>
      </c>
      <c r="Z16" s="374">
        <f>IF($Q16&gt;0,VLOOKUP($C16,$AH$57:$BL$84,6,FALSE),0)</f>
        <v>2.98E-3</v>
      </c>
      <c r="AA16" s="377">
        <f>($Q16*X16)/1000</f>
        <v>128.46038722144689</v>
      </c>
      <c r="AB16" s="377">
        <f>AA16*1</f>
        <v>128.46038722144689</v>
      </c>
      <c r="AC16" s="374">
        <f>IF(AA16&gt;0,SQRT(($W16*$W16)+(Z16*Z16)+($V16*$V16)),0)</f>
        <v>6.2149395055708663E-2</v>
      </c>
      <c r="AD16" s="377">
        <f>(AB16*AC16)^2</f>
        <v>63.740030209655551</v>
      </c>
      <c r="AE16" s="378">
        <f t="shared" ref="AE16:AF19" si="0">AB16</f>
        <v>128.46038722144689</v>
      </c>
      <c r="AF16" s="379">
        <f t="shared" si="0"/>
        <v>6.2149395055708663E-2</v>
      </c>
      <c r="AG16" s="160">
        <f>(AE16*AF16)^2</f>
        <v>63.740030209655551</v>
      </c>
      <c r="AH16" s="200"/>
      <c r="AI16" s="462"/>
      <c r="AJ16" s="462"/>
      <c r="AK16" s="462"/>
      <c r="AL16" s="463"/>
      <c r="AM16" s="463"/>
      <c r="AN16" s="463"/>
      <c r="AO16" s="462"/>
      <c r="AP16" s="462"/>
      <c r="AQ16" s="462"/>
      <c r="AR16" s="462"/>
      <c r="AS16" s="462"/>
      <c r="AT16" s="462"/>
      <c r="AU16" s="462"/>
      <c r="AV16" s="462"/>
      <c r="AW16" s="462"/>
      <c r="AX16" s="462"/>
      <c r="AY16" s="462"/>
      <c r="AZ16" s="462"/>
      <c r="BA16" s="464"/>
      <c r="BB16" s="462"/>
      <c r="BC16" s="462"/>
      <c r="BD16" s="464"/>
      <c r="BE16" s="464"/>
      <c r="BF16" s="464"/>
      <c r="BG16" s="464"/>
      <c r="BH16" s="462"/>
      <c r="BI16" s="462"/>
      <c r="BJ16" s="464"/>
      <c r="BK16" s="464"/>
      <c r="BL16" s="464"/>
      <c r="BM16" s="357"/>
      <c r="BN16" s="171"/>
      <c r="BO16" s="171"/>
      <c r="BP16" s="171"/>
      <c r="BQ16" s="171"/>
      <c r="BR16" s="171"/>
      <c r="BS16" s="171"/>
      <c r="BT16" s="171"/>
      <c r="BU16" s="171"/>
      <c r="BV16" s="171"/>
      <c r="BW16" s="171"/>
      <c r="BX16" s="171"/>
      <c r="BY16" s="171"/>
      <c r="BZ16" s="171"/>
      <c r="CA16" s="171"/>
      <c r="CB16" s="171"/>
      <c r="CC16" s="171"/>
      <c r="CD16" s="171"/>
      <c r="CE16" s="171"/>
      <c r="CF16" s="171"/>
      <c r="CG16" s="171"/>
      <c r="CH16" s="171"/>
      <c r="CI16" s="171"/>
      <c r="CJ16" s="171"/>
      <c r="CK16" s="171"/>
      <c r="CL16" s="171"/>
      <c r="CM16" s="171"/>
      <c r="CN16" s="171"/>
      <c r="CO16" s="171"/>
      <c r="CP16" s="171"/>
      <c r="CQ16" s="171"/>
      <c r="CR16" s="171"/>
      <c r="CS16" s="171"/>
      <c r="CT16" s="171"/>
      <c r="CU16" s="171"/>
      <c r="CV16" s="170"/>
      <c r="CW16" s="170"/>
      <c r="CX16" s="170"/>
      <c r="CY16" s="170"/>
      <c r="CZ16" s="170"/>
      <c r="DA16" s="170"/>
      <c r="DB16" s="170"/>
      <c r="DC16" s="170"/>
    </row>
    <row r="17" spans="1:107" s="147" customFormat="1" x14ac:dyDescent="0.25">
      <c r="A17" s="146"/>
      <c r="B17" s="806"/>
      <c r="C17" s="111" t="s">
        <v>550</v>
      </c>
      <c r="D17" s="112" t="str">
        <f>VLOOKUP($C17,$AH$57:$BL$84,2,FALSE)</f>
        <v>Gal</v>
      </c>
      <c r="E17" s="641">
        <f>+'HC CORPORATIVA-INCERTIDUMBRE'!E19</f>
        <v>1052.9402399999999</v>
      </c>
      <c r="F17" s="641">
        <f>+'HC CORPORATIVA-INCERTIDUMBRE'!F19</f>
        <v>1297.6240800000005</v>
      </c>
      <c r="G17" s="641">
        <f>+'HC CORPORATIVA-INCERTIDUMBRE'!G19</f>
        <v>1226.3668727199999</v>
      </c>
      <c r="H17" s="641">
        <f>+'HC CORPORATIVA-INCERTIDUMBRE'!H19</f>
        <v>1306.3003200000001</v>
      </c>
      <c r="I17" s="641">
        <f>+'HC CORPORATIVA-INCERTIDUMBRE'!I19</f>
        <v>1296.4403199999999</v>
      </c>
      <c r="J17" s="641">
        <f>+'HC CORPORATIVA-INCERTIDUMBRE'!J19</f>
        <v>1241.4219840000003</v>
      </c>
      <c r="K17" s="641">
        <f>+'HC CORPORATIVA-INCERTIDUMBRE'!K19</f>
        <v>1150.4216879999999</v>
      </c>
      <c r="L17" s="641">
        <f>+'HC CORPORATIVA-INCERTIDUMBRE'!L19</f>
        <v>1284.5936160000006</v>
      </c>
      <c r="M17" s="641">
        <f>+'HC CORPORATIVA-INCERTIDUMBRE'!M19</f>
        <v>1299.3057046536005</v>
      </c>
      <c r="N17" s="641">
        <f>+'HC CORPORATIVA-INCERTIDUMBRE'!N19</f>
        <v>1341.4179002692358</v>
      </c>
      <c r="O17" s="641">
        <f>+'HC CORPORATIVA-INCERTIDUMBRE'!O19</f>
        <v>1228.3275199999998</v>
      </c>
      <c r="P17" s="641">
        <f>+'HC CORPORATIVA-INCERTIDUMBRE'!P19</f>
        <v>1140.64032</v>
      </c>
      <c r="Q17" s="113">
        <f>SUM(E17:P17)</f>
        <v>14865.800565642838</v>
      </c>
      <c r="R17" s="113">
        <f>COUNT(E17:P17)</f>
        <v>12</v>
      </c>
      <c r="S17" s="113">
        <f>IF(R17&gt;1,AVERAGE(E17:P17),0)</f>
        <v>1238.8167138035699</v>
      </c>
      <c r="T17" s="113">
        <f>IF(R17&gt;1,STDEV(E17:P17),0)</f>
        <v>85.22079730773379</v>
      </c>
      <c r="U17" s="113">
        <f>IF(R17&gt;1,VLOOKUP($R17,$AH$91:$AI$103,2,FALSE),0)</f>
        <v>2.2000000000000002</v>
      </c>
      <c r="V17" s="92"/>
      <c r="W17" s="374">
        <f>IF(R17&gt;1,1-((S17-((T17*U17)/(SQRT(R17))))/S17),VLOOKUP($C17,$AH$57:$BO$132,34,FALSE))</f>
        <v>4.3688848148180526E-2</v>
      </c>
      <c r="X17" s="375">
        <f>VLOOKUP($C17,$AH$57:$BL$84,3,FALSE)</f>
        <v>5.9200999999999997</v>
      </c>
      <c r="Y17" s="376" t="str">
        <f>VLOOKUP($C17,$AH$57:$BL$84,4,FALSE)</f>
        <v>kg CO2/gal</v>
      </c>
      <c r="Z17" s="374">
        <f>IF($Q17&gt;0,VLOOKUP($C17,$AH$57:$BL$84,6,FALSE),0)</f>
        <v>3.4799999999999996E-3</v>
      </c>
      <c r="AA17" s="377">
        <f>($Q17*X17)/1000</f>
        <v>88.007025928662159</v>
      </c>
      <c r="AB17" s="377">
        <f>AA17*1</f>
        <v>88.007025928662159</v>
      </c>
      <c r="AC17" s="374">
        <f>IF(AA17&gt;0,SQRT(($W17*$W17)+(Z17*Z17)+($V17*$V17)),0)</f>
        <v>4.3827227296679136E-2</v>
      </c>
      <c r="AD17" s="377">
        <f>(AB17*AC17)^2</f>
        <v>14.877250719725998</v>
      </c>
      <c r="AE17" s="378">
        <f t="shared" si="0"/>
        <v>88.007025928662159</v>
      </c>
      <c r="AF17" s="379">
        <f t="shared" si="0"/>
        <v>4.3827227296679136E-2</v>
      </c>
      <c r="AG17" s="160">
        <f t="shared" ref="AG17:AG38" si="1">(AE17*AF17)^2</f>
        <v>14.877250719725998</v>
      </c>
      <c r="AH17" s="200"/>
      <c r="AI17" s="462"/>
      <c r="AJ17" s="462"/>
      <c r="AK17" s="462"/>
      <c r="AL17" s="463"/>
      <c r="AM17" s="463"/>
      <c r="AN17" s="463"/>
      <c r="AO17" s="462"/>
      <c r="AP17" s="462"/>
      <c r="AQ17" s="462"/>
      <c r="AR17" s="462"/>
      <c r="AS17" s="462"/>
      <c r="AT17" s="462"/>
      <c r="AU17" s="462"/>
      <c r="AV17" s="462"/>
      <c r="AW17" s="462"/>
      <c r="AX17" s="462"/>
      <c r="AY17" s="462"/>
      <c r="AZ17" s="462"/>
      <c r="BA17" s="464"/>
      <c r="BB17" s="462"/>
      <c r="BC17" s="462"/>
      <c r="BD17" s="464"/>
      <c r="BE17" s="464"/>
      <c r="BF17" s="464"/>
      <c r="BG17" s="464"/>
      <c r="BH17" s="462"/>
      <c r="BI17" s="462"/>
      <c r="BJ17" s="464"/>
      <c r="BK17" s="464"/>
      <c r="BL17" s="464"/>
      <c r="BM17" s="357"/>
      <c r="BN17" s="171"/>
      <c r="BO17" s="171"/>
      <c r="BP17" s="171"/>
      <c r="BQ17" s="171"/>
      <c r="BR17" s="171"/>
      <c r="BS17" s="171"/>
      <c r="BT17" s="171"/>
      <c r="BU17" s="171"/>
      <c r="BV17" s="171"/>
      <c r="BW17" s="171"/>
      <c r="BX17" s="171"/>
      <c r="BY17" s="171"/>
      <c r="BZ17" s="171"/>
      <c r="CA17" s="171"/>
      <c r="CB17" s="171"/>
      <c r="CC17" s="171"/>
      <c r="CD17" s="171"/>
      <c r="CE17" s="171"/>
      <c r="CF17" s="171"/>
      <c r="CG17" s="171"/>
      <c r="CH17" s="171"/>
      <c r="CI17" s="171"/>
      <c r="CJ17" s="171"/>
      <c r="CK17" s="171"/>
      <c r="CL17" s="171"/>
      <c r="CM17" s="171"/>
      <c r="CN17" s="171"/>
      <c r="CO17" s="171"/>
      <c r="CP17" s="171"/>
      <c r="CQ17" s="171"/>
      <c r="CR17" s="171"/>
      <c r="CS17" s="171"/>
      <c r="CT17" s="171"/>
      <c r="CU17" s="171"/>
      <c r="CV17" s="170"/>
      <c r="CW17" s="170"/>
      <c r="CX17" s="170"/>
      <c r="CY17" s="170"/>
      <c r="CZ17" s="170"/>
      <c r="DA17" s="170"/>
      <c r="DB17" s="170"/>
      <c r="DC17" s="170"/>
    </row>
    <row r="18" spans="1:107" s="147" customFormat="1" ht="15" hidden="1" customHeight="1" x14ac:dyDescent="0.25">
      <c r="A18" s="146"/>
      <c r="B18" s="806" t="s">
        <v>444</v>
      </c>
      <c r="C18" s="111"/>
      <c r="D18" s="112">
        <f>VLOOKUP($C18,$AH$57:$BL$84,2,FALSE)</f>
        <v>0</v>
      </c>
      <c r="E18" s="91"/>
      <c r="F18" s="91"/>
      <c r="G18" s="91"/>
      <c r="H18" s="91"/>
      <c r="I18" s="91"/>
      <c r="J18" s="91"/>
      <c r="K18" s="91"/>
      <c r="L18" s="91"/>
      <c r="M18" s="91"/>
      <c r="N18" s="91"/>
      <c r="O18" s="91"/>
      <c r="P18" s="91"/>
      <c r="Q18" s="113">
        <f>SUM(E18:P18)</f>
        <v>0</v>
      </c>
      <c r="R18" s="113">
        <f>COUNT(E18:P18)</f>
        <v>0</v>
      </c>
      <c r="S18" s="113">
        <f>IF(R18&gt;1,AVERAGE(E18:P18),0)</f>
        <v>0</v>
      </c>
      <c r="T18" s="113">
        <f>IF(R18&gt;1,STDEV(E18:P18),0)</f>
        <v>0</v>
      </c>
      <c r="U18" s="113">
        <f>IF(R18&gt;1,VLOOKUP($R18,$AH$91:$AI$103,2,FALSE),0)</f>
        <v>0</v>
      </c>
      <c r="V18" s="92"/>
      <c r="W18" s="374">
        <f>IF(R18&gt;1,1-((S18-((T18*U18)/(SQRT(R18))))/S18),VLOOKUP($C18,$AH$57:$BO$132,34,FALSE))</f>
        <v>0</v>
      </c>
      <c r="X18" s="375">
        <f>VLOOKUP($C18,$AH$57:$BL$84,3,FALSE)</f>
        <v>0</v>
      </c>
      <c r="Y18" s="376">
        <f>VLOOKUP($C18,$AH$57:$BL$84,4,FALSE)</f>
        <v>0</v>
      </c>
      <c r="Z18" s="374">
        <f>IF($Q18&gt;0,VLOOKUP($C18,$AH$57:$BL$84,6,FALSE),0)</f>
        <v>0</v>
      </c>
      <c r="AA18" s="377">
        <f>($Q18*X18)/1000</f>
        <v>0</v>
      </c>
      <c r="AB18" s="377">
        <f>AA18*1</f>
        <v>0</v>
      </c>
      <c r="AC18" s="374">
        <f>IF(AA18&gt;0,SQRT(($W18*$W18)+(Z18*Z18)+($V18*$V18)),0)</f>
        <v>0</v>
      </c>
      <c r="AD18" s="377">
        <f>(AB18*AC18)^2</f>
        <v>0</v>
      </c>
      <c r="AE18" s="378">
        <f t="shared" si="0"/>
        <v>0</v>
      </c>
      <c r="AF18" s="379">
        <f t="shared" si="0"/>
        <v>0</v>
      </c>
      <c r="AG18" s="160">
        <f t="shared" si="1"/>
        <v>0</v>
      </c>
      <c r="AH18" s="200"/>
      <c r="AI18" s="462"/>
      <c r="AJ18" s="462"/>
      <c r="AK18" s="462"/>
      <c r="AL18" s="463"/>
      <c r="AM18" s="463"/>
      <c r="AN18" s="463"/>
      <c r="AO18" s="462"/>
      <c r="AP18" s="462"/>
      <c r="AQ18" s="462"/>
      <c r="AR18" s="462"/>
      <c r="AS18" s="462"/>
      <c r="AT18" s="462"/>
      <c r="AU18" s="462"/>
      <c r="AV18" s="462"/>
      <c r="AW18" s="462"/>
      <c r="AX18" s="462"/>
      <c r="AY18" s="462"/>
      <c r="AZ18" s="462"/>
      <c r="BA18" s="464"/>
      <c r="BB18" s="462"/>
      <c r="BC18" s="462"/>
      <c r="BD18" s="464"/>
      <c r="BE18" s="464"/>
      <c r="BF18" s="464"/>
      <c r="BG18" s="464"/>
      <c r="BH18" s="462"/>
      <c r="BI18" s="462"/>
      <c r="BJ18" s="464"/>
      <c r="BK18" s="464"/>
      <c r="BL18" s="464"/>
      <c r="BM18" s="357"/>
      <c r="BN18" s="171"/>
      <c r="BO18" s="171"/>
      <c r="BP18" s="171"/>
      <c r="BQ18" s="171"/>
      <c r="BR18" s="171"/>
      <c r="BS18" s="171"/>
      <c r="BT18" s="171"/>
      <c r="BU18" s="171"/>
      <c r="BV18" s="171"/>
      <c r="BW18" s="171"/>
      <c r="BX18" s="171"/>
      <c r="BY18" s="171"/>
      <c r="BZ18" s="171"/>
      <c r="CA18" s="171"/>
      <c r="CB18" s="171"/>
      <c r="CC18" s="171"/>
      <c r="CD18" s="171"/>
      <c r="CE18" s="171"/>
      <c r="CF18" s="171"/>
      <c r="CG18" s="171"/>
      <c r="CH18" s="171"/>
      <c r="CI18" s="171"/>
      <c r="CJ18" s="171"/>
      <c r="CK18" s="171"/>
      <c r="CL18" s="171"/>
      <c r="CM18" s="171"/>
      <c r="CN18" s="171"/>
      <c r="CO18" s="171"/>
      <c r="CP18" s="171"/>
      <c r="CQ18" s="171"/>
      <c r="CR18" s="171"/>
      <c r="CS18" s="171"/>
      <c r="CT18" s="171"/>
      <c r="CU18" s="171"/>
      <c r="CV18" s="170"/>
      <c r="CW18" s="170"/>
      <c r="CX18" s="170"/>
      <c r="CY18" s="170"/>
      <c r="CZ18" s="170"/>
      <c r="DA18" s="170"/>
      <c r="DB18" s="170"/>
      <c r="DC18" s="170"/>
    </row>
    <row r="19" spans="1:107" s="147" customFormat="1" hidden="1" x14ac:dyDescent="0.25">
      <c r="A19" s="146"/>
      <c r="B19" s="806"/>
      <c r="C19" s="111"/>
      <c r="D19" s="112">
        <f>VLOOKUP($C19,$AH$57:$BL$84,2,FALSE)</f>
        <v>0</v>
      </c>
      <c r="E19" s="91"/>
      <c r="F19" s="91"/>
      <c r="G19" s="91"/>
      <c r="H19" s="91"/>
      <c r="I19" s="91"/>
      <c r="J19" s="91"/>
      <c r="K19" s="91"/>
      <c r="L19" s="91"/>
      <c r="M19" s="91"/>
      <c r="N19" s="91"/>
      <c r="O19" s="91"/>
      <c r="P19" s="91"/>
      <c r="Q19" s="113">
        <f>SUM(E19:P19)</f>
        <v>0</v>
      </c>
      <c r="R19" s="113">
        <f>COUNT(E19:P19)</f>
        <v>0</v>
      </c>
      <c r="S19" s="113">
        <f>IF(R19&gt;1,AVERAGE(E19:P19),0)</f>
        <v>0</v>
      </c>
      <c r="T19" s="113">
        <f>IF(R19&gt;1,STDEV(E19:P19),0)</f>
        <v>0</v>
      </c>
      <c r="U19" s="113">
        <f>IF(R19&gt;1,VLOOKUP($R19,$AH$91:$AI$103,2,FALSE),0)</f>
        <v>0</v>
      </c>
      <c r="V19" s="92"/>
      <c r="W19" s="374">
        <f>IF(R19&gt;1,1-((S19-((T19*U19)/(SQRT(R19))))/S19),VLOOKUP($C19,$AH$57:$BO$132,34,FALSE))</f>
        <v>0</v>
      </c>
      <c r="X19" s="375">
        <f>VLOOKUP($C19,$AH$57:$BL$84,3,FALSE)</f>
        <v>0</v>
      </c>
      <c r="Y19" s="376">
        <f>VLOOKUP($C19,$AH$57:$BL$84,4,FALSE)</f>
        <v>0</v>
      </c>
      <c r="Z19" s="374">
        <f>IF($Q19&gt;0,VLOOKUP($C19,$AH$57:$BL$84,6,FALSE),0)</f>
        <v>0</v>
      </c>
      <c r="AA19" s="377">
        <f>($Q19*X19)/1000</f>
        <v>0</v>
      </c>
      <c r="AB19" s="377">
        <f>AA19*1</f>
        <v>0</v>
      </c>
      <c r="AC19" s="374">
        <f>IF(AA19&gt;0,SQRT(($W19*$W19)+(Z19*Z19)+($V19*$V19)),0)</f>
        <v>0</v>
      </c>
      <c r="AD19" s="377">
        <f>(AB19*AC19)^2</f>
        <v>0</v>
      </c>
      <c r="AE19" s="378">
        <f t="shared" si="0"/>
        <v>0</v>
      </c>
      <c r="AF19" s="379">
        <f t="shared" si="0"/>
        <v>0</v>
      </c>
      <c r="AG19" s="160">
        <f t="shared" si="1"/>
        <v>0</v>
      </c>
      <c r="AH19" s="200"/>
      <c r="AI19" s="462"/>
      <c r="AJ19" s="462"/>
      <c r="AK19" s="462"/>
      <c r="AL19" s="463"/>
      <c r="AM19" s="463"/>
      <c r="AN19" s="463"/>
      <c r="AO19" s="462"/>
      <c r="AP19" s="462"/>
      <c r="AQ19" s="462"/>
      <c r="AR19" s="462"/>
      <c r="AS19" s="462"/>
      <c r="AT19" s="462"/>
      <c r="AU19" s="462"/>
      <c r="AV19" s="462"/>
      <c r="AW19" s="462"/>
      <c r="AX19" s="462"/>
      <c r="AY19" s="462"/>
      <c r="AZ19" s="462"/>
      <c r="BA19" s="464"/>
      <c r="BB19" s="462"/>
      <c r="BC19" s="462"/>
      <c r="BD19" s="464"/>
      <c r="BE19" s="464"/>
      <c r="BF19" s="464"/>
      <c r="BG19" s="464"/>
      <c r="BH19" s="462"/>
      <c r="BI19" s="462"/>
      <c r="BJ19" s="464"/>
      <c r="BK19" s="464"/>
      <c r="BL19" s="464"/>
      <c r="BM19" s="357"/>
      <c r="BN19" s="171"/>
      <c r="BO19" s="171"/>
      <c r="BP19" s="171"/>
      <c r="BQ19" s="171"/>
      <c r="BR19" s="171"/>
      <c r="BS19" s="171"/>
      <c r="BT19" s="171"/>
      <c r="BU19" s="171"/>
      <c r="BV19" s="171"/>
      <c r="BW19" s="171"/>
      <c r="BX19" s="171"/>
      <c r="BY19" s="171"/>
      <c r="BZ19" s="171"/>
      <c r="CA19" s="171"/>
      <c r="CB19" s="171"/>
      <c r="CC19" s="171"/>
      <c r="CD19" s="171"/>
      <c r="CE19" s="171"/>
      <c r="CF19" s="171"/>
      <c r="CG19" s="171"/>
      <c r="CH19" s="171"/>
      <c r="CI19" s="171"/>
      <c r="CJ19" s="171"/>
      <c r="CK19" s="171"/>
      <c r="CL19" s="171"/>
      <c r="CM19" s="171"/>
      <c r="CN19" s="171"/>
      <c r="CO19" s="171"/>
      <c r="CP19" s="171"/>
      <c r="CQ19" s="171"/>
      <c r="CR19" s="171"/>
      <c r="CS19" s="171"/>
      <c r="CT19" s="171"/>
      <c r="CU19" s="171"/>
      <c r="CV19" s="170"/>
      <c r="CW19" s="170"/>
      <c r="CX19" s="170"/>
      <c r="CY19" s="170"/>
      <c r="CZ19" s="170"/>
      <c r="DA19" s="170"/>
      <c r="DB19" s="170"/>
      <c r="DC19" s="170"/>
    </row>
    <row r="20" spans="1:107" s="147" customFormat="1" x14ac:dyDescent="0.25">
      <c r="A20" s="146"/>
      <c r="B20" s="797" t="s">
        <v>130</v>
      </c>
      <c r="C20" s="798"/>
      <c r="D20" s="798"/>
      <c r="E20" s="798"/>
      <c r="F20" s="798"/>
      <c r="G20" s="798"/>
      <c r="H20" s="798"/>
      <c r="I20" s="798"/>
      <c r="J20" s="798"/>
      <c r="K20" s="798"/>
      <c r="L20" s="798"/>
      <c r="M20" s="798"/>
      <c r="N20" s="798"/>
      <c r="O20" s="798"/>
      <c r="P20" s="798"/>
      <c r="Q20" s="798"/>
      <c r="R20" s="798"/>
      <c r="S20" s="798"/>
      <c r="T20" s="798"/>
      <c r="U20" s="798"/>
      <c r="V20" s="798"/>
      <c r="W20" s="798"/>
      <c r="X20" s="798"/>
      <c r="Y20" s="798"/>
      <c r="Z20" s="798"/>
      <c r="AA20" s="799"/>
      <c r="AB20" s="114">
        <f>SUM(AB16:AB19)</f>
        <v>216.46741315010905</v>
      </c>
      <c r="AC20" s="115">
        <f>IF(AB20&gt;0,SQRT(SUM(AD16:AD19))/AB20,0)</f>
        <v>4.0960616287806492E-2</v>
      </c>
      <c r="AD20" s="114">
        <f>(AB20*AC20)^2</f>
        <v>78.617280929381536</v>
      </c>
      <c r="AE20" s="114">
        <f>SUM(AE16:AE19)</f>
        <v>216.46741315010905</v>
      </c>
      <c r="AF20" s="116">
        <f>IF(AE20&gt;0,SQRT(SUM(AG16:AG19))/AE20,0)</f>
        <v>4.0960616287806492E-2</v>
      </c>
      <c r="AG20" s="160">
        <f t="shared" si="1"/>
        <v>78.617280929381536</v>
      </c>
      <c r="AH20" s="200"/>
      <c r="AI20" s="462"/>
      <c r="AJ20" s="462"/>
      <c r="AK20" s="462"/>
      <c r="AL20" s="463"/>
      <c r="AM20" s="463"/>
      <c r="AN20" s="463"/>
      <c r="AO20" s="462"/>
      <c r="AP20" s="462"/>
      <c r="AQ20" s="462"/>
      <c r="AR20" s="462"/>
      <c r="AS20" s="462"/>
      <c r="AT20" s="462"/>
      <c r="AU20" s="462"/>
      <c r="AV20" s="462"/>
      <c r="AW20" s="462"/>
      <c r="AX20" s="462"/>
      <c r="AY20" s="462"/>
      <c r="AZ20" s="462"/>
      <c r="BA20" s="464"/>
      <c r="BB20" s="462"/>
      <c r="BC20" s="462"/>
      <c r="BD20" s="464"/>
      <c r="BE20" s="464"/>
      <c r="BF20" s="464"/>
      <c r="BG20" s="464"/>
      <c r="BH20" s="462"/>
      <c r="BI20" s="462"/>
      <c r="BJ20" s="464"/>
      <c r="BK20" s="464"/>
      <c r="BL20" s="464"/>
      <c r="BM20" s="357"/>
      <c r="BN20" s="171"/>
      <c r="BO20" s="171"/>
      <c r="BP20" s="171"/>
      <c r="BQ20" s="171"/>
      <c r="BR20" s="171"/>
      <c r="BS20" s="171"/>
      <c r="BT20" s="171"/>
      <c r="BU20" s="171"/>
      <c r="BV20" s="171"/>
      <c r="BW20" s="171"/>
      <c r="BX20" s="171"/>
      <c r="BY20" s="171"/>
      <c r="BZ20" s="171"/>
      <c r="CA20" s="171"/>
      <c r="CB20" s="171"/>
      <c r="CC20" s="171"/>
      <c r="CD20" s="171"/>
      <c r="CE20" s="171"/>
      <c r="CF20" s="171"/>
      <c r="CG20" s="171"/>
      <c r="CH20" s="171"/>
      <c r="CI20" s="171"/>
      <c r="CJ20" s="171"/>
      <c r="CK20" s="171"/>
      <c r="CL20" s="171"/>
      <c r="CM20" s="171"/>
      <c r="CN20" s="171"/>
      <c r="CO20" s="171"/>
      <c r="CP20" s="171"/>
      <c r="CQ20" s="171"/>
      <c r="CR20" s="171"/>
      <c r="CS20" s="171"/>
      <c r="CT20" s="171"/>
      <c r="CU20" s="171"/>
      <c r="CV20" s="170"/>
      <c r="CW20" s="170"/>
      <c r="CX20" s="170"/>
      <c r="CY20" s="170"/>
      <c r="CZ20" s="170"/>
      <c r="DA20" s="170"/>
      <c r="DB20" s="170"/>
      <c r="DC20" s="170"/>
    </row>
    <row r="21" spans="1:107" s="147" customFormat="1" ht="15.75" customHeight="1" thickBot="1" x14ac:dyDescent="0.3">
      <c r="A21" s="146"/>
      <c r="B21" s="787"/>
      <c r="C21" s="788"/>
      <c r="D21" s="788"/>
      <c r="E21" s="788"/>
      <c r="F21" s="788"/>
      <c r="G21" s="788"/>
      <c r="H21" s="788"/>
      <c r="I21" s="788"/>
      <c r="J21" s="788"/>
      <c r="K21" s="788"/>
      <c r="L21" s="788"/>
      <c r="M21" s="788"/>
      <c r="N21" s="788"/>
      <c r="O21" s="788"/>
      <c r="P21" s="788"/>
      <c r="Q21" s="788"/>
      <c r="R21" s="788"/>
      <c r="S21" s="788"/>
      <c r="T21" s="788"/>
      <c r="U21" s="788"/>
      <c r="V21" s="788"/>
      <c r="W21" s="788"/>
      <c r="X21" s="788"/>
      <c r="Y21" s="788"/>
      <c r="Z21" s="788"/>
      <c r="AA21" s="788"/>
      <c r="AB21" s="788"/>
      <c r="AC21" s="788"/>
      <c r="AD21" s="788"/>
      <c r="AE21" s="788"/>
      <c r="AF21" s="789"/>
      <c r="AG21" s="160">
        <f>(AE21*B21)^2</f>
        <v>0</v>
      </c>
      <c r="AH21" s="200"/>
      <c r="AI21" s="462"/>
      <c r="AJ21" s="462"/>
      <c r="AK21" s="462"/>
      <c r="AL21" s="463"/>
      <c r="AM21" s="463"/>
      <c r="AN21" s="463"/>
      <c r="AO21" s="462"/>
      <c r="AP21" s="462"/>
      <c r="AQ21" s="462"/>
      <c r="AR21" s="462"/>
      <c r="AS21" s="462"/>
      <c r="AT21" s="462"/>
      <c r="AU21" s="462"/>
      <c r="AV21" s="462"/>
      <c r="AW21" s="462"/>
      <c r="AX21" s="462"/>
      <c r="AY21" s="462"/>
      <c r="AZ21" s="462"/>
      <c r="BA21" s="464"/>
      <c r="BB21" s="462"/>
      <c r="BC21" s="462"/>
      <c r="BD21" s="464"/>
      <c r="BE21" s="464"/>
      <c r="BF21" s="464"/>
      <c r="BG21" s="464"/>
      <c r="BH21" s="462"/>
      <c r="BI21" s="462"/>
      <c r="BJ21" s="464"/>
      <c r="BK21" s="464"/>
      <c r="BL21" s="464"/>
      <c r="BM21" s="357"/>
      <c r="BN21" s="171"/>
      <c r="BO21" s="171"/>
      <c r="BP21" s="171"/>
      <c r="BQ21" s="171"/>
      <c r="BR21" s="171"/>
      <c r="BS21" s="171"/>
      <c r="BT21" s="171"/>
      <c r="BU21" s="171"/>
      <c r="BV21" s="171"/>
      <c r="BW21" s="171"/>
      <c r="BX21" s="171"/>
      <c r="BY21" s="171"/>
      <c r="BZ21" s="171"/>
      <c r="CA21" s="171"/>
      <c r="CB21" s="171"/>
      <c r="CC21" s="171"/>
      <c r="CD21" s="171"/>
      <c r="CE21" s="171"/>
      <c r="CF21" s="171"/>
      <c r="CG21" s="171"/>
      <c r="CH21" s="171"/>
      <c r="CI21" s="171"/>
      <c r="CJ21" s="171"/>
      <c r="CK21" s="171"/>
      <c r="CL21" s="171"/>
      <c r="CM21" s="171"/>
      <c r="CN21" s="171"/>
      <c r="CO21" s="171"/>
      <c r="CP21" s="171"/>
      <c r="CQ21" s="171"/>
      <c r="CR21" s="171"/>
      <c r="CS21" s="171"/>
      <c r="CT21" s="171"/>
      <c r="CU21" s="171"/>
      <c r="CV21" s="170"/>
      <c r="CW21" s="170"/>
      <c r="CX21" s="170"/>
      <c r="CY21" s="170"/>
      <c r="CZ21" s="170"/>
      <c r="DA21" s="170"/>
      <c r="DB21" s="170"/>
      <c r="DC21" s="170"/>
    </row>
    <row r="22" spans="1:107" s="200" customFormat="1" x14ac:dyDescent="0.25">
      <c r="A22" s="146"/>
      <c r="B22" s="807" t="s">
        <v>131</v>
      </c>
      <c r="C22" s="808"/>
      <c r="D22" s="808"/>
      <c r="E22" s="808"/>
      <c r="F22" s="808"/>
      <c r="G22" s="808"/>
      <c r="H22" s="808"/>
      <c r="I22" s="808"/>
      <c r="J22" s="808"/>
      <c r="K22" s="808"/>
      <c r="L22" s="808"/>
      <c r="M22" s="808"/>
      <c r="N22" s="808"/>
      <c r="O22" s="808"/>
      <c r="P22" s="808"/>
      <c r="Q22" s="808"/>
      <c r="R22" s="808"/>
      <c r="S22" s="808"/>
      <c r="T22" s="808"/>
      <c r="U22" s="808"/>
      <c r="V22" s="808"/>
      <c r="W22" s="808"/>
      <c r="X22" s="808"/>
      <c r="Y22" s="808"/>
      <c r="Z22" s="808"/>
      <c r="AA22" s="808"/>
      <c r="AB22" s="808"/>
      <c r="AC22" s="808"/>
      <c r="AD22" s="808"/>
      <c r="AE22" s="808"/>
      <c r="AF22" s="809"/>
      <c r="AG22" s="160"/>
      <c r="AI22" s="462"/>
      <c r="AJ22" s="462"/>
      <c r="AK22" s="462"/>
      <c r="AL22" s="463"/>
      <c r="AM22" s="463"/>
      <c r="AN22" s="463"/>
      <c r="AO22" s="462"/>
      <c r="AP22" s="462"/>
      <c r="AQ22" s="462"/>
      <c r="AR22" s="462"/>
      <c r="AS22" s="462"/>
      <c r="AT22" s="462"/>
      <c r="AU22" s="462"/>
      <c r="AV22" s="462"/>
      <c r="AW22" s="462"/>
      <c r="AX22" s="462"/>
      <c r="AY22" s="462"/>
      <c r="AZ22" s="462"/>
      <c r="BA22" s="464"/>
      <c r="BB22" s="462"/>
      <c r="BC22" s="462"/>
      <c r="BD22" s="464"/>
      <c r="BE22" s="464"/>
      <c r="BF22" s="464"/>
      <c r="BG22" s="464"/>
      <c r="BH22" s="462"/>
      <c r="BI22" s="462"/>
      <c r="BJ22" s="464"/>
      <c r="BK22" s="464"/>
      <c r="BL22" s="464"/>
      <c r="BM22" s="357"/>
      <c r="BN22" s="171"/>
      <c r="BO22" s="171"/>
      <c r="BP22" s="171"/>
      <c r="BQ22" s="171"/>
      <c r="BR22" s="171"/>
      <c r="BS22" s="171"/>
      <c r="BT22" s="171"/>
      <c r="BU22" s="171"/>
      <c r="BV22" s="171"/>
      <c r="BW22" s="171"/>
      <c r="BX22" s="171"/>
      <c r="BY22" s="171"/>
      <c r="BZ22" s="171"/>
      <c r="CA22" s="171"/>
      <c r="CB22" s="171"/>
      <c r="CC22" s="171"/>
      <c r="CD22" s="171"/>
      <c r="CE22" s="171"/>
      <c r="CF22" s="171"/>
      <c r="CG22" s="171"/>
      <c r="CH22" s="171"/>
      <c r="CI22" s="171"/>
      <c r="CJ22" s="171"/>
      <c r="CK22" s="171"/>
      <c r="CL22" s="171"/>
      <c r="CM22" s="171"/>
      <c r="CN22" s="171"/>
      <c r="CO22" s="171"/>
      <c r="CP22" s="171"/>
      <c r="CQ22" s="171"/>
      <c r="CR22" s="171"/>
      <c r="CS22" s="171"/>
      <c r="CT22" s="171"/>
      <c r="CU22" s="171"/>
      <c r="CV22" s="170"/>
      <c r="CW22" s="170"/>
      <c r="CX22" s="170"/>
      <c r="CY22" s="170"/>
      <c r="CZ22" s="170"/>
      <c r="DA22" s="170"/>
      <c r="DB22" s="170"/>
      <c r="DC22" s="170"/>
    </row>
    <row r="23" spans="1:107" s="200" customFormat="1" ht="15" customHeight="1" x14ac:dyDescent="0.25">
      <c r="A23" s="146"/>
      <c r="B23" s="802" t="s">
        <v>442</v>
      </c>
      <c r="C23" s="803" t="s">
        <v>446</v>
      </c>
      <c r="D23" s="800" t="s">
        <v>107</v>
      </c>
      <c r="E23" s="800"/>
      <c r="F23" s="800"/>
      <c r="G23" s="800"/>
      <c r="H23" s="800"/>
      <c r="I23" s="800"/>
      <c r="J23" s="800"/>
      <c r="K23" s="800"/>
      <c r="L23" s="800"/>
      <c r="M23" s="800"/>
      <c r="N23" s="800"/>
      <c r="O23" s="800"/>
      <c r="P23" s="800"/>
      <c r="Q23" s="800"/>
      <c r="R23" s="800"/>
      <c r="S23" s="800" t="s">
        <v>352</v>
      </c>
      <c r="T23" s="800"/>
      <c r="U23" s="800"/>
      <c r="V23" s="800"/>
      <c r="W23" s="800"/>
      <c r="X23" s="800" t="s">
        <v>360</v>
      </c>
      <c r="Y23" s="800"/>
      <c r="Z23" s="800"/>
      <c r="AA23" s="800"/>
      <c r="AB23" s="800"/>
      <c r="AC23" s="800"/>
      <c r="AD23" s="800"/>
      <c r="AE23" s="800" t="s">
        <v>828</v>
      </c>
      <c r="AF23" s="801" t="s">
        <v>109</v>
      </c>
      <c r="AG23" s="160"/>
      <c r="AI23" s="462"/>
      <c r="AJ23" s="462"/>
      <c r="AK23" s="462"/>
      <c r="AL23" s="463"/>
      <c r="AM23" s="463"/>
      <c r="AN23" s="463"/>
      <c r="AO23" s="462"/>
      <c r="AP23" s="462"/>
      <c r="AQ23" s="462"/>
      <c r="AR23" s="462"/>
      <c r="AS23" s="462"/>
      <c r="AT23" s="462"/>
      <c r="AU23" s="462"/>
      <c r="AV23" s="462"/>
      <c r="AW23" s="462"/>
      <c r="AX23" s="462"/>
      <c r="AY23" s="462"/>
      <c r="AZ23" s="462"/>
      <c r="BA23" s="464"/>
      <c r="BB23" s="462"/>
      <c r="BC23" s="462"/>
      <c r="BD23" s="464"/>
      <c r="BE23" s="464"/>
      <c r="BF23" s="464"/>
      <c r="BG23" s="464"/>
      <c r="BH23" s="462"/>
      <c r="BI23" s="462"/>
      <c r="BJ23" s="464"/>
      <c r="BK23" s="464"/>
      <c r="BL23" s="464"/>
      <c r="BM23" s="357"/>
      <c r="BN23" s="171"/>
      <c r="BO23" s="171"/>
      <c r="BP23" s="171"/>
      <c r="BQ23" s="171"/>
      <c r="BR23" s="171"/>
      <c r="BS23" s="171"/>
      <c r="BT23" s="171"/>
      <c r="BU23" s="171"/>
      <c r="BV23" s="171"/>
      <c r="BW23" s="171"/>
      <c r="BX23" s="171"/>
      <c r="BY23" s="171"/>
      <c r="BZ23" s="171"/>
      <c r="CA23" s="171"/>
      <c r="CB23" s="171"/>
      <c r="CC23" s="171"/>
      <c r="CD23" s="171"/>
      <c r="CE23" s="171"/>
      <c r="CF23" s="171"/>
      <c r="CG23" s="171"/>
      <c r="CH23" s="171"/>
      <c r="CI23" s="171"/>
      <c r="CJ23" s="171"/>
      <c r="CK23" s="171"/>
      <c r="CL23" s="171"/>
      <c r="CM23" s="171"/>
      <c r="CN23" s="171"/>
      <c r="CO23" s="171"/>
      <c r="CP23" s="171"/>
      <c r="CQ23" s="171"/>
      <c r="CR23" s="171"/>
      <c r="CS23" s="171"/>
      <c r="CT23" s="171"/>
      <c r="CU23" s="171"/>
      <c r="CV23" s="170"/>
      <c r="CW23" s="170"/>
      <c r="CX23" s="170"/>
      <c r="CY23" s="170"/>
      <c r="CZ23" s="170"/>
      <c r="DA23" s="170"/>
      <c r="DB23" s="170"/>
      <c r="DC23" s="170"/>
    </row>
    <row r="24" spans="1:107" s="200" customFormat="1" ht="36" x14ac:dyDescent="0.25">
      <c r="A24" s="146"/>
      <c r="B24" s="802"/>
      <c r="C24" s="803"/>
      <c r="D24" s="144" t="s">
        <v>110</v>
      </c>
      <c r="E24" s="144" t="s">
        <v>111</v>
      </c>
      <c r="F24" s="144" t="s">
        <v>112</v>
      </c>
      <c r="G24" s="144" t="s">
        <v>113</v>
      </c>
      <c r="H24" s="144" t="s">
        <v>114</v>
      </c>
      <c r="I24" s="144" t="s">
        <v>115</v>
      </c>
      <c r="J24" s="144" t="s">
        <v>116</v>
      </c>
      <c r="K24" s="144" t="s">
        <v>117</v>
      </c>
      <c r="L24" s="144" t="s">
        <v>118</v>
      </c>
      <c r="M24" s="144" t="s">
        <v>119</v>
      </c>
      <c r="N24" s="144" t="s">
        <v>120</v>
      </c>
      <c r="O24" s="144" t="s">
        <v>121</v>
      </c>
      <c r="P24" s="144" t="s">
        <v>122</v>
      </c>
      <c r="Q24" s="144" t="s">
        <v>123</v>
      </c>
      <c r="R24" s="144" t="s">
        <v>124</v>
      </c>
      <c r="S24" s="144" t="s">
        <v>125</v>
      </c>
      <c r="T24" s="144" t="s">
        <v>126</v>
      </c>
      <c r="U24" s="144" t="s">
        <v>127</v>
      </c>
      <c r="V24" s="144" t="s">
        <v>369</v>
      </c>
      <c r="W24" s="144" t="s">
        <v>352</v>
      </c>
      <c r="X24" s="144" t="s">
        <v>353</v>
      </c>
      <c r="Y24" s="144"/>
      <c r="Z24" s="144" t="s">
        <v>361</v>
      </c>
      <c r="AA24" s="144" t="s">
        <v>829</v>
      </c>
      <c r="AB24" s="144" t="s">
        <v>830</v>
      </c>
      <c r="AC24" s="144" t="s">
        <v>362</v>
      </c>
      <c r="AD24" s="144" t="s">
        <v>453</v>
      </c>
      <c r="AE24" s="800"/>
      <c r="AF24" s="801"/>
      <c r="AG24" s="160"/>
      <c r="AI24" s="462"/>
      <c r="AJ24" s="462"/>
      <c r="AK24" s="462"/>
      <c r="AL24" s="463"/>
      <c r="AM24" s="463"/>
      <c r="AN24" s="463"/>
      <c r="AO24" s="462"/>
      <c r="AP24" s="462"/>
      <c r="AQ24" s="462"/>
      <c r="AR24" s="462"/>
      <c r="AS24" s="462"/>
      <c r="AT24" s="462"/>
      <c r="AU24" s="462"/>
      <c r="AV24" s="462"/>
      <c r="AW24" s="462"/>
      <c r="AX24" s="462"/>
      <c r="AY24" s="462"/>
      <c r="AZ24" s="462"/>
      <c r="BA24" s="464"/>
      <c r="BB24" s="462"/>
      <c r="BC24" s="462"/>
      <c r="BD24" s="464"/>
      <c r="BE24" s="464"/>
      <c r="BF24" s="464"/>
      <c r="BG24" s="464"/>
      <c r="BH24" s="462"/>
      <c r="BI24" s="462"/>
      <c r="BJ24" s="464"/>
      <c r="BK24" s="464"/>
      <c r="BL24" s="464"/>
      <c r="BM24" s="357"/>
      <c r="BN24" s="171"/>
      <c r="BO24" s="171"/>
      <c r="BP24" s="171"/>
      <c r="BQ24" s="171"/>
      <c r="BR24" s="171"/>
      <c r="BS24" s="171"/>
      <c r="BT24" s="171"/>
      <c r="BU24" s="171"/>
      <c r="BV24" s="171"/>
      <c r="BW24" s="171"/>
      <c r="BX24" s="171"/>
      <c r="BY24" s="171"/>
      <c r="BZ24" s="171"/>
      <c r="CA24" s="171"/>
      <c r="CB24" s="171"/>
      <c r="CC24" s="171"/>
      <c r="CD24" s="171"/>
      <c r="CE24" s="171"/>
      <c r="CF24" s="171"/>
      <c r="CG24" s="171"/>
      <c r="CH24" s="171"/>
      <c r="CI24" s="171"/>
      <c r="CJ24" s="171"/>
      <c r="CK24" s="171"/>
      <c r="CL24" s="171"/>
      <c r="CM24" s="171"/>
      <c r="CN24" s="171"/>
      <c r="CO24" s="171"/>
      <c r="CP24" s="171"/>
      <c r="CQ24" s="171"/>
      <c r="CR24" s="171"/>
      <c r="CS24" s="171"/>
      <c r="CT24" s="171"/>
      <c r="CU24" s="171"/>
      <c r="CV24" s="170"/>
      <c r="CW24" s="170"/>
      <c r="CX24" s="170"/>
      <c r="CY24" s="170"/>
      <c r="CZ24" s="170"/>
      <c r="DA24" s="170"/>
      <c r="DB24" s="170"/>
      <c r="DC24" s="170"/>
    </row>
    <row r="25" spans="1:107" s="147" customFormat="1" ht="15" hidden="1" customHeight="1" x14ac:dyDescent="0.25">
      <c r="A25" s="146"/>
      <c r="B25" s="806" t="s">
        <v>450</v>
      </c>
      <c r="C25" s="111"/>
      <c r="D25" s="112">
        <f t="shared" ref="D25:D32" si="2">VLOOKUP($C25,$AH$57:$BL$84,2,FALSE)</f>
        <v>0</v>
      </c>
      <c r="E25" s="91"/>
      <c r="F25" s="91"/>
      <c r="G25" s="91"/>
      <c r="H25" s="91"/>
      <c r="I25" s="91"/>
      <c r="J25" s="91"/>
      <c r="K25" s="91"/>
      <c r="L25" s="91"/>
      <c r="M25" s="91"/>
      <c r="N25" s="91"/>
      <c r="O25" s="91"/>
      <c r="P25" s="91"/>
      <c r="Q25" s="113">
        <f t="shared" ref="Q25:Q32" si="3">SUM(E25:P25)</f>
        <v>0</v>
      </c>
      <c r="R25" s="113">
        <f t="shared" ref="R25:R32" si="4">COUNT(E25:P25)</f>
        <v>0</v>
      </c>
      <c r="S25" s="113">
        <f t="shared" ref="S25:S32" si="5">IF(R25&gt;1,AVERAGE(E25:P25),0)</f>
        <v>0</v>
      </c>
      <c r="T25" s="113">
        <f t="shared" ref="T25:T32" si="6">IF(R25&gt;1,STDEV(E25:P25),0)</f>
        <v>0</v>
      </c>
      <c r="U25" s="113">
        <f t="shared" ref="U25:U32" si="7">IF(R25&gt;1,VLOOKUP($R25,$AH$91:$AI$103,2,FALSE),0)</f>
        <v>0</v>
      </c>
      <c r="V25" s="92"/>
      <c r="W25" s="374">
        <f t="shared" ref="W25:W32" si="8">IF(R25&gt;1,1-((S25-((T25*U25)/(SQRT(R25))))/S25),VLOOKUP($C25,$AH$57:$BO$132,34,FALSE))</f>
        <v>0</v>
      </c>
      <c r="X25" s="375">
        <f t="shared" ref="X25:X32" si="9">VLOOKUP($C25,$AH$57:$BL$84,3,FALSE)</f>
        <v>0</v>
      </c>
      <c r="Y25" s="376">
        <f t="shared" ref="Y25:Y32" si="10">VLOOKUP($C25,$AH$57:$BL$84,4,FALSE)</f>
        <v>0</v>
      </c>
      <c r="Z25" s="374">
        <f t="shared" ref="Z25:Z32" si="11">IF($Q25&gt;0,VLOOKUP($C25,$AH$57:$BL$84,6,FALSE),0)</f>
        <v>0</v>
      </c>
      <c r="AA25" s="377">
        <f t="shared" ref="AA25:AA32" si="12">($Q25*X25)/1000</f>
        <v>0</v>
      </c>
      <c r="AB25" s="377">
        <f t="shared" ref="AB25:AB32" si="13">AA25*1</f>
        <v>0</v>
      </c>
      <c r="AC25" s="374">
        <f t="shared" ref="AC25:AC32" si="14">IF(AA25&gt;0,SQRT(($W25*$W25)+(Z25*Z25)+($V25*$V25)),0)</f>
        <v>0</v>
      </c>
      <c r="AD25" s="377">
        <f t="shared" ref="AD25:AD33" si="15">(AB25*AC25)^2</f>
        <v>0</v>
      </c>
      <c r="AE25" s="378">
        <f>AB25</f>
        <v>0</v>
      </c>
      <c r="AF25" s="379">
        <f>AC25</f>
        <v>0</v>
      </c>
      <c r="AG25" s="160">
        <f t="shared" si="1"/>
        <v>0</v>
      </c>
      <c r="AH25" s="200"/>
      <c r="AI25" s="462"/>
      <c r="AJ25" s="462"/>
      <c r="AK25" s="462"/>
      <c r="AL25" s="463"/>
      <c r="AM25" s="463"/>
      <c r="AN25" s="463"/>
      <c r="AO25" s="462"/>
      <c r="AP25" s="462"/>
      <c r="AQ25" s="462"/>
      <c r="AR25" s="462"/>
      <c r="AS25" s="462"/>
      <c r="AT25" s="462"/>
      <c r="AU25" s="462"/>
      <c r="AV25" s="462"/>
      <c r="AW25" s="462"/>
      <c r="AX25" s="462"/>
      <c r="AY25" s="462"/>
      <c r="AZ25" s="462"/>
      <c r="BA25" s="464"/>
      <c r="BB25" s="462"/>
      <c r="BC25" s="462"/>
      <c r="BD25" s="464"/>
      <c r="BE25" s="464"/>
      <c r="BF25" s="464"/>
      <c r="BG25" s="464"/>
      <c r="BH25" s="462"/>
      <c r="BI25" s="462"/>
      <c r="BJ25" s="464"/>
      <c r="BK25" s="464"/>
      <c r="BL25" s="464"/>
      <c r="BM25" s="357"/>
      <c r="BN25" s="171"/>
      <c r="BO25" s="171"/>
      <c r="BP25" s="171"/>
      <c r="BQ25" s="171"/>
      <c r="BR25" s="171"/>
      <c r="BS25" s="171"/>
      <c r="BT25" s="171"/>
      <c r="BU25" s="171"/>
      <c r="BV25" s="171"/>
      <c r="BW25" s="171"/>
      <c r="BX25" s="171"/>
      <c r="BY25" s="171"/>
      <c r="BZ25" s="171"/>
      <c r="CA25" s="171"/>
      <c r="CB25" s="171"/>
      <c r="CC25" s="171"/>
      <c r="CD25" s="171"/>
      <c r="CE25" s="171"/>
      <c r="CF25" s="171"/>
      <c r="CG25" s="171"/>
      <c r="CH25" s="171"/>
      <c r="CI25" s="171"/>
      <c r="CJ25" s="171"/>
      <c r="CK25" s="171"/>
      <c r="CL25" s="171"/>
      <c r="CM25" s="171"/>
      <c r="CN25" s="171"/>
      <c r="CO25" s="171"/>
      <c r="CP25" s="171"/>
      <c r="CQ25" s="171"/>
      <c r="CR25" s="171"/>
      <c r="CS25" s="171"/>
      <c r="CT25" s="171"/>
      <c r="CU25" s="171"/>
      <c r="CV25" s="170"/>
      <c r="CW25" s="170"/>
      <c r="CX25" s="170"/>
      <c r="CY25" s="170"/>
      <c r="CZ25" s="170"/>
      <c r="DA25" s="170"/>
      <c r="DB25" s="170"/>
      <c r="DC25" s="170"/>
    </row>
    <row r="26" spans="1:107" s="147" customFormat="1" hidden="1" x14ac:dyDescent="0.25">
      <c r="A26" s="146"/>
      <c r="B26" s="806"/>
      <c r="C26" s="111"/>
      <c r="D26" s="112">
        <f t="shared" si="2"/>
        <v>0</v>
      </c>
      <c r="E26" s="91"/>
      <c r="F26" s="91"/>
      <c r="G26" s="91"/>
      <c r="H26" s="91"/>
      <c r="I26" s="91"/>
      <c r="J26" s="91"/>
      <c r="K26" s="91"/>
      <c r="L26" s="91"/>
      <c r="M26" s="91"/>
      <c r="N26" s="91"/>
      <c r="O26" s="91"/>
      <c r="P26" s="91"/>
      <c r="Q26" s="113">
        <f t="shared" si="3"/>
        <v>0</v>
      </c>
      <c r="R26" s="113">
        <f t="shared" si="4"/>
        <v>0</v>
      </c>
      <c r="S26" s="113">
        <f t="shared" si="5"/>
        <v>0</v>
      </c>
      <c r="T26" s="113">
        <f t="shared" si="6"/>
        <v>0</v>
      </c>
      <c r="U26" s="113">
        <f t="shared" si="7"/>
        <v>0</v>
      </c>
      <c r="V26" s="92"/>
      <c r="W26" s="374">
        <f t="shared" si="8"/>
        <v>0</v>
      </c>
      <c r="X26" s="375">
        <f t="shared" si="9"/>
        <v>0</v>
      </c>
      <c r="Y26" s="376">
        <f t="shared" si="10"/>
        <v>0</v>
      </c>
      <c r="Z26" s="374">
        <f t="shared" si="11"/>
        <v>0</v>
      </c>
      <c r="AA26" s="377">
        <f t="shared" si="12"/>
        <v>0</v>
      </c>
      <c r="AB26" s="377">
        <f t="shared" si="13"/>
        <v>0</v>
      </c>
      <c r="AC26" s="374">
        <f t="shared" si="14"/>
        <v>0</v>
      </c>
      <c r="AD26" s="377">
        <f t="shared" si="15"/>
        <v>0</v>
      </c>
      <c r="AE26" s="378">
        <f t="shared" ref="AE26:AE32" si="16">AB26</f>
        <v>0</v>
      </c>
      <c r="AF26" s="379">
        <f t="shared" ref="AF26:AF32" si="17">AC26</f>
        <v>0</v>
      </c>
      <c r="AG26" s="160">
        <f t="shared" si="1"/>
        <v>0</v>
      </c>
      <c r="AH26" s="200"/>
      <c r="AI26" s="462"/>
      <c r="AJ26" s="462"/>
      <c r="AK26" s="462"/>
      <c r="AL26" s="463"/>
      <c r="AM26" s="463"/>
      <c r="AN26" s="463"/>
      <c r="AO26" s="462"/>
      <c r="AP26" s="462"/>
      <c r="AQ26" s="462"/>
      <c r="AR26" s="462"/>
      <c r="AS26" s="462"/>
      <c r="AT26" s="462"/>
      <c r="AU26" s="462"/>
      <c r="AV26" s="462"/>
      <c r="AW26" s="462"/>
      <c r="AX26" s="462"/>
      <c r="AY26" s="462"/>
      <c r="AZ26" s="462"/>
      <c r="BA26" s="464"/>
      <c r="BB26" s="462"/>
      <c r="BC26" s="462"/>
      <c r="BD26" s="464"/>
      <c r="BE26" s="464"/>
      <c r="BF26" s="464"/>
      <c r="BG26" s="464"/>
      <c r="BH26" s="462"/>
      <c r="BI26" s="462"/>
      <c r="BJ26" s="464"/>
      <c r="BK26" s="464"/>
      <c r="BL26" s="464"/>
      <c r="BM26" s="357"/>
      <c r="BN26" s="171"/>
      <c r="BO26" s="171"/>
      <c r="BP26" s="171"/>
      <c r="BQ26" s="171"/>
      <c r="BR26" s="171"/>
      <c r="BS26" s="171"/>
      <c r="BT26" s="171"/>
      <c r="BU26" s="171"/>
      <c r="BV26" s="171"/>
      <c r="BW26" s="171"/>
      <c r="BX26" s="171"/>
      <c r="BY26" s="171"/>
      <c r="BZ26" s="171"/>
      <c r="CA26" s="171"/>
      <c r="CB26" s="171"/>
      <c r="CC26" s="171"/>
      <c r="CD26" s="171"/>
      <c r="CE26" s="171"/>
      <c r="CF26" s="171"/>
      <c r="CG26" s="171"/>
      <c r="CH26" s="171"/>
      <c r="CI26" s="171"/>
      <c r="CJ26" s="171"/>
      <c r="CK26" s="171"/>
      <c r="CL26" s="171"/>
      <c r="CM26" s="171"/>
      <c r="CN26" s="171"/>
      <c r="CO26" s="171"/>
      <c r="CP26" s="171"/>
      <c r="CQ26" s="171"/>
      <c r="CR26" s="171"/>
      <c r="CS26" s="171"/>
      <c r="CT26" s="171"/>
      <c r="CU26" s="171"/>
      <c r="CV26" s="170"/>
      <c r="CW26" s="170"/>
      <c r="CX26" s="170"/>
      <c r="CY26" s="170"/>
      <c r="CZ26" s="170"/>
      <c r="DA26" s="170"/>
      <c r="DB26" s="170"/>
      <c r="DC26" s="170"/>
    </row>
    <row r="27" spans="1:107" s="147" customFormat="1" hidden="1" x14ac:dyDescent="0.25">
      <c r="A27" s="146"/>
      <c r="B27" s="806"/>
      <c r="C27" s="111"/>
      <c r="D27" s="112">
        <f t="shared" si="2"/>
        <v>0</v>
      </c>
      <c r="E27" s="91"/>
      <c r="F27" s="91"/>
      <c r="G27" s="91"/>
      <c r="H27" s="91"/>
      <c r="I27" s="91"/>
      <c r="J27" s="91"/>
      <c r="K27" s="91"/>
      <c r="L27" s="91"/>
      <c r="M27" s="91"/>
      <c r="N27" s="91"/>
      <c r="O27" s="91"/>
      <c r="P27" s="91"/>
      <c r="Q27" s="113">
        <f t="shared" si="3"/>
        <v>0</v>
      </c>
      <c r="R27" s="113">
        <f t="shared" si="4"/>
        <v>0</v>
      </c>
      <c r="S27" s="113">
        <f t="shared" si="5"/>
        <v>0</v>
      </c>
      <c r="T27" s="113">
        <f t="shared" si="6"/>
        <v>0</v>
      </c>
      <c r="U27" s="113">
        <f t="shared" si="7"/>
        <v>0</v>
      </c>
      <c r="V27" s="92"/>
      <c r="W27" s="374">
        <f t="shared" si="8"/>
        <v>0</v>
      </c>
      <c r="X27" s="375">
        <f t="shared" si="9"/>
        <v>0</v>
      </c>
      <c r="Y27" s="376">
        <f t="shared" si="10"/>
        <v>0</v>
      </c>
      <c r="Z27" s="374">
        <f t="shared" si="11"/>
        <v>0</v>
      </c>
      <c r="AA27" s="377">
        <f t="shared" si="12"/>
        <v>0</v>
      </c>
      <c r="AB27" s="377">
        <f t="shared" si="13"/>
        <v>0</v>
      </c>
      <c r="AC27" s="374">
        <f t="shared" si="14"/>
        <v>0</v>
      </c>
      <c r="AD27" s="377">
        <f t="shared" si="15"/>
        <v>0</v>
      </c>
      <c r="AE27" s="378">
        <f t="shared" si="16"/>
        <v>0</v>
      </c>
      <c r="AF27" s="379">
        <f t="shared" si="17"/>
        <v>0</v>
      </c>
      <c r="AG27" s="160">
        <f t="shared" si="1"/>
        <v>0</v>
      </c>
      <c r="AH27" s="200"/>
      <c r="AI27" s="462"/>
      <c r="AJ27" s="462"/>
      <c r="AK27" s="462"/>
      <c r="AL27" s="463"/>
      <c r="AM27" s="463"/>
      <c r="AN27" s="463"/>
      <c r="AO27" s="462"/>
      <c r="AP27" s="462"/>
      <c r="AQ27" s="462"/>
      <c r="AR27" s="462"/>
      <c r="AS27" s="462"/>
      <c r="AT27" s="462"/>
      <c r="AU27" s="462"/>
      <c r="AV27" s="462"/>
      <c r="AW27" s="462"/>
      <c r="AX27" s="462"/>
      <c r="AY27" s="462"/>
      <c r="AZ27" s="462"/>
      <c r="BA27" s="464"/>
      <c r="BB27" s="462"/>
      <c r="BC27" s="462"/>
      <c r="BD27" s="464"/>
      <c r="BE27" s="464"/>
      <c r="BF27" s="464"/>
      <c r="BG27" s="464"/>
      <c r="BH27" s="462"/>
      <c r="BI27" s="462"/>
      <c r="BJ27" s="464"/>
      <c r="BK27" s="464"/>
      <c r="BL27" s="464"/>
      <c r="BM27" s="357"/>
      <c r="BN27" s="171"/>
      <c r="BO27" s="171"/>
      <c r="BP27" s="171"/>
      <c r="BQ27" s="171"/>
      <c r="BR27" s="171"/>
      <c r="BS27" s="171"/>
      <c r="BT27" s="171"/>
      <c r="BU27" s="171"/>
      <c r="BV27" s="171"/>
      <c r="BW27" s="171"/>
      <c r="BX27" s="171"/>
      <c r="BY27" s="171"/>
      <c r="BZ27" s="171"/>
      <c r="CA27" s="171"/>
      <c r="CB27" s="171"/>
      <c r="CC27" s="171"/>
      <c r="CD27" s="171"/>
      <c r="CE27" s="171"/>
      <c r="CF27" s="171"/>
      <c r="CG27" s="171"/>
      <c r="CH27" s="171"/>
      <c r="CI27" s="171"/>
      <c r="CJ27" s="171"/>
      <c r="CK27" s="171"/>
      <c r="CL27" s="171"/>
      <c r="CM27" s="171"/>
      <c r="CN27" s="171"/>
      <c r="CO27" s="171"/>
      <c r="CP27" s="171"/>
      <c r="CQ27" s="171"/>
      <c r="CR27" s="171"/>
      <c r="CS27" s="171"/>
      <c r="CT27" s="171"/>
      <c r="CU27" s="171"/>
      <c r="CV27" s="170"/>
      <c r="CW27" s="170"/>
      <c r="CX27" s="170"/>
      <c r="CY27" s="170"/>
      <c r="CZ27" s="170"/>
      <c r="DA27" s="170"/>
      <c r="DB27" s="170"/>
      <c r="DC27" s="170"/>
    </row>
    <row r="28" spans="1:107" s="147" customFormat="1" hidden="1" x14ac:dyDescent="0.25">
      <c r="A28" s="146"/>
      <c r="B28" s="806"/>
      <c r="C28" s="111"/>
      <c r="D28" s="112">
        <f t="shared" si="2"/>
        <v>0</v>
      </c>
      <c r="E28" s="91"/>
      <c r="F28" s="91"/>
      <c r="G28" s="91"/>
      <c r="H28" s="91"/>
      <c r="I28" s="91"/>
      <c r="J28" s="91"/>
      <c r="K28" s="91"/>
      <c r="L28" s="91"/>
      <c r="M28" s="91"/>
      <c r="N28" s="91"/>
      <c r="O28" s="91"/>
      <c r="P28" s="91"/>
      <c r="Q28" s="113">
        <f t="shared" si="3"/>
        <v>0</v>
      </c>
      <c r="R28" s="113">
        <f t="shared" si="4"/>
        <v>0</v>
      </c>
      <c r="S28" s="113">
        <f t="shared" si="5"/>
        <v>0</v>
      </c>
      <c r="T28" s="113">
        <f t="shared" si="6"/>
        <v>0</v>
      </c>
      <c r="U28" s="113">
        <f t="shared" si="7"/>
        <v>0</v>
      </c>
      <c r="V28" s="92"/>
      <c r="W28" s="374">
        <f t="shared" si="8"/>
        <v>0</v>
      </c>
      <c r="X28" s="375">
        <f t="shared" si="9"/>
        <v>0</v>
      </c>
      <c r="Y28" s="376">
        <f t="shared" si="10"/>
        <v>0</v>
      </c>
      <c r="Z28" s="374">
        <f t="shared" si="11"/>
        <v>0</v>
      </c>
      <c r="AA28" s="377">
        <f t="shared" si="12"/>
        <v>0</v>
      </c>
      <c r="AB28" s="377">
        <f t="shared" si="13"/>
        <v>0</v>
      </c>
      <c r="AC28" s="374">
        <f t="shared" si="14"/>
        <v>0</v>
      </c>
      <c r="AD28" s="377">
        <f t="shared" si="15"/>
        <v>0</v>
      </c>
      <c r="AE28" s="378">
        <f t="shared" si="16"/>
        <v>0</v>
      </c>
      <c r="AF28" s="379">
        <f t="shared" si="17"/>
        <v>0</v>
      </c>
      <c r="AG28" s="160">
        <f t="shared" si="1"/>
        <v>0</v>
      </c>
      <c r="AH28" s="200"/>
      <c r="AI28" s="462"/>
      <c r="AJ28" s="462"/>
      <c r="AK28" s="462"/>
      <c r="AL28" s="463"/>
      <c r="AM28" s="463"/>
      <c r="AN28" s="463"/>
      <c r="AO28" s="462"/>
      <c r="AP28" s="462"/>
      <c r="AQ28" s="462"/>
      <c r="AR28" s="462"/>
      <c r="AS28" s="462"/>
      <c r="AT28" s="462"/>
      <c r="AU28" s="462"/>
      <c r="AV28" s="462"/>
      <c r="AW28" s="462"/>
      <c r="AX28" s="462"/>
      <c r="AY28" s="462"/>
      <c r="AZ28" s="462"/>
      <c r="BA28" s="464"/>
      <c r="BB28" s="462"/>
      <c r="BC28" s="462"/>
      <c r="BD28" s="464"/>
      <c r="BE28" s="464"/>
      <c r="BF28" s="464"/>
      <c r="BG28" s="464"/>
      <c r="BH28" s="462"/>
      <c r="BI28" s="462"/>
      <c r="BJ28" s="464"/>
      <c r="BK28" s="464"/>
      <c r="BL28" s="464"/>
      <c r="BM28" s="357"/>
      <c r="BN28" s="171"/>
      <c r="BO28" s="171"/>
      <c r="BP28" s="171"/>
      <c r="BQ28" s="171"/>
      <c r="BR28" s="171"/>
      <c r="BS28" s="171"/>
      <c r="BT28" s="171"/>
      <c r="BU28" s="171"/>
      <c r="BV28" s="171"/>
      <c r="BW28" s="171"/>
      <c r="BX28" s="171"/>
      <c r="BY28" s="171"/>
      <c r="BZ28" s="171"/>
      <c r="CA28" s="171"/>
      <c r="CB28" s="171"/>
      <c r="CC28" s="171"/>
      <c r="CD28" s="171"/>
      <c r="CE28" s="171"/>
      <c r="CF28" s="171"/>
      <c r="CG28" s="171"/>
      <c r="CH28" s="171"/>
      <c r="CI28" s="171"/>
      <c r="CJ28" s="171"/>
      <c r="CK28" s="171"/>
      <c r="CL28" s="171"/>
      <c r="CM28" s="171"/>
      <c r="CN28" s="171"/>
      <c r="CO28" s="171"/>
      <c r="CP28" s="171"/>
      <c r="CQ28" s="171"/>
      <c r="CR28" s="171"/>
      <c r="CS28" s="171"/>
      <c r="CT28" s="171"/>
      <c r="CU28" s="171"/>
      <c r="CV28" s="170"/>
      <c r="CW28" s="170"/>
      <c r="CX28" s="170"/>
      <c r="CY28" s="170"/>
      <c r="CZ28" s="170"/>
      <c r="DA28" s="170"/>
      <c r="DB28" s="170"/>
      <c r="DC28" s="170"/>
    </row>
    <row r="29" spans="1:107" s="147" customFormat="1" ht="15" hidden="1" customHeight="1" x14ac:dyDescent="0.25">
      <c r="A29" s="146"/>
      <c r="B29" s="806" t="s">
        <v>449</v>
      </c>
      <c r="C29" s="111"/>
      <c r="D29" s="112">
        <f t="shared" si="2"/>
        <v>0</v>
      </c>
      <c r="E29" s="91"/>
      <c r="F29" s="91"/>
      <c r="G29" s="91"/>
      <c r="H29" s="91"/>
      <c r="I29" s="91"/>
      <c r="J29" s="91"/>
      <c r="K29" s="91"/>
      <c r="L29" s="91"/>
      <c r="M29" s="91"/>
      <c r="N29" s="91"/>
      <c r="O29" s="91"/>
      <c r="P29" s="91"/>
      <c r="Q29" s="113">
        <f t="shared" si="3"/>
        <v>0</v>
      </c>
      <c r="R29" s="113">
        <f t="shared" si="4"/>
        <v>0</v>
      </c>
      <c r="S29" s="113">
        <f t="shared" si="5"/>
        <v>0</v>
      </c>
      <c r="T29" s="113">
        <f t="shared" si="6"/>
        <v>0</v>
      </c>
      <c r="U29" s="113">
        <f t="shared" si="7"/>
        <v>0</v>
      </c>
      <c r="V29" s="92"/>
      <c r="W29" s="374">
        <f t="shared" si="8"/>
        <v>0</v>
      </c>
      <c r="X29" s="375">
        <f t="shared" si="9"/>
        <v>0</v>
      </c>
      <c r="Y29" s="376">
        <f t="shared" si="10"/>
        <v>0</v>
      </c>
      <c r="Z29" s="374">
        <f t="shared" si="11"/>
        <v>0</v>
      </c>
      <c r="AA29" s="377">
        <f t="shared" si="12"/>
        <v>0</v>
      </c>
      <c r="AB29" s="377">
        <f t="shared" si="13"/>
        <v>0</v>
      </c>
      <c r="AC29" s="374">
        <f t="shared" si="14"/>
        <v>0</v>
      </c>
      <c r="AD29" s="377">
        <f t="shared" si="15"/>
        <v>0</v>
      </c>
      <c r="AE29" s="378">
        <f t="shared" si="16"/>
        <v>0</v>
      </c>
      <c r="AF29" s="379">
        <f t="shared" si="17"/>
        <v>0</v>
      </c>
      <c r="AG29" s="160">
        <f t="shared" si="1"/>
        <v>0</v>
      </c>
      <c r="AH29" s="200"/>
      <c r="AI29" s="462"/>
      <c r="AJ29" s="462"/>
      <c r="AK29" s="462"/>
      <c r="AL29" s="463"/>
      <c r="AM29" s="463"/>
      <c r="AN29" s="463"/>
      <c r="AO29" s="462"/>
      <c r="AP29" s="462"/>
      <c r="AQ29" s="462"/>
      <c r="AR29" s="462"/>
      <c r="AS29" s="462"/>
      <c r="AT29" s="462"/>
      <c r="AU29" s="462"/>
      <c r="AV29" s="462"/>
      <c r="AW29" s="462"/>
      <c r="AX29" s="462"/>
      <c r="AY29" s="462"/>
      <c r="AZ29" s="462"/>
      <c r="BA29" s="464"/>
      <c r="BB29" s="462"/>
      <c r="BC29" s="462"/>
      <c r="BD29" s="464"/>
      <c r="BE29" s="464"/>
      <c r="BF29" s="464"/>
      <c r="BG29" s="464"/>
      <c r="BH29" s="462"/>
      <c r="BI29" s="462"/>
      <c r="BJ29" s="464"/>
      <c r="BK29" s="464"/>
      <c r="BL29" s="464"/>
      <c r="BM29" s="357"/>
      <c r="BN29" s="171"/>
      <c r="BO29" s="171"/>
      <c r="BP29" s="171"/>
      <c r="BQ29" s="171"/>
      <c r="BR29" s="171"/>
      <c r="BS29" s="171"/>
      <c r="BT29" s="171"/>
      <c r="BU29" s="171"/>
      <c r="BV29" s="171"/>
      <c r="BW29" s="171"/>
      <c r="BX29" s="171"/>
      <c r="BY29" s="171"/>
      <c r="BZ29" s="171"/>
      <c r="CA29" s="171"/>
      <c r="CB29" s="171"/>
      <c r="CC29" s="171"/>
      <c r="CD29" s="171"/>
      <c r="CE29" s="171"/>
      <c r="CF29" s="171"/>
      <c r="CG29" s="171"/>
      <c r="CH29" s="171"/>
      <c r="CI29" s="171"/>
      <c r="CJ29" s="171"/>
      <c r="CK29" s="171"/>
      <c r="CL29" s="171"/>
      <c r="CM29" s="171"/>
      <c r="CN29" s="171"/>
      <c r="CO29" s="171"/>
      <c r="CP29" s="171"/>
      <c r="CQ29" s="171"/>
      <c r="CR29" s="171"/>
      <c r="CS29" s="171"/>
      <c r="CT29" s="171"/>
      <c r="CU29" s="171"/>
      <c r="CV29" s="170"/>
      <c r="CW29" s="170"/>
      <c r="CX29" s="170"/>
      <c r="CY29" s="170"/>
      <c r="CZ29" s="170"/>
      <c r="DA29" s="170"/>
      <c r="DB29" s="170"/>
      <c r="DC29" s="170"/>
    </row>
    <row r="30" spans="1:107" s="147" customFormat="1" hidden="1" x14ac:dyDescent="0.25">
      <c r="A30" s="146"/>
      <c r="B30" s="806"/>
      <c r="C30" s="111"/>
      <c r="D30" s="112">
        <f t="shared" si="2"/>
        <v>0</v>
      </c>
      <c r="E30" s="91"/>
      <c r="F30" s="91"/>
      <c r="G30" s="91"/>
      <c r="H30" s="91"/>
      <c r="I30" s="91"/>
      <c r="J30" s="91"/>
      <c r="K30" s="91"/>
      <c r="L30" s="91"/>
      <c r="M30" s="91"/>
      <c r="N30" s="91"/>
      <c r="O30" s="91"/>
      <c r="P30" s="91"/>
      <c r="Q30" s="113">
        <f t="shared" si="3"/>
        <v>0</v>
      </c>
      <c r="R30" s="113">
        <f t="shared" si="4"/>
        <v>0</v>
      </c>
      <c r="S30" s="113">
        <f t="shared" si="5"/>
        <v>0</v>
      </c>
      <c r="T30" s="113">
        <f t="shared" si="6"/>
        <v>0</v>
      </c>
      <c r="U30" s="113">
        <f t="shared" si="7"/>
        <v>0</v>
      </c>
      <c r="V30" s="92"/>
      <c r="W30" s="374">
        <f t="shared" si="8"/>
        <v>0</v>
      </c>
      <c r="X30" s="375">
        <f t="shared" si="9"/>
        <v>0</v>
      </c>
      <c r="Y30" s="376">
        <f t="shared" si="10"/>
        <v>0</v>
      </c>
      <c r="Z30" s="374">
        <f t="shared" si="11"/>
        <v>0</v>
      </c>
      <c r="AA30" s="377">
        <f t="shared" si="12"/>
        <v>0</v>
      </c>
      <c r="AB30" s="377">
        <f t="shared" si="13"/>
        <v>0</v>
      </c>
      <c r="AC30" s="374">
        <f t="shared" si="14"/>
        <v>0</v>
      </c>
      <c r="AD30" s="377">
        <f t="shared" si="15"/>
        <v>0</v>
      </c>
      <c r="AE30" s="378">
        <f t="shared" si="16"/>
        <v>0</v>
      </c>
      <c r="AF30" s="379">
        <f t="shared" si="17"/>
        <v>0</v>
      </c>
      <c r="AG30" s="160">
        <f t="shared" si="1"/>
        <v>0</v>
      </c>
      <c r="AH30" s="200"/>
      <c r="AI30" s="462"/>
      <c r="AJ30" s="462"/>
      <c r="AK30" s="462"/>
      <c r="AL30" s="463"/>
      <c r="AM30" s="463"/>
      <c r="AN30" s="463"/>
      <c r="AO30" s="462"/>
      <c r="AP30" s="462"/>
      <c r="AQ30" s="462"/>
      <c r="AR30" s="462"/>
      <c r="AS30" s="462"/>
      <c r="AT30" s="462"/>
      <c r="AU30" s="462"/>
      <c r="AV30" s="462"/>
      <c r="AW30" s="462"/>
      <c r="AX30" s="462"/>
      <c r="AY30" s="462"/>
      <c r="AZ30" s="462"/>
      <c r="BA30" s="464"/>
      <c r="BB30" s="462"/>
      <c r="BC30" s="462"/>
      <c r="BD30" s="464"/>
      <c r="BE30" s="464"/>
      <c r="BF30" s="464"/>
      <c r="BG30" s="464"/>
      <c r="BH30" s="462"/>
      <c r="BI30" s="462"/>
      <c r="BJ30" s="464"/>
      <c r="BK30" s="464"/>
      <c r="BL30" s="464"/>
      <c r="BM30" s="357"/>
      <c r="BN30" s="171"/>
      <c r="BO30" s="171"/>
      <c r="BP30" s="171"/>
      <c r="BQ30" s="171"/>
      <c r="BR30" s="171"/>
      <c r="BS30" s="171"/>
      <c r="BT30" s="171"/>
      <c r="BU30" s="171"/>
      <c r="BV30" s="171"/>
      <c r="BW30" s="171"/>
      <c r="BX30" s="171"/>
      <c r="BY30" s="171"/>
      <c r="BZ30" s="171"/>
      <c r="CA30" s="171"/>
      <c r="CB30" s="171"/>
      <c r="CC30" s="171"/>
      <c r="CD30" s="171"/>
      <c r="CE30" s="171"/>
      <c r="CF30" s="171"/>
      <c r="CG30" s="171"/>
      <c r="CH30" s="171"/>
      <c r="CI30" s="171"/>
      <c r="CJ30" s="171"/>
      <c r="CK30" s="171"/>
      <c r="CL30" s="171"/>
      <c r="CM30" s="171"/>
      <c r="CN30" s="171"/>
      <c r="CO30" s="171"/>
      <c r="CP30" s="171"/>
      <c r="CQ30" s="171"/>
      <c r="CR30" s="171"/>
      <c r="CS30" s="171"/>
      <c r="CT30" s="171"/>
      <c r="CU30" s="171"/>
      <c r="CV30" s="170"/>
      <c r="CW30" s="170"/>
      <c r="CX30" s="170"/>
      <c r="CY30" s="170"/>
      <c r="CZ30" s="170"/>
      <c r="DA30" s="170"/>
      <c r="DB30" s="170"/>
      <c r="DC30" s="170"/>
    </row>
    <row r="31" spans="1:107" s="147" customFormat="1" ht="15" customHeight="1" x14ac:dyDescent="0.25">
      <c r="A31" s="146"/>
      <c r="B31" s="804" t="s">
        <v>448</v>
      </c>
      <c r="C31" s="111" t="s">
        <v>433</v>
      </c>
      <c r="D31" s="112" t="str">
        <f t="shared" si="2"/>
        <v>m3</v>
      </c>
      <c r="E31" s="641">
        <v>569426.12304316997</v>
      </c>
      <c r="F31" s="641">
        <v>633252.93408209016</v>
      </c>
      <c r="G31" s="641">
        <v>640398.11779795017</v>
      </c>
      <c r="H31" s="641">
        <v>480614.67773443006</v>
      </c>
      <c r="I31" s="641">
        <v>572813.60766608</v>
      </c>
      <c r="J31" s="641">
        <v>590837.37255862006</v>
      </c>
      <c r="K31" s="641">
        <v>646811.31250007974</v>
      </c>
      <c r="L31" s="641">
        <v>635024</v>
      </c>
      <c r="M31" s="641">
        <v>605576</v>
      </c>
      <c r="N31" s="641">
        <v>631198.00756843004</v>
      </c>
      <c r="O31" s="641">
        <v>470527.31982426031</v>
      </c>
      <c r="P31" s="641">
        <v>604767</v>
      </c>
      <c r="Q31" s="113">
        <f t="shared" si="3"/>
        <v>7081246.47277511</v>
      </c>
      <c r="R31" s="113">
        <f t="shared" si="4"/>
        <v>12</v>
      </c>
      <c r="S31" s="113">
        <f t="shared" si="5"/>
        <v>590103.87273125921</v>
      </c>
      <c r="T31" s="113">
        <f t="shared" si="6"/>
        <v>59376.703825623212</v>
      </c>
      <c r="U31" s="113">
        <f t="shared" si="7"/>
        <v>2.2000000000000002</v>
      </c>
      <c r="V31" s="92"/>
      <c r="W31" s="374">
        <f t="shared" si="8"/>
        <v>6.3902769111669921E-2</v>
      </c>
      <c r="X31" s="375">
        <f t="shared" si="9"/>
        <v>1.8565</v>
      </c>
      <c r="Y31" s="376" t="str">
        <f t="shared" si="10"/>
        <v>kg CO2/m3</v>
      </c>
      <c r="Z31" s="374">
        <f t="shared" si="11"/>
        <v>8.8870000000000005E-2</v>
      </c>
      <c r="AA31" s="377">
        <f t="shared" si="12"/>
        <v>13146.334076706993</v>
      </c>
      <c r="AB31" s="377">
        <f t="shared" si="13"/>
        <v>13146.334076706993</v>
      </c>
      <c r="AC31" s="374">
        <f t="shared" si="14"/>
        <v>0.10945976795215398</v>
      </c>
      <c r="AD31" s="377">
        <f t="shared" si="15"/>
        <v>2070705.6817519981</v>
      </c>
      <c r="AE31" s="378">
        <f t="shared" si="16"/>
        <v>13146.334076706993</v>
      </c>
      <c r="AF31" s="379">
        <f t="shared" si="17"/>
        <v>0.10945976795215398</v>
      </c>
      <c r="AG31" s="160">
        <f t="shared" si="1"/>
        <v>2070705.6817519981</v>
      </c>
      <c r="AH31" s="200"/>
      <c r="AI31" s="462"/>
      <c r="AJ31" s="462"/>
      <c r="AK31" s="462"/>
      <c r="AL31" s="463"/>
      <c r="AM31" s="463"/>
      <c r="AN31" s="463"/>
      <c r="AO31" s="462"/>
      <c r="AP31" s="462"/>
      <c r="AQ31" s="462"/>
      <c r="AR31" s="462"/>
      <c r="AS31" s="462"/>
      <c r="AT31" s="462"/>
      <c r="AU31" s="462"/>
      <c r="AV31" s="462"/>
      <c r="AW31" s="462"/>
      <c r="AX31" s="462"/>
      <c r="AY31" s="462"/>
      <c r="AZ31" s="462"/>
      <c r="BA31" s="464"/>
      <c r="BB31" s="462"/>
      <c r="BC31" s="462"/>
      <c r="BD31" s="464"/>
      <c r="BE31" s="464"/>
      <c r="BF31" s="464"/>
      <c r="BG31" s="464"/>
      <c r="BH31" s="462"/>
      <c r="BI31" s="462"/>
      <c r="BJ31" s="464"/>
      <c r="BK31" s="464"/>
      <c r="BL31" s="464"/>
      <c r="BM31" s="357"/>
      <c r="BN31" s="171"/>
      <c r="BO31" s="171"/>
      <c r="BP31" s="171"/>
      <c r="BQ31" s="171"/>
      <c r="BR31" s="171"/>
      <c r="BS31" s="171"/>
      <c r="BT31" s="171"/>
      <c r="BU31" s="171"/>
      <c r="BV31" s="171"/>
      <c r="BW31" s="171"/>
      <c r="BX31" s="171"/>
      <c r="BY31" s="171"/>
      <c r="BZ31" s="171"/>
      <c r="CA31" s="171"/>
      <c r="CB31" s="171"/>
      <c r="CC31" s="171"/>
      <c r="CD31" s="171"/>
      <c r="CE31" s="171"/>
      <c r="CF31" s="171"/>
      <c r="CG31" s="171"/>
      <c r="CH31" s="171"/>
      <c r="CI31" s="171"/>
      <c r="CJ31" s="171"/>
      <c r="CK31" s="171"/>
      <c r="CL31" s="171"/>
      <c r="CM31" s="171"/>
      <c r="CN31" s="171"/>
      <c r="CO31" s="171"/>
      <c r="CP31" s="171"/>
      <c r="CQ31" s="171"/>
      <c r="CR31" s="171"/>
      <c r="CS31" s="171"/>
      <c r="CT31" s="171"/>
      <c r="CU31" s="171"/>
      <c r="CV31" s="170"/>
      <c r="CW31" s="170"/>
      <c r="CX31" s="170"/>
      <c r="CY31" s="170"/>
      <c r="CZ31" s="170"/>
      <c r="DA31" s="170"/>
      <c r="DB31" s="170"/>
      <c r="DC31" s="170"/>
    </row>
    <row r="32" spans="1:107" s="147" customFormat="1" hidden="1" x14ac:dyDescent="0.25">
      <c r="A32" s="146"/>
      <c r="B32" s="805"/>
      <c r="C32" s="111"/>
      <c r="D32" s="112">
        <f t="shared" si="2"/>
        <v>0</v>
      </c>
      <c r="E32" s="91"/>
      <c r="F32" s="91"/>
      <c r="G32" s="91"/>
      <c r="H32" s="91"/>
      <c r="I32" s="91"/>
      <c r="J32" s="91"/>
      <c r="K32" s="91"/>
      <c r="L32" s="91"/>
      <c r="M32" s="91"/>
      <c r="N32" s="91"/>
      <c r="O32" s="91"/>
      <c r="P32" s="91"/>
      <c r="Q32" s="113">
        <f t="shared" si="3"/>
        <v>0</v>
      </c>
      <c r="R32" s="113">
        <f t="shared" si="4"/>
        <v>0</v>
      </c>
      <c r="S32" s="113">
        <f t="shared" si="5"/>
        <v>0</v>
      </c>
      <c r="T32" s="113">
        <f t="shared" si="6"/>
        <v>0</v>
      </c>
      <c r="U32" s="113">
        <f t="shared" si="7"/>
        <v>0</v>
      </c>
      <c r="V32" s="92"/>
      <c r="W32" s="374">
        <f t="shared" si="8"/>
        <v>0</v>
      </c>
      <c r="X32" s="375">
        <f t="shared" si="9"/>
        <v>0</v>
      </c>
      <c r="Y32" s="376">
        <f t="shared" si="10"/>
        <v>0</v>
      </c>
      <c r="Z32" s="374">
        <f t="shared" si="11"/>
        <v>0</v>
      </c>
      <c r="AA32" s="377">
        <f t="shared" si="12"/>
        <v>0</v>
      </c>
      <c r="AB32" s="377">
        <f t="shared" si="13"/>
        <v>0</v>
      </c>
      <c r="AC32" s="374">
        <f t="shared" si="14"/>
        <v>0</v>
      </c>
      <c r="AD32" s="377">
        <f t="shared" si="15"/>
        <v>0</v>
      </c>
      <c r="AE32" s="378">
        <f t="shared" si="16"/>
        <v>0</v>
      </c>
      <c r="AF32" s="379">
        <f t="shared" si="17"/>
        <v>0</v>
      </c>
      <c r="AG32" s="160">
        <f t="shared" si="1"/>
        <v>0</v>
      </c>
      <c r="AH32" s="200"/>
      <c r="AI32" s="462"/>
      <c r="AJ32" s="462"/>
      <c r="AK32" s="462"/>
      <c r="AL32" s="463"/>
      <c r="AM32" s="463"/>
      <c r="AN32" s="463"/>
      <c r="AO32" s="462"/>
      <c r="AP32" s="462"/>
      <c r="AQ32" s="462"/>
      <c r="AR32" s="462"/>
      <c r="AS32" s="462"/>
      <c r="AT32" s="462"/>
      <c r="AU32" s="462"/>
      <c r="AV32" s="462"/>
      <c r="AW32" s="462"/>
      <c r="AX32" s="462"/>
      <c r="AY32" s="462"/>
      <c r="AZ32" s="462"/>
      <c r="BA32" s="464"/>
      <c r="BB32" s="462"/>
      <c r="BC32" s="462"/>
      <c r="BD32" s="464"/>
      <c r="BE32" s="464"/>
      <c r="BF32" s="464"/>
      <c r="BG32" s="464"/>
      <c r="BH32" s="462"/>
      <c r="BI32" s="462"/>
      <c r="BJ32" s="464"/>
      <c r="BK32" s="464"/>
      <c r="BL32" s="464"/>
      <c r="BM32" s="357"/>
      <c r="BN32" s="171"/>
      <c r="BO32" s="171"/>
      <c r="BP32" s="171"/>
      <c r="BQ32" s="171"/>
      <c r="BR32" s="171"/>
      <c r="BS32" s="171"/>
      <c r="BT32" s="171"/>
      <c r="BU32" s="171"/>
      <c r="BV32" s="171"/>
      <c r="BW32" s="171"/>
      <c r="BX32" s="171"/>
      <c r="BY32" s="171"/>
      <c r="BZ32" s="171"/>
      <c r="CA32" s="171"/>
      <c r="CB32" s="171"/>
      <c r="CC32" s="171"/>
      <c r="CD32" s="171"/>
      <c r="CE32" s="171"/>
      <c r="CF32" s="171"/>
      <c r="CG32" s="171"/>
      <c r="CH32" s="171"/>
      <c r="CI32" s="171"/>
      <c r="CJ32" s="171"/>
      <c r="CK32" s="171"/>
      <c r="CL32" s="171"/>
      <c r="CM32" s="171"/>
      <c r="CN32" s="171"/>
      <c r="CO32" s="171"/>
      <c r="CP32" s="171"/>
      <c r="CQ32" s="171"/>
      <c r="CR32" s="171"/>
      <c r="CS32" s="171"/>
      <c r="CT32" s="171"/>
      <c r="CU32" s="171"/>
      <c r="CV32" s="170"/>
      <c r="CW32" s="170"/>
      <c r="CX32" s="170"/>
      <c r="CY32" s="170"/>
      <c r="CZ32" s="170"/>
      <c r="DA32" s="170"/>
      <c r="DB32" s="170"/>
      <c r="DC32" s="170"/>
    </row>
    <row r="33" spans="1:107" s="147" customFormat="1" x14ac:dyDescent="0.25">
      <c r="A33" s="146"/>
      <c r="B33" s="791" t="s">
        <v>133</v>
      </c>
      <c r="C33" s="792"/>
      <c r="D33" s="792"/>
      <c r="E33" s="792"/>
      <c r="F33" s="792"/>
      <c r="G33" s="792"/>
      <c r="H33" s="792"/>
      <c r="I33" s="792"/>
      <c r="J33" s="792"/>
      <c r="K33" s="792"/>
      <c r="L33" s="792"/>
      <c r="M33" s="792"/>
      <c r="N33" s="792"/>
      <c r="O33" s="792"/>
      <c r="P33" s="792"/>
      <c r="Q33" s="792"/>
      <c r="R33" s="792"/>
      <c r="S33" s="792"/>
      <c r="T33" s="792"/>
      <c r="U33" s="792"/>
      <c r="V33" s="792"/>
      <c r="W33" s="792"/>
      <c r="X33" s="792"/>
      <c r="Y33" s="792"/>
      <c r="Z33" s="792"/>
      <c r="AA33" s="793"/>
      <c r="AB33" s="114">
        <f>SUM(AB25:AB32)</f>
        <v>13146.334076706993</v>
      </c>
      <c r="AC33" s="115">
        <f>IF(AB33&gt;0,SQRT(SUM(AD25:AD32))/AB33,0)</f>
        <v>0.10945976795215398</v>
      </c>
      <c r="AD33" s="114">
        <f t="shared" si="15"/>
        <v>2070705.6817519981</v>
      </c>
      <c r="AE33" s="114">
        <f>SUM(AE25:AE32)</f>
        <v>13146.334076706993</v>
      </c>
      <c r="AF33" s="116">
        <f>IF(AE33&gt;0,SQRT(SUM(AG25:AG32))/AE33,0)</f>
        <v>0.10945976795215398</v>
      </c>
      <c r="AG33" s="160">
        <f t="shared" si="1"/>
        <v>2070705.6817519981</v>
      </c>
      <c r="AH33" s="200"/>
      <c r="AI33" s="462"/>
      <c r="AJ33" s="462"/>
      <c r="AK33" s="462"/>
      <c r="AL33" s="463"/>
      <c r="AM33" s="463"/>
      <c r="AN33" s="463"/>
      <c r="AO33" s="462"/>
      <c r="AP33" s="462"/>
      <c r="AQ33" s="462"/>
      <c r="AR33" s="462"/>
      <c r="AS33" s="462"/>
      <c r="AT33" s="462"/>
      <c r="AU33" s="462"/>
      <c r="AV33" s="462"/>
      <c r="AW33" s="462"/>
      <c r="AX33" s="462"/>
      <c r="AY33" s="462"/>
      <c r="AZ33" s="462"/>
      <c r="BA33" s="464"/>
      <c r="BB33" s="462"/>
      <c r="BC33" s="462"/>
      <c r="BD33" s="464"/>
      <c r="BE33" s="464"/>
      <c r="BF33" s="464"/>
      <c r="BG33" s="464"/>
      <c r="BH33" s="462"/>
      <c r="BI33" s="462"/>
      <c r="BJ33" s="464"/>
      <c r="BK33" s="464"/>
      <c r="BL33" s="464"/>
      <c r="BM33" s="357"/>
      <c r="BN33" s="171"/>
      <c r="BO33" s="171"/>
      <c r="BP33" s="171"/>
      <c r="BQ33" s="171"/>
      <c r="BR33" s="171"/>
      <c r="BS33" s="171"/>
      <c r="BT33" s="171"/>
      <c r="BU33" s="171"/>
      <c r="BV33" s="171"/>
      <c r="BW33" s="171"/>
      <c r="BX33" s="171"/>
      <c r="BY33" s="171"/>
      <c r="BZ33" s="171"/>
      <c r="CA33" s="171"/>
      <c r="CB33" s="171"/>
      <c r="CC33" s="171"/>
      <c r="CD33" s="171"/>
      <c r="CE33" s="171"/>
      <c r="CF33" s="171"/>
      <c r="CG33" s="171"/>
      <c r="CH33" s="171"/>
      <c r="CI33" s="171"/>
      <c r="CJ33" s="171"/>
      <c r="CK33" s="171"/>
      <c r="CL33" s="171"/>
      <c r="CM33" s="171"/>
      <c r="CN33" s="171"/>
      <c r="CO33" s="171"/>
      <c r="CP33" s="171"/>
      <c r="CQ33" s="171"/>
      <c r="CR33" s="171"/>
      <c r="CS33" s="171"/>
      <c r="CT33" s="171"/>
      <c r="CU33" s="171"/>
      <c r="CV33" s="170"/>
      <c r="CW33" s="170"/>
      <c r="CX33" s="170"/>
      <c r="CY33" s="170"/>
      <c r="CZ33" s="170"/>
      <c r="DA33" s="170"/>
      <c r="DB33" s="170"/>
      <c r="DC33" s="170"/>
    </row>
    <row r="34" spans="1:107" s="147" customFormat="1" ht="15.75" customHeight="1" thickBot="1" x14ac:dyDescent="0.3">
      <c r="A34" s="146"/>
      <c r="B34" s="810"/>
      <c r="C34" s="811"/>
      <c r="D34" s="811"/>
      <c r="E34" s="811"/>
      <c r="F34" s="811"/>
      <c r="G34" s="811"/>
      <c r="H34" s="811"/>
      <c r="I34" s="811"/>
      <c r="J34" s="811"/>
      <c r="K34" s="811"/>
      <c r="L34" s="811"/>
      <c r="M34" s="811"/>
      <c r="N34" s="811"/>
      <c r="O34" s="811"/>
      <c r="P34" s="811"/>
      <c r="Q34" s="811"/>
      <c r="R34" s="811"/>
      <c r="S34" s="811"/>
      <c r="T34" s="811"/>
      <c r="U34" s="811"/>
      <c r="V34" s="811"/>
      <c r="W34" s="811"/>
      <c r="X34" s="811"/>
      <c r="Y34" s="811"/>
      <c r="Z34" s="811"/>
      <c r="AA34" s="811"/>
      <c r="AB34" s="811"/>
      <c r="AC34" s="811"/>
      <c r="AD34" s="811"/>
      <c r="AE34" s="811"/>
      <c r="AF34" s="812"/>
      <c r="AG34" s="160">
        <f>(AE34*B34)^2</f>
        <v>0</v>
      </c>
      <c r="AH34" s="200"/>
      <c r="AI34" s="462"/>
      <c r="AJ34" s="462"/>
      <c r="AK34" s="462"/>
      <c r="AL34" s="463"/>
      <c r="AM34" s="463"/>
      <c r="AN34" s="463"/>
      <c r="AO34" s="462"/>
      <c r="AP34" s="462"/>
      <c r="AQ34" s="462"/>
      <c r="AR34" s="462"/>
      <c r="AS34" s="462"/>
      <c r="AT34" s="462"/>
      <c r="AU34" s="462"/>
      <c r="AV34" s="462"/>
      <c r="AW34" s="462"/>
      <c r="AX34" s="462"/>
      <c r="AY34" s="462"/>
      <c r="AZ34" s="462"/>
      <c r="BA34" s="464"/>
      <c r="BB34" s="462"/>
      <c r="BC34" s="462"/>
      <c r="BD34" s="464"/>
      <c r="BE34" s="464"/>
      <c r="BF34" s="464"/>
      <c r="BG34" s="464"/>
      <c r="BH34" s="462"/>
      <c r="BI34" s="462"/>
      <c r="BJ34" s="464"/>
      <c r="BK34" s="464"/>
      <c r="BL34" s="464"/>
      <c r="BM34" s="357"/>
      <c r="BN34" s="171"/>
      <c r="BO34" s="171"/>
      <c r="BP34" s="171"/>
      <c r="BQ34" s="171"/>
      <c r="BR34" s="171"/>
      <c r="BS34" s="171"/>
      <c r="BT34" s="171"/>
      <c r="BU34" s="171"/>
      <c r="BV34" s="171"/>
      <c r="BW34" s="171"/>
      <c r="BX34" s="171"/>
      <c r="BY34" s="171"/>
      <c r="BZ34" s="171"/>
      <c r="CA34" s="171"/>
      <c r="CB34" s="171"/>
      <c r="CC34" s="171"/>
      <c r="CD34" s="171"/>
      <c r="CE34" s="171"/>
      <c r="CF34" s="171"/>
      <c r="CG34" s="171"/>
      <c r="CH34" s="171"/>
      <c r="CI34" s="171"/>
      <c r="CJ34" s="171"/>
      <c r="CK34" s="171"/>
      <c r="CL34" s="171"/>
      <c r="CM34" s="171"/>
      <c r="CN34" s="171"/>
      <c r="CO34" s="171"/>
      <c r="CP34" s="171"/>
      <c r="CQ34" s="171"/>
      <c r="CR34" s="171"/>
      <c r="CS34" s="171"/>
      <c r="CT34" s="171"/>
      <c r="CU34" s="171"/>
      <c r="CV34" s="170"/>
      <c r="CW34" s="170"/>
      <c r="CX34" s="170"/>
      <c r="CY34" s="170"/>
      <c r="CZ34" s="170"/>
      <c r="DA34" s="170"/>
      <c r="DB34" s="170"/>
      <c r="DC34" s="170"/>
    </row>
    <row r="35" spans="1:107" s="147" customFormat="1" hidden="1" x14ac:dyDescent="0.25">
      <c r="A35" s="146"/>
      <c r="B35" s="807" t="s">
        <v>134</v>
      </c>
      <c r="C35" s="808"/>
      <c r="D35" s="808"/>
      <c r="E35" s="808"/>
      <c r="F35" s="808"/>
      <c r="G35" s="808"/>
      <c r="H35" s="808"/>
      <c r="I35" s="808"/>
      <c r="J35" s="808"/>
      <c r="K35" s="808"/>
      <c r="L35" s="808"/>
      <c r="M35" s="808"/>
      <c r="N35" s="808"/>
      <c r="O35" s="808"/>
      <c r="P35" s="808"/>
      <c r="Q35" s="808"/>
      <c r="R35" s="808"/>
      <c r="S35" s="808"/>
      <c r="T35" s="808"/>
      <c r="U35" s="808"/>
      <c r="V35" s="808"/>
      <c r="W35" s="808"/>
      <c r="X35" s="808"/>
      <c r="Y35" s="808"/>
      <c r="Z35" s="808"/>
      <c r="AA35" s="808"/>
      <c r="AB35" s="808"/>
      <c r="AC35" s="808"/>
      <c r="AD35" s="808"/>
      <c r="AE35" s="808"/>
      <c r="AF35" s="809"/>
      <c r="AG35" s="160"/>
      <c r="AH35" s="200"/>
      <c r="AI35" s="462"/>
      <c r="AJ35" s="462"/>
      <c r="AK35" s="462"/>
      <c r="AL35" s="463"/>
      <c r="AM35" s="463"/>
      <c r="AN35" s="463"/>
      <c r="AO35" s="462"/>
      <c r="AP35" s="462"/>
      <c r="AQ35" s="462"/>
      <c r="AR35" s="462"/>
      <c r="AS35" s="462"/>
      <c r="AT35" s="462"/>
      <c r="AU35" s="462"/>
      <c r="AV35" s="462"/>
      <c r="AW35" s="462"/>
      <c r="AX35" s="462"/>
      <c r="AY35" s="462"/>
      <c r="AZ35" s="462"/>
      <c r="BA35" s="464"/>
      <c r="BB35" s="462"/>
      <c r="BC35" s="462"/>
      <c r="BD35" s="464"/>
      <c r="BE35" s="464"/>
      <c r="BF35" s="464"/>
      <c r="BG35" s="464"/>
      <c r="BH35" s="462"/>
      <c r="BI35" s="462"/>
      <c r="BJ35" s="464"/>
      <c r="BK35" s="464"/>
      <c r="BL35" s="464"/>
      <c r="BM35" s="357"/>
      <c r="BN35" s="171"/>
      <c r="BO35" s="171"/>
      <c r="BP35" s="171"/>
      <c r="BQ35" s="171"/>
      <c r="BR35" s="171"/>
      <c r="BS35" s="171"/>
      <c r="BT35" s="171"/>
      <c r="BU35" s="171"/>
      <c r="BV35" s="171"/>
      <c r="BW35" s="171"/>
      <c r="BX35" s="171"/>
      <c r="BY35" s="171"/>
      <c r="BZ35" s="171"/>
      <c r="CA35" s="171"/>
      <c r="CB35" s="171"/>
      <c r="CC35" s="171"/>
      <c r="CD35" s="171"/>
      <c r="CE35" s="171"/>
      <c r="CF35" s="171"/>
      <c r="CG35" s="171"/>
      <c r="CH35" s="171"/>
      <c r="CI35" s="171"/>
      <c r="CJ35" s="171"/>
      <c r="CK35" s="171"/>
      <c r="CL35" s="171"/>
      <c r="CM35" s="171"/>
      <c r="CN35" s="171"/>
      <c r="CO35" s="171"/>
      <c r="CP35" s="171"/>
      <c r="CQ35" s="171"/>
      <c r="CR35" s="171"/>
      <c r="CS35" s="171"/>
      <c r="CT35" s="171"/>
      <c r="CU35" s="171"/>
      <c r="CV35" s="170"/>
      <c r="CW35" s="170"/>
      <c r="CX35" s="170"/>
      <c r="CY35" s="170"/>
      <c r="CZ35" s="170"/>
      <c r="DA35" s="170"/>
      <c r="DB35" s="170"/>
      <c r="DC35" s="170"/>
    </row>
    <row r="36" spans="1:107" s="200" customFormat="1" ht="15" hidden="1" customHeight="1" x14ac:dyDescent="0.25">
      <c r="A36" s="146"/>
      <c r="B36" s="802" t="s">
        <v>442</v>
      </c>
      <c r="C36" s="803" t="s">
        <v>446</v>
      </c>
      <c r="D36" s="800" t="s">
        <v>107</v>
      </c>
      <c r="E36" s="800"/>
      <c r="F36" s="800"/>
      <c r="G36" s="800"/>
      <c r="H36" s="800"/>
      <c r="I36" s="800"/>
      <c r="J36" s="800"/>
      <c r="K36" s="800"/>
      <c r="L36" s="800"/>
      <c r="M36" s="800"/>
      <c r="N36" s="800"/>
      <c r="O36" s="800"/>
      <c r="P36" s="800"/>
      <c r="Q36" s="800"/>
      <c r="R36" s="800"/>
      <c r="S36" s="800" t="s">
        <v>352</v>
      </c>
      <c r="T36" s="800"/>
      <c r="U36" s="800"/>
      <c r="V36" s="800"/>
      <c r="W36" s="800"/>
      <c r="X36" s="800" t="s">
        <v>360</v>
      </c>
      <c r="Y36" s="800"/>
      <c r="Z36" s="800"/>
      <c r="AA36" s="800"/>
      <c r="AB36" s="800"/>
      <c r="AC36" s="800"/>
      <c r="AD36" s="800"/>
      <c r="AE36" s="800" t="s">
        <v>828</v>
      </c>
      <c r="AF36" s="801" t="s">
        <v>109</v>
      </c>
      <c r="AG36" s="160"/>
      <c r="AI36" s="462"/>
      <c r="AJ36" s="462"/>
      <c r="AK36" s="462"/>
      <c r="AL36" s="463"/>
      <c r="AM36" s="463"/>
      <c r="AN36" s="463"/>
      <c r="AO36" s="462"/>
      <c r="AP36" s="462"/>
      <c r="AQ36" s="462"/>
      <c r="AR36" s="462"/>
      <c r="AS36" s="462"/>
      <c r="AT36" s="462"/>
      <c r="AU36" s="462"/>
      <c r="AV36" s="462"/>
      <c r="AW36" s="462"/>
      <c r="AX36" s="462"/>
      <c r="AY36" s="462"/>
      <c r="AZ36" s="462"/>
      <c r="BA36" s="464"/>
      <c r="BB36" s="462"/>
      <c r="BC36" s="462"/>
      <c r="BD36" s="464"/>
      <c r="BE36" s="464"/>
      <c r="BF36" s="464"/>
      <c r="BG36" s="464"/>
      <c r="BH36" s="462"/>
      <c r="BI36" s="462"/>
      <c r="BJ36" s="464"/>
      <c r="BK36" s="464"/>
      <c r="BL36" s="464"/>
      <c r="BM36" s="357"/>
      <c r="BN36" s="171"/>
      <c r="BO36" s="171"/>
      <c r="BP36" s="171"/>
      <c r="BQ36" s="171"/>
      <c r="BR36" s="171"/>
      <c r="BS36" s="171"/>
      <c r="BT36" s="171"/>
      <c r="BU36" s="171"/>
      <c r="BV36" s="171"/>
      <c r="BW36" s="171"/>
      <c r="BX36" s="171"/>
      <c r="BY36" s="171"/>
      <c r="BZ36" s="171"/>
      <c r="CA36" s="171"/>
      <c r="CB36" s="171"/>
      <c r="CC36" s="171"/>
      <c r="CD36" s="171"/>
      <c r="CE36" s="171"/>
      <c r="CF36" s="171"/>
      <c r="CG36" s="171"/>
      <c r="CH36" s="171"/>
      <c r="CI36" s="171"/>
      <c r="CJ36" s="171"/>
      <c r="CK36" s="171"/>
      <c r="CL36" s="171"/>
      <c r="CM36" s="171"/>
      <c r="CN36" s="171"/>
      <c r="CO36" s="171"/>
      <c r="CP36" s="171"/>
      <c r="CQ36" s="171"/>
      <c r="CR36" s="171"/>
      <c r="CS36" s="171"/>
      <c r="CT36" s="171"/>
      <c r="CU36" s="171"/>
      <c r="CV36" s="170"/>
      <c r="CW36" s="170"/>
      <c r="CX36" s="170"/>
      <c r="CY36" s="170"/>
      <c r="CZ36" s="170"/>
      <c r="DA36" s="170"/>
      <c r="DB36" s="170"/>
      <c r="DC36" s="170"/>
    </row>
    <row r="37" spans="1:107" s="200" customFormat="1" ht="36" hidden="1" customHeight="1" x14ac:dyDescent="0.25">
      <c r="A37" s="146"/>
      <c r="B37" s="802"/>
      <c r="C37" s="803"/>
      <c r="D37" s="144" t="s">
        <v>110</v>
      </c>
      <c r="E37" s="144" t="s">
        <v>111</v>
      </c>
      <c r="F37" s="144" t="s">
        <v>112</v>
      </c>
      <c r="G37" s="144" t="s">
        <v>113</v>
      </c>
      <c r="H37" s="144" t="s">
        <v>114</v>
      </c>
      <c r="I37" s="144" t="s">
        <v>115</v>
      </c>
      <c r="J37" s="144" t="s">
        <v>116</v>
      </c>
      <c r="K37" s="144" t="s">
        <v>117</v>
      </c>
      <c r="L37" s="144" t="s">
        <v>118</v>
      </c>
      <c r="M37" s="144" t="s">
        <v>119</v>
      </c>
      <c r="N37" s="144" t="s">
        <v>120</v>
      </c>
      <c r="O37" s="144" t="s">
        <v>121</v>
      </c>
      <c r="P37" s="144" t="s">
        <v>122</v>
      </c>
      <c r="Q37" s="144" t="s">
        <v>123</v>
      </c>
      <c r="R37" s="144" t="s">
        <v>124</v>
      </c>
      <c r="S37" s="144" t="s">
        <v>125</v>
      </c>
      <c r="T37" s="144" t="s">
        <v>126</v>
      </c>
      <c r="U37" s="144" t="s">
        <v>127</v>
      </c>
      <c r="V37" s="144" t="s">
        <v>369</v>
      </c>
      <c r="W37" s="144" t="s">
        <v>352</v>
      </c>
      <c r="X37" s="144" t="s">
        <v>353</v>
      </c>
      <c r="Y37" s="144"/>
      <c r="Z37" s="144" t="s">
        <v>361</v>
      </c>
      <c r="AA37" s="144" t="s">
        <v>829</v>
      </c>
      <c r="AB37" s="144" t="s">
        <v>830</v>
      </c>
      <c r="AC37" s="144" t="s">
        <v>362</v>
      </c>
      <c r="AD37" s="144" t="s">
        <v>453</v>
      </c>
      <c r="AE37" s="800"/>
      <c r="AF37" s="801"/>
      <c r="AG37" s="160"/>
      <c r="AI37" s="462"/>
      <c r="AJ37" s="462"/>
      <c r="AK37" s="462"/>
      <c r="AL37" s="463"/>
      <c r="AM37" s="463"/>
      <c r="AN37" s="463"/>
      <c r="AO37" s="462"/>
      <c r="AP37" s="462"/>
      <c r="AQ37" s="462"/>
      <c r="AR37" s="462"/>
      <c r="AS37" s="462"/>
      <c r="AT37" s="462"/>
      <c r="AU37" s="462"/>
      <c r="AV37" s="462"/>
      <c r="AW37" s="462"/>
      <c r="AX37" s="462"/>
      <c r="AY37" s="462"/>
      <c r="AZ37" s="462"/>
      <c r="BA37" s="464"/>
      <c r="BB37" s="462"/>
      <c r="BC37" s="462"/>
      <c r="BD37" s="464"/>
      <c r="BE37" s="464"/>
      <c r="BF37" s="464"/>
      <c r="BG37" s="464"/>
      <c r="BH37" s="462"/>
      <c r="BI37" s="462"/>
      <c r="BJ37" s="464"/>
      <c r="BK37" s="464"/>
      <c r="BL37" s="464"/>
      <c r="BM37" s="357"/>
      <c r="BN37" s="171"/>
      <c r="BO37" s="171"/>
      <c r="BP37" s="171"/>
      <c r="BQ37" s="171"/>
      <c r="BR37" s="171"/>
      <c r="BS37" s="171"/>
      <c r="BT37" s="171"/>
      <c r="BU37" s="171"/>
      <c r="BV37" s="171"/>
      <c r="BW37" s="171"/>
      <c r="BX37" s="171"/>
      <c r="BY37" s="171"/>
      <c r="BZ37" s="171"/>
      <c r="CA37" s="171"/>
      <c r="CB37" s="171"/>
      <c r="CC37" s="171"/>
      <c r="CD37" s="171"/>
      <c r="CE37" s="171"/>
      <c r="CF37" s="171"/>
      <c r="CG37" s="171"/>
      <c r="CH37" s="171"/>
      <c r="CI37" s="171"/>
      <c r="CJ37" s="171"/>
      <c r="CK37" s="171"/>
      <c r="CL37" s="171"/>
      <c r="CM37" s="171"/>
      <c r="CN37" s="171"/>
      <c r="CO37" s="171"/>
      <c r="CP37" s="171"/>
      <c r="CQ37" s="171"/>
      <c r="CR37" s="171"/>
      <c r="CS37" s="171"/>
      <c r="CT37" s="171"/>
      <c r="CU37" s="171"/>
      <c r="CV37" s="170"/>
      <c r="CW37" s="170"/>
      <c r="CX37" s="170"/>
      <c r="CY37" s="170"/>
      <c r="CZ37" s="170"/>
      <c r="DA37" s="170"/>
      <c r="DB37" s="170"/>
      <c r="DC37" s="170"/>
    </row>
    <row r="38" spans="1:107" s="147" customFormat="1" hidden="1" x14ac:dyDescent="0.25">
      <c r="A38" s="146"/>
      <c r="B38" s="117" t="s">
        <v>451</v>
      </c>
      <c r="C38" s="111"/>
      <c r="D38" s="112">
        <f>VLOOKUP($C38,$AH$57:$BL$84,2,FALSE)</f>
        <v>0</v>
      </c>
      <c r="E38" s="91"/>
      <c r="F38" s="91"/>
      <c r="G38" s="91"/>
      <c r="H38" s="91"/>
      <c r="I38" s="91"/>
      <c r="J38" s="91"/>
      <c r="K38" s="91"/>
      <c r="L38" s="91"/>
      <c r="M38" s="91"/>
      <c r="N38" s="91"/>
      <c r="O38" s="91"/>
      <c r="P38" s="91"/>
      <c r="Q38" s="113">
        <f>SUM(E38:P38)</f>
        <v>0</v>
      </c>
      <c r="R38" s="113">
        <f>COUNT(E38:P38)</f>
        <v>0</v>
      </c>
      <c r="S38" s="113">
        <f>IF(R38&gt;1,AVERAGE(E38:P38),0)</f>
        <v>0</v>
      </c>
      <c r="T38" s="113">
        <f>IF(R38&gt;1,STDEV(E38:P38),0)</f>
        <v>0</v>
      </c>
      <c r="U38" s="113">
        <f>IF(R38&gt;1,VLOOKUP($R38,$AH$91:$AI$103,2,FALSE),0)</f>
        <v>0</v>
      </c>
      <c r="V38" s="92"/>
      <c r="W38" s="374">
        <f>IF(R38&gt;1,1-((S38-((T38*U38)/(SQRT(R38))))/S38),VLOOKUP($C38,$AH$57:$BO$132,34,FALSE))</f>
        <v>0</v>
      </c>
      <c r="X38" s="375">
        <f>VLOOKUP($C38,$AH$57:$BL$84,3,FALSE)</f>
        <v>0</v>
      </c>
      <c r="Y38" s="376">
        <f>VLOOKUP($C38,$AH$57:$BL$84,4,FALSE)</f>
        <v>0</v>
      </c>
      <c r="Z38" s="374">
        <f>IF($Q38&gt;0,VLOOKUP($C38,$AH$57:$BL$84,6,FALSE),0)</f>
        <v>0</v>
      </c>
      <c r="AA38" s="377">
        <f>($Q38*X38)/1000</f>
        <v>0</v>
      </c>
      <c r="AB38" s="377">
        <f>AA38*1</f>
        <v>0</v>
      </c>
      <c r="AC38" s="374">
        <f>IF(AA38&gt;0,SQRT(($W38*$W38)+(Z38*Z38)+($V38*$V38)),0)</f>
        <v>0</v>
      </c>
      <c r="AD38" s="377">
        <f>(AB38*AC38)^2</f>
        <v>0</v>
      </c>
      <c r="AE38" s="378">
        <f>AB38</f>
        <v>0</v>
      </c>
      <c r="AF38" s="379">
        <f>AC38</f>
        <v>0</v>
      </c>
      <c r="AG38" s="160">
        <f t="shared" si="1"/>
        <v>0</v>
      </c>
      <c r="AH38" s="200"/>
      <c r="AI38" s="462"/>
      <c r="AJ38" s="462"/>
      <c r="AK38" s="462"/>
      <c r="AL38" s="463"/>
      <c r="AM38" s="463"/>
      <c r="AN38" s="463"/>
      <c r="AO38" s="462"/>
      <c r="AP38" s="462"/>
      <c r="AQ38" s="462"/>
      <c r="AR38" s="462"/>
      <c r="AS38" s="462"/>
      <c r="AT38" s="462"/>
      <c r="AU38" s="462"/>
      <c r="AV38" s="462"/>
      <c r="AW38" s="462"/>
      <c r="AX38" s="462"/>
      <c r="AY38" s="462"/>
      <c r="AZ38" s="462"/>
      <c r="BA38" s="464"/>
      <c r="BB38" s="462"/>
      <c r="BC38" s="462"/>
      <c r="BD38" s="464"/>
      <c r="BE38" s="464"/>
      <c r="BF38" s="464"/>
      <c r="BG38" s="464"/>
      <c r="BH38" s="462"/>
      <c r="BI38" s="462"/>
      <c r="BJ38" s="464"/>
      <c r="BK38" s="464"/>
      <c r="BL38" s="464"/>
      <c r="BM38" s="357"/>
      <c r="BN38" s="171"/>
      <c r="BO38" s="171"/>
      <c r="BP38" s="171"/>
      <c r="BQ38" s="171"/>
      <c r="BR38" s="171"/>
      <c r="BS38" s="171"/>
      <c r="BT38" s="171"/>
      <c r="BU38" s="171"/>
      <c r="BV38" s="171"/>
      <c r="BW38" s="171"/>
      <c r="BX38" s="171"/>
      <c r="BY38" s="171"/>
      <c r="BZ38" s="171"/>
      <c r="CA38" s="171"/>
      <c r="CB38" s="171"/>
      <c r="CC38" s="171"/>
      <c r="CD38" s="171"/>
      <c r="CE38" s="171"/>
      <c r="CF38" s="171"/>
      <c r="CG38" s="171"/>
      <c r="CH38" s="171"/>
      <c r="CI38" s="171"/>
      <c r="CJ38" s="171"/>
      <c r="CK38" s="171"/>
      <c r="CL38" s="171"/>
      <c r="CM38" s="171"/>
      <c r="CN38" s="171"/>
      <c r="CO38" s="171"/>
      <c r="CP38" s="171"/>
      <c r="CQ38" s="171"/>
      <c r="CR38" s="171"/>
      <c r="CS38" s="171"/>
      <c r="CT38" s="171"/>
      <c r="CU38" s="171"/>
      <c r="CV38" s="170"/>
      <c r="CW38" s="170"/>
      <c r="CX38" s="170"/>
      <c r="CY38" s="170"/>
      <c r="CZ38" s="170"/>
      <c r="DA38" s="170"/>
      <c r="DB38" s="170"/>
      <c r="DC38" s="170"/>
    </row>
    <row r="39" spans="1:107" s="147" customFormat="1" ht="15.75" hidden="1" customHeight="1" thickBot="1" x14ac:dyDescent="0.3">
      <c r="A39" s="146"/>
      <c r="B39" s="794" t="s">
        <v>146</v>
      </c>
      <c r="C39" s="795"/>
      <c r="D39" s="795"/>
      <c r="E39" s="795"/>
      <c r="F39" s="795"/>
      <c r="G39" s="795"/>
      <c r="H39" s="795"/>
      <c r="I39" s="795"/>
      <c r="J39" s="795"/>
      <c r="K39" s="795"/>
      <c r="L39" s="795"/>
      <c r="M39" s="795"/>
      <c r="N39" s="795"/>
      <c r="O39" s="795"/>
      <c r="P39" s="795"/>
      <c r="Q39" s="795"/>
      <c r="R39" s="795"/>
      <c r="S39" s="795"/>
      <c r="T39" s="795"/>
      <c r="U39" s="795"/>
      <c r="V39" s="795"/>
      <c r="W39" s="795"/>
      <c r="X39" s="795"/>
      <c r="Y39" s="795"/>
      <c r="Z39" s="795"/>
      <c r="AA39" s="796"/>
      <c r="AB39" s="121">
        <f>SUM(AB36:AB38)</f>
        <v>0</v>
      </c>
      <c r="AC39" s="122">
        <f>IF(AB39&gt;0,SQRT(SUM(AD36:AD38))/AB39,0)</f>
        <v>0</v>
      </c>
      <c r="AD39" s="121">
        <f>(AB39*AC39)^2</f>
        <v>0</v>
      </c>
      <c r="AE39" s="121">
        <f>SUM(AE36:AE38)</f>
        <v>0</v>
      </c>
      <c r="AF39" s="123">
        <f>IF(AE39&gt;0,SQRT(SUM(AG36:AG38))/AE39,0)</f>
        <v>0</v>
      </c>
      <c r="AG39" s="160">
        <f>(AE39*AF39)^2</f>
        <v>0</v>
      </c>
      <c r="AH39" s="200"/>
      <c r="AI39" s="462"/>
      <c r="AJ39" s="462"/>
      <c r="AK39" s="462"/>
      <c r="AL39" s="463"/>
      <c r="AM39" s="463"/>
      <c r="AN39" s="463"/>
      <c r="AO39" s="462"/>
      <c r="AP39" s="462"/>
      <c r="AQ39" s="462"/>
      <c r="AR39" s="462"/>
      <c r="AS39" s="462"/>
      <c r="AT39" s="462"/>
      <c r="AU39" s="462"/>
      <c r="AV39" s="462"/>
      <c r="AW39" s="462"/>
      <c r="AX39" s="462"/>
      <c r="AY39" s="462"/>
      <c r="AZ39" s="462"/>
      <c r="BA39" s="464"/>
      <c r="BB39" s="462"/>
      <c r="BC39" s="462"/>
      <c r="BD39" s="464"/>
      <c r="BE39" s="464"/>
      <c r="BF39" s="464"/>
      <c r="BG39" s="464"/>
      <c r="BH39" s="462"/>
      <c r="BI39" s="462"/>
      <c r="BJ39" s="464"/>
      <c r="BK39" s="464"/>
      <c r="BL39" s="464"/>
      <c r="BM39" s="357"/>
      <c r="BN39" s="171"/>
      <c r="BO39" s="171"/>
      <c r="BP39" s="171"/>
      <c r="BQ39" s="171"/>
      <c r="BR39" s="171"/>
      <c r="BS39" s="171"/>
      <c r="BT39" s="171"/>
      <c r="BU39" s="171"/>
      <c r="BV39" s="171"/>
      <c r="BW39" s="171"/>
      <c r="BX39" s="171"/>
      <c r="BY39" s="171"/>
      <c r="BZ39" s="171"/>
      <c r="CA39" s="171"/>
      <c r="CB39" s="171"/>
      <c r="CC39" s="171"/>
      <c r="CD39" s="171"/>
      <c r="CE39" s="171"/>
      <c r="CF39" s="171"/>
      <c r="CG39" s="171"/>
      <c r="CH39" s="171"/>
      <c r="CI39" s="171"/>
      <c r="CJ39" s="171"/>
      <c r="CK39" s="171"/>
      <c r="CL39" s="171"/>
      <c r="CM39" s="171"/>
      <c r="CN39" s="171"/>
      <c r="CO39" s="171"/>
      <c r="CP39" s="171"/>
      <c r="CQ39" s="171"/>
      <c r="CR39" s="171"/>
      <c r="CS39" s="171"/>
      <c r="CT39" s="171"/>
      <c r="CU39" s="171"/>
      <c r="CV39" s="170"/>
      <c r="CW39" s="170"/>
      <c r="CX39" s="170"/>
      <c r="CY39" s="170"/>
      <c r="CZ39" s="170"/>
      <c r="DA39" s="170"/>
      <c r="DB39" s="170"/>
      <c r="DC39" s="170"/>
    </row>
    <row r="40" spans="1:107" s="147" customFormat="1" ht="15.75" customHeight="1" thickBot="1" x14ac:dyDescent="0.3">
      <c r="A40" s="146"/>
      <c r="B40" s="787"/>
      <c r="C40" s="788"/>
      <c r="D40" s="788"/>
      <c r="E40" s="788"/>
      <c r="F40" s="788"/>
      <c r="G40" s="788"/>
      <c r="H40" s="788"/>
      <c r="I40" s="788"/>
      <c r="J40" s="788"/>
      <c r="K40" s="788"/>
      <c r="L40" s="788"/>
      <c r="M40" s="788"/>
      <c r="N40" s="788"/>
      <c r="O40" s="788"/>
      <c r="P40" s="788"/>
      <c r="Q40" s="788"/>
      <c r="R40" s="788"/>
      <c r="S40" s="788"/>
      <c r="T40" s="788"/>
      <c r="U40" s="788"/>
      <c r="V40" s="788"/>
      <c r="W40" s="788"/>
      <c r="X40" s="788"/>
      <c r="Y40" s="788"/>
      <c r="Z40" s="788"/>
      <c r="AA40" s="788"/>
      <c r="AB40" s="788"/>
      <c r="AC40" s="788"/>
      <c r="AD40" s="788"/>
      <c r="AE40" s="788"/>
      <c r="AF40" s="789"/>
      <c r="AG40" s="160">
        <f>(AE40*B40)^2</f>
        <v>0</v>
      </c>
      <c r="AH40" s="200"/>
      <c r="AI40" s="462"/>
      <c r="AJ40" s="462"/>
      <c r="AK40" s="462"/>
      <c r="AL40" s="463"/>
      <c r="AM40" s="463"/>
      <c r="AN40" s="463"/>
      <c r="AO40" s="462"/>
      <c r="AP40" s="462"/>
      <c r="AQ40" s="462"/>
      <c r="AR40" s="462"/>
      <c r="AS40" s="462"/>
      <c r="AT40" s="462"/>
      <c r="AU40" s="462"/>
      <c r="AV40" s="462"/>
      <c r="AW40" s="462"/>
      <c r="AX40" s="462"/>
      <c r="AY40" s="462"/>
      <c r="AZ40" s="462"/>
      <c r="BA40" s="464"/>
      <c r="BB40" s="462"/>
      <c r="BC40" s="462"/>
      <c r="BD40" s="464"/>
      <c r="BE40" s="464"/>
      <c r="BF40" s="464"/>
      <c r="BG40" s="464"/>
      <c r="BH40" s="462"/>
      <c r="BI40" s="462"/>
      <c r="BJ40" s="464"/>
      <c r="BK40" s="464"/>
      <c r="BL40" s="464"/>
      <c r="BM40" s="357"/>
      <c r="BN40" s="171"/>
      <c r="BO40" s="171"/>
      <c r="BP40" s="171"/>
      <c r="BQ40" s="171"/>
      <c r="BR40" s="171"/>
      <c r="BS40" s="171"/>
      <c r="BT40" s="171"/>
      <c r="BU40" s="171"/>
      <c r="BV40" s="171"/>
      <c r="BW40" s="171"/>
      <c r="BX40" s="171"/>
      <c r="BY40" s="171"/>
      <c r="BZ40" s="171"/>
      <c r="CA40" s="171"/>
      <c r="CB40" s="171"/>
      <c r="CC40" s="171"/>
      <c r="CD40" s="171"/>
      <c r="CE40" s="171"/>
      <c r="CF40" s="171"/>
      <c r="CG40" s="171"/>
      <c r="CH40" s="171"/>
      <c r="CI40" s="171"/>
      <c r="CJ40" s="171"/>
      <c r="CK40" s="171"/>
      <c r="CL40" s="171"/>
      <c r="CM40" s="171"/>
      <c r="CN40" s="171"/>
      <c r="CO40" s="171"/>
      <c r="CP40" s="171"/>
      <c r="CQ40" s="171"/>
      <c r="CR40" s="171"/>
      <c r="CS40" s="171"/>
      <c r="CT40" s="171"/>
      <c r="CU40" s="171"/>
      <c r="CV40" s="170"/>
      <c r="CW40" s="170"/>
      <c r="CX40" s="170"/>
      <c r="CY40" s="170"/>
      <c r="CZ40" s="170"/>
      <c r="DA40" s="170"/>
      <c r="DB40" s="170"/>
      <c r="DC40" s="170"/>
    </row>
    <row r="41" spans="1:107" s="272" customFormat="1" ht="15.75" thickBot="1" x14ac:dyDescent="0.3">
      <c r="A41" s="146"/>
      <c r="B41" s="775" t="s">
        <v>462</v>
      </c>
      <c r="C41" s="776"/>
      <c r="D41" s="776"/>
      <c r="E41" s="776"/>
      <c r="F41" s="776"/>
      <c r="G41" s="776"/>
      <c r="H41" s="776"/>
      <c r="I41" s="776"/>
      <c r="J41" s="776"/>
      <c r="K41" s="776"/>
      <c r="L41" s="776"/>
      <c r="M41" s="776"/>
      <c r="N41" s="776"/>
      <c r="O41" s="776"/>
      <c r="P41" s="776"/>
      <c r="Q41" s="776"/>
      <c r="R41" s="776"/>
      <c r="S41" s="776"/>
      <c r="T41" s="776"/>
      <c r="U41" s="776"/>
      <c r="V41" s="776"/>
      <c r="W41" s="776"/>
      <c r="X41" s="776"/>
      <c r="Y41" s="776"/>
      <c r="Z41" s="776"/>
      <c r="AA41" s="790"/>
      <c r="AB41" s="118">
        <f>AB20+AB33+AB39</f>
        <v>13362.801489857102</v>
      </c>
      <c r="AC41" s="119">
        <f>IF(AB41&gt;0,(SQRT(AD20+AD33+AD39))/AB41,0)</f>
        <v>0.10768864560539619</v>
      </c>
      <c r="AD41" s="118">
        <f>(AB41*AC41)^2</f>
        <v>2070784.2990329277</v>
      </c>
      <c r="AE41" s="118">
        <f>+AE20+AE33+AE39</f>
        <v>13362.801489857102</v>
      </c>
      <c r="AF41" s="120">
        <f>IF(AE41&gt;0,(SQRT(AG20+AG33+AG39))/AE41,0)</f>
        <v>0.10768864560539619</v>
      </c>
      <c r="AG41" s="160">
        <f>(AE41*AF41)^2</f>
        <v>2070784.2990329277</v>
      </c>
      <c r="AH41" s="469"/>
      <c r="AI41" s="470"/>
      <c r="AJ41" s="470"/>
      <c r="AK41" s="470"/>
      <c r="AL41" s="471"/>
      <c r="AM41" s="471"/>
      <c r="AN41" s="471"/>
      <c r="AO41" s="470"/>
      <c r="AP41" s="470"/>
      <c r="AQ41" s="470"/>
      <c r="AR41" s="470"/>
      <c r="AS41" s="470"/>
      <c r="AT41" s="470"/>
      <c r="AU41" s="470"/>
      <c r="AV41" s="470"/>
      <c r="AW41" s="470"/>
      <c r="AX41" s="470"/>
      <c r="AY41" s="470"/>
      <c r="AZ41" s="470"/>
      <c r="BA41" s="472"/>
      <c r="BB41" s="470"/>
      <c r="BC41" s="470"/>
      <c r="BD41" s="472"/>
      <c r="BE41" s="472"/>
      <c r="BF41" s="472"/>
      <c r="BG41" s="472"/>
      <c r="BH41" s="470"/>
      <c r="BI41" s="470"/>
      <c r="BJ41" s="472"/>
      <c r="BK41" s="472"/>
      <c r="BL41" s="472"/>
      <c r="BM41" s="358"/>
      <c r="BN41" s="271"/>
      <c r="BO41" s="271"/>
      <c r="BP41" s="271"/>
      <c r="BQ41" s="271"/>
      <c r="BR41" s="271"/>
      <c r="BS41" s="271"/>
      <c r="BT41" s="271"/>
      <c r="BU41" s="271"/>
      <c r="BV41" s="271"/>
      <c r="BW41" s="271"/>
      <c r="BX41" s="271"/>
      <c r="BY41" s="271"/>
      <c r="BZ41" s="271"/>
      <c r="CA41" s="271"/>
      <c r="CB41" s="271"/>
      <c r="CC41" s="271"/>
      <c r="CD41" s="271"/>
      <c r="CE41" s="271"/>
      <c r="CF41" s="271"/>
      <c r="CG41" s="271"/>
      <c r="CH41" s="271"/>
      <c r="CI41" s="271"/>
      <c r="CJ41" s="271"/>
      <c r="CK41" s="271"/>
      <c r="CL41" s="271"/>
      <c r="CM41" s="271"/>
      <c r="CN41" s="271"/>
      <c r="CO41" s="271"/>
      <c r="CP41" s="271"/>
      <c r="CQ41" s="271"/>
      <c r="CR41" s="271"/>
      <c r="CS41" s="271"/>
      <c r="CT41" s="271"/>
      <c r="CU41" s="271"/>
      <c r="CV41" s="270"/>
      <c r="CW41" s="270"/>
      <c r="CX41" s="270"/>
      <c r="CY41" s="270"/>
      <c r="CZ41" s="270"/>
      <c r="DA41" s="270"/>
      <c r="DB41" s="270"/>
      <c r="DC41" s="270"/>
    </row>
    <row r="42" spans="1:107" s="146" customFormat="1" ht="21" x14ac:dyDescent="0.25">
      <c r="B42" s="380"/>
      <c r="C42" s="380"/>
      <c r="D42" s="380"/>
      <c r="E42" s="381"/>
      <c r="F42" s="381"/>
      <c r="G42" s="381"/>
      <c r="H42" s="381"/>
      <c r="I42" s="381"/>
      <c r="J42" s="381"/>
      <c r="K42" s="381"/>
      <c r="L42" s="381"/>
      <c r="M42" s="381"/>
      <c r="N42" s="381"/>
      <c r="O42" s="381"/>
      <c r="P42" s="381"/>
      <c r="Q42" s="381"/>
      <c r="R42" s="382"/>
      <c r="S42" s="381"/>
      <c r="T42" s="381"/>
      <c r="U42" s="381"/>
      <c r="V42" s="383"/>
      <c r="W42" s="383"/>
      <c r="X42" s="380"/>
      <c r="Y42" s="380"/>
      <c r="Z42" s="383"/>
      <c r="AA42" s="384"/>
      <c r="AB42" s="384"/>
      <c r="AC42" s="383"/>
      <c r="AD42" s="384"/>
      <c r="AE42" s="381"/>
      <c r="AF42" s="383"/>
      <c r="AG42" s="160">
        <f>(AE42*AF42)^2</f>
        <v>0</v>
      </c>
      <c r="AH42" s="458"/>
      <c r="AI42" s="459"/>
      <c r="AJ42" s="459"/>
      <c r="AK42" s="459"/>
      <c r="AL42" s="460"/>
      <c r="AM42" s="460"/>
      <c r="AN42" s="460"/>
      <c r="AO42" s="459"/>
      <c r="AP42" s="459"/>
      <c r="AQ42" s="459"/>
      <c r="AR42" s="459"/>
      <c r="AS42" s="459"/>
      <c r="AT42" s="459"/>
      <c r="AU42" s="459"/>
      <c r="AV42" s="459"/>
      <c r="AW42" s="459"/>
      <c r="AX42" s="459"/>
      <c r="AY42" s="459"/>
      <c r="AZ42" s="459"/>
      <c r="BA42" s="461"/>
      <c r="BB42" s="459"/>
      <c r="BC42" s="459"/>
      <c r="BD42" s="461"/>
      <c r="BE42" s="461"/>
      <c r="BF42" s="461"/>
      <c r="BG42" s="461"/>
      <c r="BH42" s="459"/>
      <c r="BI42" s="459"/>
      <c r="BJ42" s="461"/>
      <c r="BK42" s="461"/>
      <c r="BL42" s="461"/>
      <c r="BM42" s="355"/>
      <c r="BN42" s="160"/>
      <c r="BO42" s="160"/>
      <c r="BP42" s="160"/>
      <c r="BQ42" s="160"/>
      <c r="BR42" s="160"/>
      <c r="BS42" s="160"/>
      <c r="BT42" s="160"/>
      <c r="BU42" s="160"/>
      <c r="BV42" s="160"/>
      <c r="BW42" s="160"/>
      <c r="BX42" s="160"/>
      <c r="BY42" s="160"/>
      <c r="BZ42" s="160"/>
      <c r="CA42" s="160"/>
      <c r="CB42" s="160"/>
      <c r="CC42" s="160"/>
      <c r="CD42" s="160"/>
      <c r="CE42" s="160"/>
      <c r="CF42" s="160"/>
      <c r="CG42" s="160"/>
      <c r="CH42" s="160"/>
      <c r="CI42" s="160"/>
      <c r="CJ42" s="160"/>
      <c r="CK42" s="160"/>
      <c r="CL42" s="160"/>
      <c r="CM42" s="160"/>
      <c r="CN42" s="160"/>
      <c r="CO42" s="160"/>
      <c r="CP42" s="160"/>
      <c r="CQ42" s="160"/>
      <c r="CR42" s="160"/>
      <c r="CS42" s="160"/>
      <c r="CT42" s="160"/>
      <c r="CU42" s="160"/>
      <c r="CV42" s="161"/>
      <c r="CW42" s="161"/>
      <c r="CX42" s="161"/>
      <c r="CY42" s="161"/>
      <c r="CZ42" s="161"/>
      <c r="DA42" s="161"/>
      <c r="DB42" s="161"/>
      <c r="DC42" s="161"/>
    </row>
    <row r="43" spans="1:107" s="147" customFormat="1" ht="15.75" thickBot="1" x14ac:dyDescent="0.3">
      <c r="A43" s="146"/>
      <c r="E43" s="334"/>
      <c r="F43" s="334"/>
      <c r="G43" s="334"/>
      <c r="H43" s="334"/>
      <c r="I43" s="334"/>
      <c r="J43" s="334"/>
      <c r="K43" s="334"/>
      <c r="L43" s="334"/>
      <c r="M43" s="334"/>
      <c r="N43" s="334"/>
      <c r="O43" s="334"/>
      <c r="P43" s="334"/>
      <c r="Q43" s="334"/>
      <c r="R43" s="335"/>
      <c r="S43" s="334"/>
      <c r="T43" s="334"/>
      <c r="U43" s="334"/>
      <c r="V43" s="336"/>
      <c r="W43" s="336"/>
      <c r="Z43" s="336"/>
      <c r="AA43" s="337"/>
      <c r="AB43" s="337"/>
      <c r="AC43" s="336"/>
      <c r="AD43" s="337"/>
      <c r="AE43" s="334"/>
      <c r="AF43" s="336"/>
      <c r="AG43" s="160"/>
      <c r="AH43" s="200"/>
      <c r="AI43" s="462"/>
      <c r="AJ43" s="462"/>
      <c r="AK43" s="462"/>
      <c r="AL43" s="463"/>
      <c r="AM43" s="463"/>
      <c r="AN43" s="463"/>
      <c r="AO43" s="462"/>
      <c r="AP43" s="462"/>
      <c r="AQ43" s="462"/>
      <c r="AR43" s="462"/>
      <c r="AS43" s="462"/>
      <c r="AT43" s="462"/>
      <c r="AU43" s="462"/>
      <c r="AV43" s="462"/>
      <c r="AW43" s="462"/>
      <c r="AX43" s="462"/>
      <c r="AY43" s="462"/>
      <c r="AZ43" s="462"/>
      <c r="BA43" s="464"/>
      <c r="BB43" s="462"/>
      <c r="BC43" s="462"/>
      <c r="BD43" s="464"/>
      <c r="BE43" s="464"/>
      <c r="BF43" s="464"/>
      <c r="BG43" s="464"/>
      <c r="BH43" s="462"/>
      <c r="BI43" s="462"/>
      <c r="BJ43" s="464"/>
      <c r="BK43" s="464"/>
      <c r="BL43" s="464"/>
      <c r="BM43" s="357"/>
      <c r="BN43" s="171"/>
      <c r="BO43" s="171"/>
      <c r="BP43" s="171"/>
      <c r="BQ43" s="171"/>
      <c r="BR43" s="171"/>
      <c r="BS43" s="171"/>
      <c r="BT43" s="171"/>
      <c r="BU43" s="171"/>
      <c r="BV43" s="171"/>
      <c r="BW43" s="171"/>
      <c r="BX43" s="171"/>
      <c r="BY43" s="171"/>
      <c r="BZ43" s="171"/>
      <c r="CA43" s="171"/>
      <c r="CB43" s="171"/>
      <c r="CC43" s="171"/>
      <c r="CD43" s="171"/>
      <c r="CE43" s="171"/>
      <c r="CF43" s="171"/>
      <c r="CG43" s="171"/>
      <c r="CH43" s="171"/>
      <c r="CI43" s="171"/>
      <c r="CJ43" s="171"/>
      <c r="CK43" s="171"/>
      <c r="CL43" s="171"/>
      <c r="CM43" s="171"/>
      <c r="CN43" s="171"/>
      <c r="CO43" s="171"/>
      <c r="CP43" s="171"/>
      <c r="CQ43" s="171"/>
      <c r="CR43" s="171"/>
      <c r="CS43" s="171"/>
      <c r="CT43" s="171"/>
      <c r="CU43" s="171"/>
      <c r="CV43" s="170"/>
      <c r="CW43" s="170"/>
      <c r="CX43" s="170"/>
      <c r="CY43" s="170"/>
      <c r="CZ43" s="170"/>
      <c r="DA43" s="170"/>
      <c r="DB43" s="170"/>
      <c r="DC43" s="170"/>
    </row>
    <row r="44" spans="1:107" s="147" customFormat="1" ht="15.75" thickBot="1" x14ac:dyDescent="0.3">
      <c r="A44" s="146"/>
      <c r="B44" s="124" t="s">
        <v>261</v>
      </c>
      <c r="C44" s="125"/>
      <c r="E44" s="334"/>
      <c r="F44" s="334"/>
      <c r="G44" s="334"/>
      <c r="H44" s="334"/>
      <c r="I44" s="334"/>
      <c r="J44" s="334"/>
      <c r="K44" s="334"/>
      <c r="L44" s="334"/>
      <c r="M44" s="334"/>
      <c r="N44" s="334"/>
      <c r="O44" s="334"/>
      <c r="P44" s="334"/>
      <c r="Q44" s="334"/>
      <c r="R44" s="335"/>
      <c r="S44" s="334"/>
      <c r="T44" s="334"/>
      <c r="U44" s="334"/>
      <c r="V44" s="336"/>
      <c r="W44" s="336"/>
      <c r="Z44" s="336"/>
      <c r="AA44" s="337"/>
      <c r="AB44" s="337"/>
      <c r="AC44" s="336"/>
      <c r="AD44" s="337"/>
      <c r="AE44" s="334"/>
      <c r="AF44" s="336"/>
      <c r="AG44" s="160"/>
      <c r="AH44" s="200"/>
      <c r="AI44" s="462"/>
      <c r="AJ44" s="462"/>
      <c r="AK44" s="462"/>
      <c r="AL44" s="463"/>
      <c r="AM44" s="463"/>
      <c r="AN44" s="463"/>
      <c r="AO44" s="462"/>
      <c r="AP44" s="462"/>
      <c r="AQ44" s="462"/>
      <c r="AR44" s="462"/>
      <c r="AS44" s="462"/>
      <c r="AT44" s="462"/>
      <c r="AU44" s="462"/>
      <c r="AV44" s="462"/>
      <c r="AW44" s="462"/>
      <c r="AX44" s="462"/>
      <c r="AY44" s="462"/>
      <c r="AZ44" s="462"/>
      <c r="BA44" s="464"/>
      <c r="BB44" s="462"/>
      <c r="BC44" s="462"/>
      <c r="BD44" s="464"/>
      <c r="BE44" s="464"/>
      <c r="BF44" s="464"/>
      <c r="BG44" s="464"/>
      <c r="BH44" s="462"/>
      <c r="BI44" s="462"/>
      <c r="BJ44" s="464"/>
      <c r="BK44" s="464"/>
      <c r="BL44" s="464"/>
      <c r="BM44" s="357"/>
      <c r="BN44" s="171"/>
      <c r="BO44" s="171"/>
      <c r="BP44" s="171"/>
      <c r="BQ44" s="171"/>
      <c r="BR44" s="171"/>
      <c r="BS44" s="171"/>
      <c r="BT44" s="171"/>
      <c r="BU44" s="171"/>
      <c r="BV44" s="171"/>
      <c r="BW44" s="171"/>
      <c r="BX44" s="171"/>
      <c r="BY44" s="171"/>
      <c r="BZ44" s="171"/>
      <c r="CA44" s="171"/>
      <c r="CB44" s="171"/>
      <c r="CC44" s="171"/>
      <c r="CD44" s="171"/>
      <c r="CE44" s="171"/>
      <c r="CF44" s="171"/>
      <c r="CG44" s="171"/>
      <c r="CH44" s="171"/>
      <c r="CI44" s="171"/>
      <c r="CJ44" s="171"/>
      <c r="CK44" s="171"/>
      <c r="CL44" s="171"/>
      <c r="CM44" s="171"/>
      <c r="CN44" s="171"/>
      <c r="CO44" s="171"/>
      <c r="CP44" s="171"/>
      <c r="CQ44" s="171"/>
      <c r="CR44" s="171"/>
      <c r="CS44" s="171"/>
      <c r="CT44" s="171"/>
      <c r="CU44" s="171"/>
      <c r="CV44" s="170"/>
      <c r="CW44" s="170"/>
      <c r="CX44" s="170"/>
      <c r="CY44" s="170"/>
      <c r="CZ44" s="170"/>
      <c r="DA44" s="170"/>
      <c r="DB44" s="170"/>
      <c r="DC44" s="170"/>
    </row>
    <row r="55" spans="1:107" s="345" customFormat="1" hidden="1" x14ac:dyDescent="0.25">
      <c r="A55" s="340"/>
      <c r="B55" s="341"/>
      <c r="C55" s="341"/>
      <c r="D55" s="341"/>
      <c r="E55" s="341"/>
      <c r="F55" s="341"/>
      <c r="G55" s="341"/>
      <c r="H55" s="341"/>
      <c r="I55" s="341"/>
      <c r="J55" s="341"/>
      <c r="K55" s="341"/>
      <c r="L55" s="341"/>
      <c r="M55" s="341"/>
      <c r="N55" s="341"/>
      <c r="O55" s="341"/>
      <c r="P55" s="341"/>
      <c r="Q55" s="341"/>
      <c r="R55" s="341"/>
      <c r="S55" s="341"/>
      <c r="T55" s="341"/>
      <c r="U55" s="341"/>
      <c r="V55" s="336"/>
      <c r="W55" s="341"/>
      <c r="X55" s="341"/>
      <c r="Y55" s="341"/>
      <c r="Z55" s="341"/>
      <c r="AA55" s="337"/>
      <c r="AB55" s="337"/>
      <c r="AC55" s="341"/>
      <c r="AD55" s="337"/>
      <c r="AE55" s="341"/>
      <c r="AF55" s="341"/>
      <c r="AG55" s="342"/>
      <c r="AI55" s="473"/>
      <c r="AJ55" s="473"/>
      <c r="AK55" s="473"/>
      <c r="AL55" s="463"/>
      <c r="AM55" s="463"/>
      <c r="AN55" s="463"/>
      <c r="AO55" s="474"/>
      <c r="AP55" s="474"/>
      <c r="AQ55" s="474"/>
      <c r="AR55" s="474"/>
      <c r="AS55" s="474"/>
      <c r="AT55" s="474"/>
      <c r="AU55" s="473"/>
      <c r="AV55" s="474"/>
      <c r="AW55" s="474"/>
      <c r="AX55" s="473"/>
      <c r="AY55" s="473"/>
      <c r="AZ55" s="473"/>
      <c r="BA55" s="475"/>
      <c r="BB55" s="474"/>
      <c r="BC55" s="474"/>
      <c r="BD55" s="475"/>
      <c r="BE55" s="475"/>
      <c r="BF55" s="475"/>
      <c r="BG55" s="475"/>
      <c r="BH55" s="474"/>
      <c r="BI55" s="474"/>
      <c r="BJ55" s="475"/>
      <c r="BK55" s="475"/>
      <c r="BL55" s="475"/>
      <c r="BM55" s="360"/>
      <c r="BN55" s="344"/>
      <c r="BO55" s="344"/>
      <c r="BP55" s="344"/>
      <c r="BQ55" s="344"/>
      <c r="BR55" s="344"/>
      <c r="BS55" s="344"/>
      <c r="BT55" s="344"/>
      <c r="BU55" s="344"/>
      <c r="BV55" s="344"/>
      <c r="BW55" s="344"/>
      <c r="BX55" s="344"/>
      <c r="BY55" s="344"/>
      <c r="BZ55" s="344"/>
      <c r="CA55" s="344"/>
      <c r="CB55" s="344"/>
      <c r="CC55" s="344"/>
      <c r="CD55" s="344"/>
      <c r="CE55" s="344"/>
      <c r="CF55" s="344"/>
      <c r="CG55" s="344"/>
      <c r="CH55" s="344"/>
      <c r="CI55" s="344"/>
      <c r="CJ55" s="344"/>
      <c r="CK55" s="344"/>
      <c r="CL55" s="344"/>
      <c r="CM55" s="344"/>
      <c r="CN55" s="344"/>
      <c r="CO55" s="344"/>
      <c r="CP55" s="344"/>
      <c r="CQ55" s="344"/>
      <c r="CR55" s="344"/>
      <c r="CS55" s="344"/>
      <c r="CT55" s="344"/>
      <c r="CU55" s="344"/>
      <c r="CV55" s="343"/>
      <c r="CW55" s="343"/>
      <c r="CX55" s="343"/>
      <c r="CY55" s="343"/>
      <c r="CZ55" s="343"/>
      <c r="DA55" s="343"/>
      <c r="DB55" s="343"/>
      <c r="DC55" s="343"/>
    </row>
    <row r="56" spans="1:107" s="342" customFormat="1" ht="15.75" hidden="1" thickBot="1" x14ac:dyDescent="0.3">
      <c r="V56" s="396"/>
      <c r="AA56" s="397"/>
      <c r="AB56" s="397"/>
      <c r="AD56" s="397"/>
      <c r="AH56" s="400">
        <v>1</v>
      </c>
      <c r="AI56" s="476">
        <v>2</v>
      </c>
      <c r="AJ56" s="476">
        <v>3</v>
      </c>
      <c r="AK56" s="476">
        <v>4</v>
      </c>
      <c r="AL56" s="476">
        <v>5</v>
      </c>
      <c r="AM56" s="476">
        <v>6</v>
      </c>
      <c r="AN56" s="476">
        <v>7</v>
      </c>
      <c r="AO56" s="476">
        <v>8</v>
      </c>
      <c r="AP56" s="476">
        <v>9</v>
      </c>
      <c r="AQ56" s="476">
        <v>10</v>
      </c>
      <c r="AR56" s="476">
        <v>11</v>
      </c>
      <c r="AS56" s="476">
        <v>12</v>
      </c>
      <c r="AT56" s="476">
        <v>13</v>
      </c>
      <c r="AU56" s="476">
        <v>14</v>
      </c>
      <c r="AV56" s="476">
        <v>15</v>
      </c>
      <c r="AW56" s="476">
        <v>16</v>
      </c>
      <c r="AX56" s="476">
        <v>17</v>
      </c>
      <c r="AY56" s="476">
        <v>18</v>
      </c>
      <c r="AZ56" s="476">
        <v>19</v>
      </c>
      <c r="BA56" s="476">
        <v>20</v>
      </c>
      <c r="BB56" s="476">
        <v>21</v>
      </c>
      <c r="BC56" s="476">
        <v>22</v>
      </c>
      <c r="BD56" s="476">
        <v>23</v>
      </c>
      <c r="BE56" s="476">
        <v>24</v>
      </c>
      <c r="BF56" s="476">
        <v>25</v>
      </c>
      <c r="BG56" s="476">
        <v>26</v>
      </c>
      <c r="BH56" s="476">
        <v>27</v>
      </c>
      <c r="BI56" s="476">
        <v>28</v>
      </c>
      <c r="BJ56" s="476">
        <v>29</v>
      </c>
      <c r="BK56" s="476">
        <v>30</v>
      </c>
      <c r="BL56" s="476">
        <v>31</v>
      </c>
      <c r="BM56" s="399">
        <v>32</v>
      </c>
      <c r="BN56" s="399">
        <v>33</v>
      </c>
      <c r="BO56" s="399">
        <v>34</v>
      </c>
    </row>
    <row r="57" spans="1:107" s="342" customFormat="1" ht="26.25" hidden="1" customHeight="1" thickBot="1" x14ac:dyDescent="0.3">
      <c r="V57" s="396"/>
      <c r="Z57" s="400"/>
      <c r="AA57" s="401"/>
      <c r="AB57" s="401"/>
      <c r="AC57" s="400"/>
      <c r="AD57" s="401"/>
      <c r="AE57" s="402"/>
      <c r="AF57" s="403"/>
      <c r="AG57" s="403"/>
      <c r="AH57" s="816" t="s">
        <v>391</v>
      </c>
      <c r="AI57" s="477"/>
      <c r="AJ57" s="816" t="s">
        <v>796</v>
      </c>
      <c r="AK57" s="477"/>
      <c r="AL57" s="816" t="s">
        <v>392</v>
      </c>
      <c r="AM57" s="816" t="s">
        <v>392</v>
      </c>
      <c r="AN57" s="816" t="s">
        <v>399</v>
      </c>
      <c r="AO57" s="813" t="s">
        <v>318</v>
      </c>
      <c r="AP57" s="814"/>
      <c r="AQ57" s="814"/>
      <c r="AR57" s="814"/>
      <c r="AS57" s="814"/>
      <c r="AT57" s="814"/>
      <c r="AU57" s="814"/>
      <c r="AV57" s="814"/>
      <c r="AW57" s="814"/>
      <c r="AX57" s="814"/>
      <c r="AY57" s="814"/>
      <c r="AZ57" s="815"/>
      <c r="BA57" s="813" t="s">
        <v>319</v>
      </c>
      <c r="BB57" s="814"/>
      <c r="BC57" s="814"/>
      <c r="BD57" s="814"/>
      <c r="BE57" s="814"/>
      <c r="BF57" s="814"/>
      <c r="BG57" s="814"/>
      <c r="BH57" s="814"/>
      <c r="BI57" s="814"/>
      <c r="BJ57" s="814"/>
      <c r="BK57" s="814"/>
      <c r="BL57" s="815"/>
      <c r="BM57" s="404"/>
      <c r="BN57" s="342" t="s">
        <v>454</v>
      </c>
    </row>
    <row r="58" spans="1:107" s="342" customFormat="1" ht="58.5" hidden="1" customHeight="1" thickBot="1" x14ac:dyDescent="0.3">
      <c r="V58" s="396"/>
      <c r="X58" s="402"/>
      <c r="Y58" s="402"/>
      <c r="Z58" s="405"/>
      <c r="AA58" s="406"/>
      <c r="AB58" s="406"/>
      <c r="AC58" s="405"/>
      <c r="AD58" s="406"/>
      <c r="AE58" s="402"/>
      <c r="AF58" s="402"/>
      <c r="AG58" s="402"/>
      <c r="AH58" s="817"/>
      <c r="AI58" s="478" t="s">
        <v>412</v>
      </c>
      <c r="AJ58" s="817"/>
      <c r="AK58" s="478" t="s">
        <v>410</v>
      </c>
      <c r="AL58" s="817"/>
      <c r="AM58" s="817"/>
      <c r="AN58" s="817"/>
      <c r="AO58" s="479" t="s">
        <v>797</v>
      </c>
      <c r="AP58" s="479" t="s">
        <v>798</v>
      </c>
      <c r="AQ58" s="478" t="s">
        <v>410</v>
      </c>
      <c r="AR58" s="479" t="s">
        <v>392</v>
      </c>
      <c r="AS58" s="479" t="s">
        <v>392</v>
      </c>
      <c r="AT58" s="479" t="s">
        <v>399</v>
      </c>
      <c r="AU58" s="479" t="s">
        <v>424</v>
      </c>
      <c r="AV58" s="479" t="s">
        <v>799</v>
      </c>
      <c r="AW58" s="478" t="s">
        <v>410</v>
      </c>
      <c r="AX58" s="479" t="s">
        <v>392</v>
      </c>
      <c r="AY58" s="479" t="s">
        <v>392</v>
      </c>
      <c r="AZ58" s="479" t="s">
        <v>399</v>
      </c>
      <c r="BA58" s="479" t="s">
        <v>425</v>
      </c>
      <c r="BB58" s="479" t="s">
        <v>798</v>
      </c>
      <c r="BC58" s="478" t="s">
        <v>410</v>
      </c>
      <c r="BD58" s="479" t="s">
        <v>392</v>
      </c>
      <c r="BE58" s="479" t="s">
        <v>392</v>
      </c>
      <c r="BF58" s="479" t="s">
        <v>399</v>
      </c>
      <c r="BG58" s="479" t="s">
        <v>424</v>
      </c>
      <c r="BH58" s="479" t="s">
        <v>799</v>
      </c>
      <c r="BI58" s="478" t="s">
        <v>410</v>
      </c>
      <c r="BJ58" s="479" t="s">
        <v>392</v>
      </c>
      <c r="BK58" s="479" t="s">
        <v>392</v>
      </c>
      <c r="BL58" s="479" t="s">
        <v>399</v>
      </c>
      <c r="BM58" s="404"/>
      <c r="BN58" s="342" t="s">
        <v>455</v>
      </c>
      <c r="BO58" s="342" t="s">
        <v>456</v>
      </c>
    </row>
    <row r="59" spans="1:107" s="340" customFormat="1" ht="16.5" hidden="1" customHeight="1" thickBot="1" x14ac:dyDescent="0.3">
      <c r="V59" s="156"/>
      <c r="AA59" s="157"/>
      <c r="AB59" s="157"/>
      <c r="AD59" s="157"/>
      <c r="AG59" s="342"/>
      <c r="AH59" s="480" t="str">
        <f>'HC CORPORATIVA-INCERTIDUMBRE'!BI208</f>
        <v>Bagazo</v>
      </c>
      <c r="AI59" s="481" t="s">
        <v>804</v>
      </c>
      <c r="AJ59" s="482">
        <v>1664.9169999999999</v>
      </c>
      <c r="AK59" s="481" t="s">
        <v>801</v>
      </c>
      <c r="AL59" s="483">
        <v>4.3E-3</v>
      </c>
      <c r="AM59" s="483">
        <v>4.3E-3</v>
      </c>
      <c r="AN59" s="484" t="s">
        <v>400</v>
      </c>
      <c r="AO59" s="485">
        <v>442.28800000000001</v>
      </c>
      <c r="AP59" s="481">
        <f t="shared" ref="AP59:AP70" si="18">AO59/1000</f>
        <v>0.44228800000000001</v>
      </c>
      <c r="AQ59" s="481" t="s">
        <v>802</v>
      </c>
      <c r="AR59" s="483">
        <v>0.1</v>
      </c>
      <c r="AS59" s="483">
        <v>1</v>
      </c>
      <c r="AT59" s="481" t="s">
        <v>401</v>
      </c>
      <c r="AU59" s="486">
        <v>58.972000000000001</v>
      </c>
      <c r="AV59" s="481">
        <f t="shared" ref="AV59:AV70" si="19">AU59/1000</f>
        <v>5.8972000000000004E-2</v>
      </c>
      <c r="AW59" s="481" t="s">
        <v>803</v>
      </c>
      <c r="AX59" s="483">
        <v>1.4999999999999999E-2</v>
      </c>
      <c r="AY59" s="483">
        <v>0.15</v>
      </c>
      <c r="AZ59" s="481" t="s">
        <v>401</v>
      </c>
      <c r="BA59" s="481">
        <v>0</v>
      </c>
      <c r="BB59" s="481">
        <f t="shared" ref="BB59:BB70" si="20">BA59/1000</f>
        <v>0</v>
      </c>
      <c r="BC59" s="481" t="s">
        <v>802</v>
      </c>
      <c r="BD59" s="483">
        <v>0</v>
      </c>
      <c r="BE59" s="483">
        <v>0</v>
      </c>
      <c r="BF59" s="481" t="s">
        <v>401</v>
      </c>
      <c r="BG59" s="486">
        <v>0</v>
      </c>
      <c r="BH59" s="481">
        <f t="shared" ref="BH59:BH70" si="21">BG59/1000</f>
        <v>0</v>
      </c>
      <c r="BI59" s="481" t="s">
        <v>803</v>
      </c>
      <c r="BJ59" s="483">
        <v>0</v>
      </c>
      <c r="BK59" s="483">
        <v>0</v>
      </c>
      <c r="BL59" s="481" t="s">
        <v>401</v>
      </c>
      <c r="BM59" s="404"/>
      <c r="BN59" s="342">
        <v>0.6</v>
      </c>
      <c r="BO59" s="342">
        <v>1</v>
      </c>
      <c r="BP59" s="342"/>
      <c r="BQ59" s="342"/>
      <c r="BR59" s="342"/>
      <c r="BS59" s="342"/>
      <c r="BT59" s="342"/>
      <c r="BU59" s="342"/>
      <c r="BV59" s="342"/>
      <c r="BW59" s="342"/>
      <c r="BX59" s="342"/>
      <c r="BY59" s="342"/>
      <c r="BZ59" s="342"/>
    </row>
    <row r="60" spans="1:107" s="340" customFormat="1" ht="16.5" hidden="1" customHeight="1" thickBot="1" x14ac:dyDescent="0.3">
      <c r="V60" s="156"/>
      <c r="AA60" s="157"/>
      <c r="AB60" s="157"/>
      <c r="AD60" s="157"/>
      <c r="AG60" s="342"/>
      <c r="AH60" s="480" t="str">
        <f>'HC CORPORATIVA-INCERTIDUMBRE'!BI209</f>
        <v>Fibra de palma</v>
      </c>
      <c r="AI60" s="481" t="s">
        <v>804</v>
      </c>
      <c r="AJ60" s="482">
        <v>1869.837</v>
      </c>
      <c r="AK60" s="481" t="s">
        <v>801</v>
      </c>
      <c r="AL60" s="483">
        <v>3.82E-3</v>
      </c>
      <c r="AM60" s="483">
        <v>3.82E-3</v>
      </c>
      <c r="AN60" s="484" t="s">
        <v>400</v>
      </c>
      <c r="AO60" s="485">
        <v>499.19099999999997</v>
      </c>
      <c r="AP60" s="481">
        <f t="shared" si="18"/>
        <v>0.499191</v>
      </c>
      <c r="AQ60" s="481" t="s">
        <v>802</v>
      </c>
      <c r="AR60" s="483">
        <v>0.1</v>
      </c>
      <c r="AS60" s="483">
        <v>1</v>
      </c>
      <c r="AT60" s="481" t="s">
        <v>401</v>
      </c>
      <c r="AU60" s="486">
        <v>66.558999999999997</v>
      </c>
      <c r="AV60" s="481">
        <f t="shared" si="19"/>
        <v>6.6558999999999993E-2</v>
      </c>
      <c r="AW60" s="481" t="s">
        <v>803</v>
      </c>
      <c r="AX60" s="483">
        <v>1.4999999999999999E-2</v>
      </c>
      <c r="AY60" s="483">
        <v>0.15</v>
      </c>
      <c r="AZ60" s="481" t="s">
        <v>401</v>
      </c>
      <c r="BA60" s="481">
        <v>0</v>
      </c>
      <c r="BB60" s="481">
        <f t="shared" si="20"/>
        <v>0</v>
      </c>
      <c r="BC60" s="481" t="s">
        <v>802</v>
      </c>
      <c r="BD60" s="483">
        <v>0</v>
      </c>
      <c r="BE60" s="483">
        <v>0</v>
      </c>
      <c r="BF60" s="481" t="s">
        <v>401</v>
      </c>
      <c r="BG60" s="486">
        <v>0</v>
      </c>
      <c r="BH60" s="481">
        <f t="shared" si="21"/>
        <v>0</v>
      </c>
      <c r="BI60" s="481" t="s">
        <v>803</v>
      </c>
      <c r="BJ60" s="483">
        <v>0</v>
      </c>
      <c r="BK60" s="483">
        <v>0</v>
      </c>
      <c r="BL60" s="481" t="s">
        <v>401</v>
      </c>
      <c r="BM60" s="404"/>
      <c r="BN60" s="342">
        <v>0.6</v>
      </c>
      <c r="BO60" s="342">
        <v>1</v>
      </c>
      <c r="BP60" s="342"/>
      <c r="BQ60" s="342"/>
      <c r="BR60" s="342"/>
      <c r="BS60" s="342"/>
      <c r="BT60" s="342"/>
      <c r="BU60" s="342"/>
      <c r="BV60" s="342"/>
      <c r="BW60" s="342"/>
      <c r="BX60" s="342"/>
      <c r="BY60" s="342"/>
      <c r="BZ60" s="342"/>
    </row>
    <row r="61" spans="1:107" s="340" customFormat="1" ht="16.5" hidden="1" customHeight="1" thickBot="1" x14ac:dyDescent="0.3">
      <c r="V61" s="156"/>
      <c r="AA61" s="157"/>
      <c r="AB61" s="157"/>
      <c r="AD61" s="157"/>
      <c r="AG61" s="342"/>
      <c r="AH61" s="480" t="str">
        <f>'HC CORPORATIVA-INCERTIDUMBRE'!BI210</f>
        <v>Cuesco de palma</v>
      </c>
      <c r="AI61" s="481" t="s">
        <v>804</v>
      </c>
      <c r="AJ61" s="482">
        <v>1758.4449999999999</v>
      </c>
      <c r="AK61" s="481" t="s">
        <v>801</v>
      </c>
      <c r="AL61" s="483">
        <v>3.98E-3</v>
      </c>
      <c r="AM61" s="483">
        <v>3.98E-3</v>
      </c>
      <c r="AN61" s="484" t="s">
        <v>400</v>
      </c>
      <c r="AO61" s="485">
        <v>503.12900000000002</v>
      </c>
      <c r="AP61" s="481">
        <f t="shared" si="18"/>
        <v>0.50312900000000005</v>
      </c>
      <c r="AQ61" s="481" t="s">
        <v>802</v>
      </c>
      <c r="AR61" s="483">
        <v>0.1</v>
      </c>
      <c r="AS61" s="483">
        <v>1</v>
      </c>
      <c r="AT61" s="481" t="s">
        <v>401</v>
      </c>
      <c r="AU61" s="486">
        <v>67.084000000000003</v>
      </c>
      <c r="AV61" s="481">
        <f t="shared" si="19"/>
        <v>6.7084000000000005E-2</v>
      </c>
      <c r="AW61" s="481" t="s">
        <v>803</v>
      </c>
      <c r="AX61" s="483">
        <v>1.4999999999999999E-2</v>
      </c>
      <c r="AY61" s="483">
        <v>0.15</v>
      </c>
      <c r="AZ61" s="481" t="s">
        <v>401</v>
      </c>
      <c r="BA61" s="481">
        <v>0</v>
      </c>
      <c r="BB61" s="481">
        <f t="shared" si="20"/>
        <v>0</v>
      </c>
      <c r="BC61" s="481" t="s">
        <v>802</v>
      </c>
      <c r="BD61" s="483">
        <v>0</v>
      </c>
      <c r="BE61" s="483">
        <v>0</v>
      </c>
      <c r="BF61" s="481" t="s">
        <v>401</v>
      </c>
      <c r="BG61" s="486">
        <v>0</v>
      </c>
      <c r="BH61" s="481">
        <f t="shared" si="21"/>
        <v>0</v>
      </c>
      <c r="BI61" s="481" t="s">
        <v>803</v>
      </c>
      <c r="BJ61" s="483">
        <v>0</v>
      </c>
      <c r="BK61" s="483">
        <v>0</v>
      </c>
      <c r="BL61" s="481" t="s">
        <v>401</v>
      </c>
      <c r="BM61" s="404"/>
      <c r="BN61" s="342">
        <v>0.6</v>
      </c>
      <c r="BO61" s="342">
        <v>1</v>
      </c>
      <c r="BP61" s="342"/>
      <c r="BQ61" s="342"/>
      <c r="BR61" s="342"/>
      <c r="BS61" s="342"/>
      <c r="BT61" s="342"/>
      <c r="BU61" s="342"/>
      <c r="BV61" s="342"/>
      <c r="BW61" s="342"/>
      <c r="BX61" s="342"/>
      <c r="BY61" s="342"/>
      <c r="BZ61" s="342"/>
    </row>
    <row r="62" spans="1:107" s="340" customFormat="1" ht="16.5" hidden="1" customHeight="1" thickBot="1" x14ac:dyDescent="0.3">
      <c r="V62" s="156"/>
      <c r="AA62" s="157"/>
      <c r="AB62" s="157"/>
      <c r="AD62" s="157"/>
      <c r="AG62" s="342"/>
      <c r="AH62" s="480" t="str">
        <f>'HC CORPORATIVA-INCERTIDUMBRE'!BI211</f>
        <v>Raquis de palma</v>
      </c>
      <c r="AI62" s="481" t="s">
        <v>804</v>
      </c>
      <c r="AJ62" s="482" t="s">
        <v>601</v>
      </c>
      <c r="AK62" s="481" t="s">
        <v>801</v>
      </c>
      <c r="AL62" s="483">
        <v>3.5799999999999998E-3</v>
      </c>
      <c r="AM62" s="483">
        <v>3.5799999999999998E-3</v>
      </c>
      <c r="AN62" s="484" t="s">
        <v>400</v>
      </c>
      <c r="AO62" s="485">
        <v>548.92100000000005</v>
      </c>
      <c r="AP62" s="481">
        <f t="shared" si="18"/>
        <v>0.5489210000000001</v>
      </c>
      <c r="AQ62" s="481" t="s">
        <v>802</v>
      </c>
      <c r="AR62" s="483">
        <v>0.1</v>
      </c>
      <c r="AS62" s="483">
        <v>1</v>
      </c>
      <c r="AT62" s="481" t="s">
        <v>401</v>
      </c>
      <c r="AU62" s="486">
        <v>73.188999999999993</v>
      </c>
      <c r="AV62" s="481">
        <f t="shared" si="19"/>
        <v>7.318899999999999E-2</v>
      </c>
      <c r="AW62" s="481" t="s">
        <v>803</v>
      </c>
      <c r="AX62" s="483">
        <v>1.4999999999999999E-2</v>
      </c>
      <c r="AY62" s="483">
        <v>0.15</v>
      </c>
      <c r="AZ62" s="481" t="s">
        <v>401</v>
      </c>
      <c r="BA62" s="481">
        <v>0</v>
      </c>
      <c r="BB62" s="481">
        <f t="shared" si="20"/>
        <v>0</v>
      </c>
      <c r="BC62" s="481" t="s">
        <v>802</v>
      </c>
      <c r="BD62" s="483">
        <v>0</v>
      </c>
      <c r="BE62" s="483">
        <v>0</v>
      </c>
      <c r="BF62" s="481" t="s">
        <v>401</v>
      </c>
      <c r="BG62" s="486">
        <v>0</v>
      </c>
      <c r="BH62" s="481">
        <f t="shared" si="21"/>
        <v>0</v>
      </c>
      <c r="BI62" s="481" t="s">
        <v>803</v>
      </c>
      <c r="BJ62" s="483">
        <v>0</v>
      </c>
      <c r="BK62" s="483">
        <v>0</v>
      </c>
      <c r="BL62" s="481" t="s">
        <v>401</v>
      </c>
      <c r="BM62" s="404"/>
      <c r="BN62" s="342">
        <v>0.6</v>
      </c>
      <c r="BO62" s="342">
        <v>1</v>
      </c>
      <c r="BP62" s="342"/>
      <c r="BQ62" s="342"/>
      <c r="BR62" s="342"/>
      <c r="BS62" s="342"/>
      <c r="BT62" s="342"/>
      <c r="BU62" s="342"/>
      <c r="BV62" s="342"/>
      <c r="BW62" s="342"/>
      <c r="BX62" s="342"/>
      <c r="BY62" s="342"/>
      <c r="BZ62" s="342"/>
    </row>
    <row r="63" spans="1:107" s="340" customFormat="1" ht="16.5" hidden="1" customHeight="1" thickBot="1" x14ac:dyDescent="0.3">
      <c r="V63" s="156"/>
      <c r="AA63" s="157"/>
      <c r="AB63" s="157"/>
      <c r="AD63" s="157"/>
      <c r="AG63" s="342"/>
      <c r="AH63" s="480" t="str">
        <f>'HC CORPORATIVA-INCERTIDUMBRE'!BI212</f>
        <v>Cascarilla de Arroz</v>
      </c>
      <c r="AI63" s="481" t="s">
        <v>804</v>
      </c>
      <c r="AJ63" s="482">
        <v>1553.251</v>
      </c>
      <c r="AK63" s="481" t="s">
        <v>801</v>
      </c>
      <c r="AL63" s="483">
        <v>4.4900000000000001E-3</v>
      </c>
      <c r="AM63" s="483">
        <v>4.4900000000000001E-3</v>
      </c>
      <c r="AN63" s="484" t="s">
        <v>400</v>
      </c>
      <c r="AO63" s="485">
        <v>448.58800000000002</v>
      </c>
      <c r="AP63" s="481">
        <f t="shared" si="18"/>
        <v>0.44858800000000004</v>
      </c>
      <c r="AQ63" s="481" t="s">
        <v>802</v>
      </c>
      <c r="AR63" s="483">
        <v>0.1</v>
      </c>
      <c r="AS63" s="483">
        <v>1</v>
      </c>
      <c r="AT63" s="481" t="s">
        <v>401</v>
      </c>
      <c r="AU63" s="486">
        <v>59.811999999999998</v>
      </c>
      <c r="AV63" s="481">
        <f t="shared" si="19"/>
        <v>5.9811999999999997E-2</v>
      </c>
      <c r="AW63" s="481" t="s">
        <v>803</v>
      </c>
      <c r="AX63" s="483">
        <v>1.4999999999999999E-2</v>
      </c>
      <c r="AY63" s="483">
        <v>0.15</v>
      </c>
      <c r="AZ63" s="481" t="s">
        <v>401</v>
      </c>
      <c r="BA63" s="481">
        <v>0</v>
      </c>
      <c r="BB63" s="481">
        <f t="shared" si="20"/>
        <v>0</v>
      </c>
      <c r="BC63" s="481" t="s">
        <v>802</v>
      </c>
      <c r="BD63" s="483">
        <v>0</v>
      </c>
      <c r="BE63" s="483">
        <v>0</v>
      </c>
      <c r="BF63" s="481" t="s">
        <v>401</v>
      </c>
      <c r="BG63" s="486">
        <v>0</v>
      </c>
      <c r="BH63" s="481">
        <f t="shared" si="21"/>
        <v>0</v>
      </c>
      <c r="BI63" s="481" t="s">
        <v>803</v>
      </c>
      <c r="BJ63" s="483">
        <v>0</v>
      </c>
      <c r="BK63" s="483">
        <v>0</v>
      </c>
      <c r="BL63" s="481" t="s">
        <v>401</v>
      </c>
      <c r="BM63" s="404"/>
      <c r="BN63" s="342">
        <v>0.6</v>
      </c>
      <c r="BO63" s="342">
        <v>1</v>
      </c>
      <c r="BP63" s="342"/>
      <c r="BQ63" s="342"/>
      <c r="BR63" s="342"/>
      <c r="BS63" s="342"/>
      <c r="BT63" s="342"/>
      <c r="BU63" s="342"/>
      <c r="BV63" s="342"/>
      <c r="BW63" s="342"/>
      <c r="BX63" s="342"/>
      <c r="BY63" s="342"/>
      <c r="BZ63" s="342"/>
    </row>
    <row r="64" spans="1:107" s="340" customFormat="1" ht="16.5" hidden="1" customHeight="1" thickBot="1" x14ac:dyDescent="0.3">
      <c r="V64" s="156"/>
      <c r="AA64" s="157"/>
      <c r="AB64" s="157"/>
      <c r="AD64" s="157"/>
      <c r="AG64" s="342"/>
      <c r="AH64" s="480" t="str">
        <f>'HC CORPORATIVA-INCERTIDUMBRE'!BI213</f>
        <v>Borra de Café</v>
      </c>
      <c r="AI64" s="481" t="s">
        <v>804</v>
      </c>
      <c r="AJ64" s="482">
        <v>2222.1489999999999</v>
      </c>
      <c r="AK64" s="481" t="s">
        <v>801</v>
      </c>
      <c r="AL64" s="483">
        <v>3.0299999999999997E-3</v>
      </c>
      <c r="AM64" s="483">
        <v>3.0299999999999997E-3</v>
      </c>
      <c r="AN64" s="484" t="s">
        <v>400</v>
      </c>
      <c r="AO64" s="485">
        <v>735.18600000000004</v>
      </c>
      <c r="AP64" s="481">
        <f t="shared" si="18"/>
        <v>0.73518600000000001</v>
      </c>
      <c r="AQ64" s="481" t="s">
        <v>802</v>
      </c>
      <c r="AR64" s="483">
        <v>0.1</v>
      </c>
      <c r="AS64" s="483">
        <v>1</v>
      </c>
      <c r="AT64" s="481" t="s">
        <v>401</v>
      </c>
      <c r="AU64" s="486">
        <v>98.025000000000006</v>
      </c>
      <c r="AV64" s="481">
        <f t="shared" si="19"/>
        <v>9.8025000000000001E-2</v>
      </c>
      <c r="AW64" s="481" t="s">
        <v>803</v>
      </c>
      <c r="AX64" s="483">
        <v>1.4999999999999999E-2</v>
      </c>
      <c r="AY64" s="483">
        <v>0.15</v>
      </c>
      <c r="AZ64" s="481" t="s">
        <v>401</v>
      </c>
      <c r="BA64" s="481">
        <v>0</v>
      </c>
      <c r="BB64" s="481">
        <f t="shared" si="20"/>
        <v>0</v>
      </c>
      <c r="BC64" s="481" t="s">
        <v>802</v>
      </c>
      <c r="BD64" s="483">
        <v>0</v>
      </c>
      <c r="BE64" s="483">
        <v>0</v>
      </c>
      <c r="BF64" s="481" t="s">
        <v>401</v>
      </c>
      <c r="BG64" s="486">
        <v>0</v>
      </c>
      <c r="BH64" s="481">
        <f t="shared" si="21"/>
        <v>0</v>
      </c>
      <c r="BI64" s="481" t="s">
        <v>803</v>
      </c>
      <c r="BJ64" s="483">
        <v>0</v>
      </c>
      <c r="BK64" s="483">
        <v>0</v>
      </c>
      <c r="BL64" s="481" t="s">
        <v>401</v>
      </c>
      <c r="BM64" s="404"/>
      <c r="BN64" s="342">
        <v>0.6</v>
      </c>
      <c r="BO64" s="342">
        <v>1</v>
      </c>
      <c r="BP64" s="342"/>
      <c r="BQ64" s="342"/>
      <c r="BR64" s="342"/>
      <c r="BS64" s="342"/>
      <c r="BT64" s="342"/>
      <c r="BU64" s="342"/>
      <c r="BV64" s="342"/>
      <c r="BW64" s="342"/>
      <c r="BX64" s="342"/>
      <c r="BY64" s="342"/>
      <c r="BZ64" s="342"/>
    </row>
    <row r="65" spans="1:107" s="340" customFormat="1" ht="16.5" hidden="1" customHeight="1" thickBot="1" x14ac:dyDescent="0.3">
      <c r="V65" s="156"/>
      <c r="AA65" s="157"/>
      <c r="AB65" s="157"/>
      <c r="AD65" s="157"/>
      <c r="AG65" s="342"/>
      <c r="AH65" s="480" t="str">
        <f>'HC CORPORATIVA-INCERTIDUMBRE'!BI214</f>
        <v>Cisco de Café</v>
      </c>
      <c r="AI65" s="481" t="s">
        <v>804</v>
      </c>
      <c r="AJ65" s="482">
        <v>1871.6690000000001</v>
      </c>
      <c r="AK65" s="481" t="s">
        <v>801</v>
      </c>
      <c r="AL65" s="483">
        <v>3.7299999999999998E-3</v>
      </c>
      <c r="AM65" s="483">
        <v>3.7299999999999998E-3</v>
      </c>
      <c r="AN65" s="484" t="s">
        <v>400</v>
      </c>
      <c r="AO65" s="485">
        <v>537.78</v>
      </c>
      <c r="AP65" s="481">
        <f t="shared" si="18"/>
        <v>0.53777999999999992</v>
      </c>
      <c r="AQ65" s="481" t="s">
        <v>802</v>
      </c>
      <c r="AR65" s="483">
        <v>0.1</v>
      </c>
      <c r="AS65" s="483">
        <v>1</v>
      </c>
      <c r="AT65" s="481" t="s">
        <v>401</v>
      </c>
      <c r="AU65" s="486">
        <v>71.703999999999994</v>
      </c>
      <c r="AV65" s="481">
        <f t="shared" si="19"/>
        <v>7.170399999999999E-2</v>
      </c>
      <c r="AW65" s="481" t="s">
        <v>803</v>
      </c>
      <c r="AX65" s="483">
        <v>1.4999999999999999E-2</v>
      </c>
      <c r="AY65" s="483">
        <v>0.15</v>
      </c>
      <c r="AZ65" s="481" t="s">
        <v>401</v>
      </c>
      <c r="BA65" s="481">
        <v>0</v>
      </c>
      <c r="BB65" s="481">
        <f t="shared" si="20"/>
        <v>0</v>
      </c>
      <c r="BC65" s="481" t="s">
        <v>802</v>
      </c>
      <c r="BD65" s="483">
        <v>0</v>
      </c>
      <c r="BE65" s="483">
        <v>0</v>
      </c>
      <c r="BF65" s="481" t="s">
        <v>401</v>
      </c>
      <c r="BG65" s="486">
        <v>0</v>
      </c>
      <c r="BH65" s="481">
        <f t="shared" si="21"/>
        <v>0</v>
      </c>
      <c r="BI65" s="481" t="s">
        <v>803</v>
      </c>
      <c r="BJ65" s="483">
        <v>0</v>
      </c>
      <c r="BK65" s="483">
        <v>0</v>
      </c>
      <c r="BL65" s="481" t="s">
        <v>401</v>
      </c>
      <c r="BM65" s="404"/>
      <c r="BN65" s="342">
        <v>0.6</v>
      </c>
      <c r="BO65" s="342">
        <v>1</v>
      </c>
      <c r="BP65" s="342"/>
      <c r="BQ65" s="342"/>
      <c r="BR65" s="342"/>
      <c r="BS65" s="342"/>
      <c r="BT65" s="342"/>
      <c r="BU65" s="342"/>
      <c r="BV65" s="342"/>
      <c r="BW65" s="342"/>
      <c r="BX65" s="342"/>
      <c r="BY65" s="342"/>
      <c r="BZ65" s="342"/>
    </row>
    <row r="66" spans="1:107" s="340" customFormat="1" ht="16.5" hidden="1" customHeight="1" thickBot="1" x14ac:dyDescent="0.3">
      <c r="V66" s="156"/>
      <c r="AA66" s="157"/>
      <c r="AB66" s="157"/>
      <c r="AD66" s="157"/>
      <c r="AG66" s="342"/>
      <c r="AH66" s="480" t="str">
        <f>'HC CORPORATIVA-INCERTIDUMBRE'!BI215</f>
        <v>Leña</v>
      </c>
      <c r="AI66" s="481" t="s">
        <v>804</v>
      </c>
      <c r="AJ66" s="482">
        <v>1521.3389999999999</v>
      </c>
      <c r="AK66" s="481" t="s">
        <v>801</v>
      </c>
      <c r="AL66" s="483">
        <v>4.4099999999999999E-3</v>
      </c>
      <c r="AM66" s="483">
        <v>4.4099999999999999E-3</v>
      </c>
      <c r="AN66" s="484" t="s">
        <v>400</v>
      </c>
      <c r="AO66" s="485">
        <v>509.80399999999997</v>
      </c>
      <c r="AP66" s="481">
        <f t="shared" si="18"/>
        <v>0.50980399999999992</v>
      </c>
      <c r="AQ66" s="481" t="s">
        <v>802</v>
      </c>
      <c r="AR66" s="483">
        <v>0.1</v>
      </c>
      <c r="AS66" s="483">
        <v>1</v>
      </c>
      <c r="AT66" s="481" t="s">
        <v>401</v>
      </c>
      <c r="AU66" s="486">
        <v>67.974000000000004</v>
      </c>
      <c r="AV66" s="481">
        <f t="shared" si="19"/>
        <v>6.7974000000000007E-2</v>
      </c>
      <c r="AW66" s="481" t="s">
        <v>803</v>
      </c>
      <c r="AX66" s="483">
        <v>1.4999999999999999E-2</v>
      </c>
      <c r="AY66" s="483">
        <v>0.15</v>
      </c>
      <c r="AZ66" s="481" t="s">
        <v>401</v>
      </c>
      <c r="BA66" s="481">
        <v>0</v>
      </c>
      <c r="BB66" s="481">
        <f t="shared" si="20"/>
        <v>0</v>
      </c>
      <c r="BC66" s="481" t="s">
        <v>802</v>
      </c>
      <c r="BD66" s="483">
        <v>0</v>
      </c>
      <c r="BE66" s="483">
        <v>0</v>
      </c>
      <c r="BF66" s="481" t="s">
        <v>401</v>
      </c>
      <c r="BG66" s="486">
        <v>0</v>
      </c>
      <c r="BH66" s="481">
        <f t="shared" si="21"/>
        <v>0</v>
      </c>
      <c r="BI66" s="481" t="s">
        <v>803</v>
      </c>
      <c r="BJ66" s="483">
        <v>0</v>
      </c>
      <c r="BK66" s="483">
        <v>0</v>
      </c>
      <c r="BL66" s="481" t="s">
        <v>401</v>
      </c>
      <c r="BM66" s="404"/>
      <c r="BN66" s="342">
        <v>0.6</v>
      </c>
      <c r="BO66" s="342">
        <v>1</v>
      </c>
      <c r="BP66" s="342"/>
      <c r="BQ66" s="342"/>
      <c r="BR66" s="342"/>
      <c r="BS66" s="342"/>
      <c r="BT66" s="342"/>
      <c r="BU66" s="342"/>
      <c r="BV66" s="342"/>
      <c r="BW66" s="342"/>
      <c r="BX66" s="342"/>
      <c r="BY66" s="342"/>
      <c r="BZ66" s="342"/>
    </row>
    <row r="67" spans="1:107" s="340" customFormat="1" ht="16.5" hidden="1" customHeight="1" thickBot="1" x14ac:dyDescent="0.3">
      <c r="V67" s="156"/>
      <c r="AA67" s="157"/>
      <c r="AB67" s="157"/>
      <c r="AD67" s="157"/>
      <c r="AG67" s="342"/>
      <c r="AH67" s="480" t="str">
        <f>'HC CORPORATIVA-INCERTIDUMBRE'!BI216</f>
        <v>Madera Genérico</v>
      </c>
      <c r="AI67" s="481" t="s">
        <v>804</v>
      </c>
      <c r="AJ67" s="482">
        <v>1958.4190000000001</v>
      </c>
      <c r="AK67" s="481" t="s">
        <v>801</v>
      </c>
      <c r="AL67" s="483">
        <v>3.6800000000000001E-3</v>
      </c>
      <c r="AM67" s="483">
        <v>3.6800000000000001E-3</v>
      </c>
      <c r="AN67" s="484" t="s">
        <v>400</v>
      </c>
      <c r="AO67" s="485">
        <v>509.37299999999999</v>
      </c>
      <c r="AP67" s="481">
        <f t="shared" si="18"/>
        <v>0.50937299999999996</v>
      </c>
      <c r="AQ67" s="481" t="s">
        <v>802</v>
      </c>
      <c r="AR67" s="483">
        <v>0.1</v>
      </c>
      <c r="AS67" s="483">
        <v>1</v>
      </c>
      <c r="AT67" s="481" t="s">
        <v>401</v>
      </c>
      <c r="AU67" s="486">
        <v>67.915999999999997</v>
      </c>
      <c r="AV67" s="481">
        <f t="shared" si="19"/>
        <v>6.791599999999999E-2</v>
      </c>
      <c r="AW67" s="481" t="s">
        <v>803</v>
      </c>
      <c r="AX67" s="483">
        <v>1.4999999999999999E-2</v>
      </c>
      <c r="AY67" s="483">
        <v>0.15</v>
      </c>
      <c r="AZ67" s="481" t="s">
        <v>401</v>
      </c>
      <c r="BA67" s="481">
        <v>0</v>
      </c>
      <c r="BB67" s="481">
        <f t="shared" si="20"/>
        <v>0</v>
      </c>
      <c r="BC67" s="481" t="s">
        <v>802</v>
      </c>
      <c r="BD67" s="483">
        <v>0</v>
      </c>
      <c r="BE67" s="483">
        <v>0</v>
      </c>
      <c r="BF67" s="481" t="s">
        <v>401</v>
      </c>
      <c r="BG67" s="486">
        <v>0</v>
      </c>
      <c r="BH67" s="481">
        <f t="shared" si="21"/>
        <v>0</v>
      </c>
      <c r="BI67" s="481" t="s">
        <v>803</v>
      </c>
      <c r="BJ67" s="483">
        <v>0</v>
      </c>
      <c r="BK67" s="483">
        <v>0</v>
      </c>
      <c r="BL67" s="481" t="s">
        <v>401</v>
      </c>
      <c r="BM67" s="404"/>
      <c r="BN67" s="342">
        <v>0.6</v>
      </c>
      <c r="BO67" s="342">
        <v>1</v>
      </c>
      <c r="BP67" s="342"/>
      <c r="BQ67" s="342"/>
      <c r="BR67" s="342"/>
      <c r="BS67" s="342"/>
      <c r="BT67" s="342"/>
      <c r="BU67" s="342"/>
      <c r="BV67" s="342"/>
      <c r="BW67" s="342"/>
      <c r="BX67" s="342"/>
      <c r="BY67" s="342"/>
      <c r="BZ67" s="342"/>
    </row>
    <row r="68" spans="1:107" s="340" customFormat="1" ht="16.5" hidden="1" customHeight="1" thickBot="1" x14ac:dyDescent="0.3">
      <c r="V68" s="156"/>
      <c r="AA68" s="157"/>
      <c r="AB68" s="157"/>
      <c r="AD68" s="157"/>
      <c r="AG68" s="342"/>
      <c r="AH68" s="480" t="str">
        <f>'HC CORPORATIVA-INCERTIDUMBRE'!BI217</f>
        <v>Madera Eucalipto</v>
      </c>
      <c r="AI68" s="481" t="s">
        <v>804</v>
      </c>
      <c r="AJ68" s="482">
        <v>1953.38</v>
      </c>
      <c r="AK68" s="481" t="s">
        <v>801</v>
      </c>
      <c r="AL68" s="483">
        <v>3.5899999999999999E-3</v>
      </c>
      <c r="AM68" s="483">
        <v>3.5899999999999999E-3</v>
      </c>
      <c r="AN68" s="484" t="s">
        <v>400</v>
      </c>
      <c r="AO68" s="485">
        <v>554.66999999999996</v>
      </c>
      <c r="AP68" s="481">
        <f t="shared" si="18"/>
        <v>0.55467</v>
      </c>
      <c r="AQ68" s="481" t="s">
        <v>802</v>
      </c>
      <c r="AR68" s="483">
        <v>0.1</v>
      </c>
      <c r="AS68" s="483">
        <v>1</v>
      </c>
      <c r="AT68" s="481" t="s">
        <v>401</v>
      </c>
      <c r="AU68" s="486">
        <v>73.956000000000003</v>
      </c>
      <c r="AV68" s="481">
        <f t="shared" si="19"/>
        <v>7.3956000000000008E-2</v>
      </c>
      <c r="AW68" s="481" t="s">
        <v>803</v>
      </c>
      <c r="AX68" s="483">
        <v>1.4999999999999999E-2</v>
      </c>
      <c r="AY68" s="483">
        <v>0.15</v>
      </c>
      <c r="AZ68" s="481" t="s">
        <v>401</v>
      </c>
      <c r="BA68" s="481">
        <v>0</v>
      </c>
      <c r="BB68" s="481">
        <f t="shared" si="20"/>
        <v>0</v>
      </c>
      <c r="BC68" s="481" t="s">
        <v>802</v>
      </c>
      <c r="BD68" s="483">
        <v>0</v>
      </c>
      <c r="BE68" s="483">
        <v>0</v>
      </c>
      <c r="BF68" s="481" t="s">
        <v>401</v>
      </c>
      <c r="BG68" s="486">
        <v>0</v>
      </c>
      <c r="BH68" s="481">
        <f t="shared" si="21"/>
        <v>0</v>
      </c>
      <c r="BI68" s="481" t="s">
        <v>803</v>
      </c>
      <c r="BJ68" s="483">
        <v>0</v>
      </c>
      <c r="BK68" s="483">
        <v>0</v>
      </c>
      <c r="BL68" s="481" t="s">
        <v>401</v>
      </c>
      <c r="BM68" s="404"/>
      <c r="BN68" s="342">
        <v>0.6</v>
      </c>
      <c r="BO68" s="342">
        <v>1</v>
      </c>
      <c r="BP68" s="342"/>
      <c r="BQ68" s="342"/>
      <c r="BR68" s="342"/>
      <c r="BS68" s="342"/>
      <c r="BT68" s="342"/>
      <c r="BU68" s="342"/>
      <c r="BV68" s="342"/>
      <c r="BW68" s="342"/>
      <c r="BX68" s="342"/>
      <c r="BY68" s="342"/>
      <c r="BZ68" s="342"/>
    </row>
    <row r="69" spans="1:107" s="340" customFormat="1" ht="16.5" hidden="1" customHeight="1" thickBot="1" x14ac:dyDescent="0.3">
      <c r="V69" s="156"/>
      <c r="AA69" s="157"/>
      <c r="AB69" s="157"/>
      <c r="AD69" s="157"/>
      <c r="AG69" s="342"/>
      <c r="AH69" s="480" t="str">
        <f>'HC CORPORATIVA-INCERTIDUMBRE'!BI218</f>
        <v>Madera Pino</v>
      </c>
      <c r="AI69" s="481" t="s">
        <v>804</v>
      </c>
      <c r="AJ69" s="482">
        <v>2005.412</v>
      </c>
      <c r="AK69" s="481" t="s">
        <v>801</v>
      </c>
      <c r="AL69" s="483">
        <v>3.4999999999999996E-3</v>
      </c>
      <c r="AM69" s="483">
        <v>3.4999999999999996E-3</v>
      </c>
      <c r="AN69" s="484" t="s">
        <v>400</v>
      </c>
      <c r="AO69" s="485">
        <v>569.07000000000005</v>
      </c>
      <c r="AP69" s="481">
        <f t="shared" si="18"/>
        <v>0.56907000000000008</v>
      </c>
      <c r="AQ69" s="481" t="s">
        <v>802</v>
      </c>
      <c r="AR69" s="483">
        <v>0.1</v>
      </c>
      <c r="AS69" s="483">
        <v>1</v>
      </c>
      <c r="AT69" s="481" t="s">
        <v>401</v>
      </c>
      <c r="AU69" s="486">
        <v>75.876000000000005</v>
      </c>
      <c r="AV69" s="481">
        <f t="shared" si="19"/>
        <v>7.5875999999999999E-2</v>
      </c>
      <c r="AW69" s="481" t="s">
        <v>803</v>
      </c>
      <c r="AX69" s="483">
        <v>1.4999999999999999E-2</v>
      </c>
      <c r="AY69" s="483">
        <v>0.15</v>
      </c>
      <c r="AZ69" s="481" t="s">
        <v>401</v>
      </c>
      <c r="BA69" s="481">
        <v>0</v>
      </c>
      <c r="BB69" s="481">
        <f t="shared" si="20"/>
        <v>0</v>
      </c>
      <c r="BC69" s="481" t="s">
        <v>802</v>
      </c>
      <c r="BD69" s="483">
        <v>0</v>
      </c>
      <c r="BE69" s="483">
        <v>0</v>
      </c>
      <c r="BF69" s="481" t="s">
        <v>401</v>
      </c>
      <c r="BG69" s="486">
        <v>0</v>
      </c>
      <c r="BH69" s="481">
        <f t="shared" si="21"/>
        <v>0</v>
      </c>
      <c r="BI69" s="481" t="s">
        <v>803</v>
      </c>
      <c r="BJ69" s="483">
        <v>0</v>
      </c>
      <c r="BK69" s="483">
        <v>0</v>
      </c>
      <c r="BL69" s="481" t="s">
        <v>401</v>
      </c>
      <c r="BM69" s="404"/>
      <c r="BN69" s="342">
        <v>0.6</v>
      </c>
      <c r="BO69" s="342">
        <v>1</v>
      </c>
      <c r="BP69" s="342"/>
      <c r="BQ69" s="342"/>
      <c r="BR69" s="342"/>
      <c r="BS69" s="342"/>
      <c r="BT69" s="342"/>
      <c r="BU69" s="342"/>
      <c r="BV69" s="342"/>
      <c r="BW69" s="342"/>
      <c r="BX69" s="342"/>
      <c r="BY69" s="342"/>
      <c r="BZ69" s="342"/>
    </row>
    <row r="70" spans="1:107" s="340" customFormat="1" ht="16.5" hidden="1" customHeight="1" thickBot="1" x14ac:dyDescent="0.3">
      <c r="V70" s="156"/>
      <c r="AA70" s="157"/>
      <c r="AB70" s="157"/>
      <c r="AD70" s="157"/>
      <c r="AG70" s="342"/>
      <c r="AH70" s="480" t="str">
        <f>'HC CORPORATIVA-INCERTIDUMBRE'!BI219</f>
        <v>Madera Acacia</v>
      </c>
      <c r="AI70" s="481" t="s">
        <v>804</v>
      </c>
      <c r="AJ70" s="482">
        <v>1942.7539999999999</v>
      </c>
      <c r="AK70" s="481" t="s">
        <v>801</v>
      </c>
      <c r="AL70" s="483">
        <v>3.5899999999999999E-3</v>
      </c>
      <c r="AM70" s="483">
        <v>3.5899999999999999E-3</v>
      </c>
      <c r="AN70" s="484" t="s">
        <v>400</v>
      </c>
      <c r="AO70" s="485">
        <v>560.82000000000005</v>
      </c>
      <c r="AP70" s="481">
        <f t="shared" si="18"/>
        <v>0.5608200000000001</v>
      </c>
      <c r="AQ70" s="481" t="s">
        <v>802</v>
      </c>
      <c r="AR70" s="483">
        <v>0.1</v>
      </c>
      <c r="AS70" s="483">
        <v>1</v>
      </c>
      <c r="AT70" s="481" t="s">
        <v>401</v>
      </c>
      <c r="AU70" s="486">
        <v>74.775999999999996</v>
      </c>
      <c r="AV70" s="481">
        <f t="shared" si="19"/>
        <v>7.4775999999999995E-2</v>
      </c>
      <c r="AW70" s="481" t="s">
        <v>803</v>
      </c>
      <c r="AX70" s="483">
        <v>1.4999999999999999E-2</v>
      </c>
      <c r="AY70" s="483">
        <v>0.15</v>
      </c>
      <c r="AZ70" s="481" t="s">
        <v>401</v>
      </c>
      <c r="BA70" s="481">
        <v>0</v>
      </c>
      <c r="BB70" s="481">
        <f t="shared" si="20"/>
        <v>0</v>
      </c>
      <c r="BC70" s="481" t="s">
        <v>802</v>
      </c>
      <c r="BD70" s="483">
        <v>0</v>
      </c>
      <c r="BE70" s="483">
        <v>0</v>
      </c>
      <c r="BF70" s="481" t="s">
        <v>401</v>
      </c>
      <c r="BG70" s="486">
        <v>0</v>
      </c>
      <c r="BH70" s="481">
        <f t="shared" si="21"/>
        <v>0</v>
      </c>
      <c r="BI70" s="481" t="s">
        <v>803</v>
      </c>
      <c r="BJ70" s="483">
        <v>0</v>
      </c>
      <c r="BK70" s="483">
        <v>0</v>
      </c>
      <c r="BL70" s="481" t="s">
        <v>401</v>
      </c>
      <c r="BM70" s="404"/>
      <c r="BN70" s="342">
        <v>0.6</v>
      </c>
      <c r="BO70" s="342">
        <v>1</v>
      </c>
      <c r="BP70" s="342"/>
      <c r="BQ70" s="342"/>
      <c r="BR70" s="342"/>
      <c r="BS70" s="342"/>
      <c r="BT70" s="342"/>
      <c r="BU70" s="342"/>
      <c r="BV70" s="342"/>
      <c r="BW70" s="342"/>
      <c r="BX70" s="342"/>
      <c r="BY70" s="342"/>
      <c r="BZ70" s="342"/>
    </row>
    <row r="71" spans="1:107" s="340" customFormat="1" ht="16.5" hidden="1" customHeight="1" thickBot="1" x14ac:dyDescent="0.3">
      <c r="V71" s="156"/>
      <c r="AA71" s="157"/>
      <c r="AB71" s="157"/>
      <c r="AD71" s="157"/>
      <c r="AG71" s="342"/>
      <c r="AH71" s="480" t="str">
        <f>'HC CORPORATIVA-INCERTIDUMBRE'!BI220</f>
        <v>Madera Melina</v>
      </c>
      <c r="AI71" s="481" t="s">
        <v>804</v>
      </c>
      <c r="AJ71" s="482">
        <v>1932.1279999999999</v>
      </c>
      <c r="AK71" s="481" t="s">
        <v>801</v>
      </c>
      <c r="AL71" s="483">
        <v>3.6099999999999999E-3</v>
      </c>
      <c r="AM71" s="483">
        <v>3.6099999999999999E-3</v>
      </c>
      <c r="AN71" s="484" t="s">
        <v>400</v>
      </c>
      <c r="AO71" s="485">
        <v>557.46</v>
      </c>
      <c r="AP71" s="481">
        <f>AO71/1000</f>
        <v>0.55746000000000007</v>
      </c>
      <c r="AQ71" s="481" t="s">
        <v>802</v>
      </c>
      <c r="AR71" s="483">
        <v>0.1</v>
      </c>
      <c r="AS71" s="483">
        <v>1</v>
      </c>
      <c r="AT71" s="481" t="s">
        <v>401</v>
      </c>
      <c r="AU71" s="486">
        <v>74.328000000000003</v>
      </c>
      <c r="AV71" s="481">
        <f>AU71/1000</f>
        <v>7.4328000000000005E-2</v>
      </c>
      <c r="AW71" s="481" t="s">
        <v>803</v>
      </c>
      <c r="AX71" s="483">
        <v>1.4999999999999999E-2</v>
      </c>
      <c r="AY71" s="483">
        <v>0.15</v>
      </c>
      <c r="AZ71" s="481" t="s">
        <v>401</v>
      </c>
      <c r="BA71" s="481">
        <v>0</v>
      </c>
      <c r="BB71" s="481">
        <f>BA71/1000</f>
        <v>0</v>
      </c>
      <c r="BC71" s="481" t="s">
        <v>802</v>
      </c>
      <c r="BD71" s="483">
        <v>0</v>
      </c>
      <c r="BE71" s="483">
        <v>0</v>
      </c>
      <c r="BF71" s="481" t="s">
        <v>401</v>
      </c>
      <c r="BG71" s="486">
        <v>0</v>
      </c>
      <c r="BH71" s="481">
        <f>BG71/1000</f>
        <v>0</v>
      </c>
      <c r="BI71" s="481" t="s">
        <v>803</v>
      </c>
      <c r="BJ71" s="483">
        <v>0</v>
      </c>
      <c r="BK71" s="483">
        <v>0</v>
      </c>
      <c r="BL71" s="481" t="s">
        <v>401</v>
      </c>
      <c r="BM71" s="404"/>
      <c r="BN71" s="342"/>
      <c r="BO71" s="342"/>
      <c r="BP71" s="342"/>
      <c r="BQ71" s="342"/>
      <c r="BR71" s="342"/>
      <c r="BS71" s="342"/>
      <c r="BT71" s="342"/>
      <c r="BU71" s="342"/>
      <c r="BV71" s="342"/>
      <c r="BW71" s="342"/>
      <c r="BX71" s="342"/>
      <c r="BY71" s="342"/>
      <c r="BZ71" s="342"/>
    </row>
    <row r="72" spans="1:107" s="340" customFormat="1" ht="16.5" hidden="1" customHeight="1" thickBot="1" x14ac:dyDescent="0.3">
      <c r="V72" s="156"/>
      <c r="AA72" s="157"/>
      <c r="AB72" s="157"/>
      <c r="AD72" s="157"/>
      <c r="AG72" s="342"/>
      <c r="AH72" s="487" t="s">
        <v>790</v>
      </c>
      <c r="AI72" s="481" t="s">
        <v>132</v>
      </c>
      <c r="AJ72" s="486">
        <f>AJ66/1000</f>
        <v>1.521339</v>
      </c>
      <c r="AK72" s="481" t="s">
        <v>602</v>
      </c>
      <c r="AL72" s="486">
        <f t="shared" ref="AL72:BL72" si="22">AL66</f>
        <v>4.4099999999999999E-3</v>
      </c>
      <c r="AM72" s="486">
        <f t="shared" si="22"/>
        <v>4.4099999999999999E-3</v>
      </c>
      <c r="AN72" s="486" t="str">
        <f t="shared" si="22"/>
        <v>FECOC, 2015</v>
      </c>
      <c r="AO72" s="486">
        <f t="shared" si="22"/>
        <v>509.80399999999997</v>
      </c>
      <c r="AP72" s="486">
        <f t="shared" si="22"/>
        <v>0.50980399999999992</v>
      </c>
      <c r="AQ72" s="481" t="s">
        <v>802</v>
      </c>
      <c r="AR72" s="486">
        <f t="shared" si="22"/>
        <v>0.1</v>
      </c>
      <c r="AS72" s="486">
        <f t="shared" si="22"/>
        <v>1</v>
      </c>
      <c r="AT72" s="486" t="str">
        <f t="shared" si="22"/>
        <v>IPCC, 2006</v>
      </c>
      <c r="AU72" s="486">
        <f t="shared" si="22"/>
        <v>67.974000000000004</v>
      </c>
      <c r="AV72" s="486">
        <f t="shared" si="22"/>
        <v>6.7974000000000007E-2</v>
      </c>
      <c r="AW72" s="481" t="s">
        <v>803</v>
      </c>
      <c r="AX72" s="486">
        <f t="shared" si="22"/>
        <v>1.4999999999999999E-2</v>
      </c>
      <c r="AY72" s="486">
        <f t="shared" si="22"/>
        <v>0.15</v>
      </c>
      <c r="AZ72" s="486" t="str">
        <f t="shared" si="22"/>
        <v>IPCC, 2006</v>
      </c>
      <c r="BA72" s="486">
        <f t="shared" si="22"/>
        <v>0</v>
      </c>
      <c r="BB72" s="486">
        <f t="shared" si="22"/>
        <v>0</v>
      </c>
      <c r="BC72" s="481" t="s">
        <v>802</v>
      </c>
      <c r="BD72" s="486">
        <f t="shared" si="22"/>
        <v>0</v>
      </c>
      <c r="BE72" s="486">
        <f t="shared" si="22"/>
        <v>0</v>
      </c>
      <c r="BF72" s="486" t="str">
        <f t="shared" si="22"/>
        <v>IPCC, 2006</v>
      </c>
      <c r="BG72" s="486">
        <f t="shared" si="22"/>
        <v>0</v>
      </c>
      <c r="BH72" s="486">
        <f t="shared" si="22"/>
        <v>0</v>
      </c>
      <c r="BI72" s="481" t="s">
        <v>803</v>
      </c>
      <c r="BJ72" s="486">
        <f t="shared" si="22"/>
        <v>0</v>
      </c>
      <c r="BK72" s="486">
        <f t="shared" si="22"/>
        <v>0</v>
      </c>
      <c r="BL72" s="486" t="str">
        <f t="shared" si="22"/>
        <v>IPCC, 2006</v>
      </c>
      <c r="BM72" s="404"/>
      <c r="BN72" s="342"/>
      <c r="BO72" s="342"/>
      <c r="BP72" s="342"/>
      <c r="BQ72" s="342"/>
      <c r="BR72" s="342"/>
      <c r="BS72" s="342"/>
      <c r="BT72" s="342"/>
      <c r="BU72" s="342"/>
      <c r="BV72" s="342"/>
      <c r="BW72" s="342"/>
      <c r="BX72" s="342"/>
      <c r="BY72" s="342"/>
      <c r="BZ72" s="342"/>
    </row>
    <row r="73" spans="1:107" s="340" customFormat="1" ht="16.5" hidden="1" customHeight="1" thickBot="1" x14ac:dyDescent="0.3">
      <c r="V73" s="156"/>
      <c r="AA73" s="157"/>
      <c r="AB73" s="157"/>
      <c r="AD73" s="157"/>
      <c r="AG73" s="342"/>
      <c r="AH73" s="487" t="s">
        <v>791</v>
      </c>
      <c r="AI73" s="481" t="s">
        <v>132</v>
      </c>
      <c r="AJ73" s="486">
        <f>AJ72</f>
        <v>1.521339</v>
      </c>
      <c r="AK73" s="486" t="str">
        <f t="shared" ref="AK73:BL73" si="23">AK72</f>
        <v>kg CO2/kg</v>
      </c>
      <c r="AL73" s="486">
        <f t="shared" si="23"/>
        <v>4.4099999999999999E-3</v>
      </c>
      <c r="AM73" s="486">
        <f t="shared" si="23"/>
        <v>4.4099999999999999E-3</v>
      </c>
      <c r="AN73" s="486" t="str">
        <f t="shared" si="23"/>
        <v>FECOC, 2015</v>
      </c>
      <c r="AO73" s="486">
        <f t="shared" si="23"/>
        <v>509.80399999999997</v>
      </c>
      <c r="AP73" s="486">
        <f t="shared" si="23"/>
        <v>0.50980399999999992</v>
      </c>
      <c r="AQ73" s="481" t="s">
        <v>802</v>
      </c>
      <c r="AR73" s="486">
        <f t="shared" si="23"/>
        <v>0.1</v>
      </c>
      <c r="AS73" s="486">
        <f t="shared" si="23"/>
        <v>1</v>
      </c>
      <c r="AT73" s="486" t="str">
        <f t="shared" si="23"/>
        <v>IPCC, 2006</v>
      </c>
      <c r="AU73" s="486">
        <f t="shared" si="23"/>
        <v>67.974000000000004</v>
      </c>
      <c r="AV73" s="486">
        <f t="shared" si="23"/>
        <v>6.7974000000000007E-2</v>
      </c>
      <c r="AW73" s="481" t="s">
        <v>803</v>
      </c>
      <c r="AX73" s="486">
        <f t="shared" si="23"/>
        <v>1.4999999999999999E-2</v>
      </c>
      <c r="AY73" s="486">
        <f t="shared" si="23"/>
        <v>0.15</v>
      </c>
      <c r="AZ73" s="486" t="str">
        <f t="shared" si="23"/>
        <v>IPCC, 2006</v>
      </c>
      <c r="BA73" s="486">
        <f t="shared" si="23"/>
        <v>0</v>
      </c>
      <c r="BB73" s="486">
        <f t="shared" si="23"/>
        <v>0</v>
      </c>
      <c r="BC73" s="481" t="s">
        <v>802</v>
      </c>
      <c r="BD73" s="486">
        <f t="shared" si="23"/>
        <v>0</v>
      </c>
      <c r="BE73" s="486">
        <f t="shared" si="23"/>
        <v>0</v>
      </c>
      <c r="BF73" s="486" t="str">
        <f t="shared" si="23"/>
        <v>IPCC, 2006</v>
      </c>
      <c r="BG73" s="486">
        <f t="shared" si="23"/>
        <v>0</v>
      </c>
      <c r="BH73" s="486">
        <f t="shared" si="23"/>
        <v>0</v>
      </c>
      <c r="BI73" s="486" t="str">
        <f t="shared" si="23"/>
        <v>kg N2O/t</v>
      </c>
      <c r="BJ73" s="486">
        <f t="shared" si="23"/>
        <v>0</v>
      </c>
      <c r="BK73" s="486">
        <f t="shared" si="23"/>
        <v>0</v>
      </c>
      <c r="BL73" s="486" t="str">
        <f t="shared" si="23"/>
        <v>IPCC, 2006</v>
      </c>
      <c r="BM73" s="404"/>
      <c r="BN73" s="342">
        <v>0.6</v>
      </c>
      <c r="BO73" s="342">
        <v>1</v>
      </c>
      <c r="BP73" s="342"/>
      <c r="BQ73" s="342"/>
      <c r="BR73" s="342"/>
      <c r="BS73" s="342"/>
      <c r="BT73" s="342"/>
      <c r="BU73" s="342"/>
      <c r="BV73" s="342"/>
      <c r="BW73" s="342"/>
      <c r="BX73" s="342"/>
      <c r="BY73" s="342"/>
      <c r="BZ73" s="342"/>
    </row>
    <row r="74" spans="1:107" s="342" customFormat="1" ht="16.5" hidden="1" customHeight="1" x14ac:dyDescent="0.25">
      <c r="V74" s="396"/>
      <c r="AA74" s="397"/>
      <c r="AB74" s="397"/>
      <c r="AD74" s="397"/>
      <c r="AH74" s="400">
        <v>0</v>
      </c>
      <c r="AI74" s="476">
        <v>0</v>
      </c>
      <c r="AJ74" s="476">
        <v>0</v>
      </c>
      <c r="AK74" s="476">
        <v>0</v>
      </c>
      <c r="AL74" s="460">
        <v>0</v>
      </c>
      <c r="AM74" s="460">
        <v>0</v>
      </c>
      <c r="AN74" s="460">
        <v>0</v>
      </c>
      <c r="AO74" s="488">
        <v>0</v>
      </c>
      <c r="AP74" s="488">
        <v>0</v>
      </c>
      <c r="AQ74" s="488">
        <v>0</v>
      </c>
      <c r="AR74" s="488">
        <v>0</v>
      </c>
      <c r="AS74" s="488">
        <v>0</v>
      </c>
      <c r="AT74" s="488">
        <v>0</v>
      </c>
      <c r="AU74" s="476">
        <v>0</v>
      </c>
      <c r="AV74" s="488">
        <v>0</v>
      </c>
      <c r="AW74" s="488">
        <v>0</v>
      </c>
      <c r="AX74" s="476">
        <v>0</v>
      </c>
      <c r="AY74" s="476">
        <v>0</v>
      </c>
      <c r="AZ74" s="476">
        <v>0</v>
      </c>
      <c r="BA74" s="489">
        <v>0</v>
      </c>
      <c r="BB74" s="488">
        <v>0</v>
      </c>
      <c r="BC74" s="488">
        <v>0</v>
      </c>
      <c r="BD74" s="489">
        <v>0</v>
      </c>
      <c r="BE74" s="489">
        <v>0</v>
      </c>
      <c r="BF74" s="489">
        <v>0</v>
      </c>
      <c r="BG74" s="489">
        <v>0</v>
      </c>
      <c r="BH74" s="488">
        <v>0</v>
      </c>
      <c r="BI74" s="488">
        <v>0</v>
      </c>
      <c r="BJ74" s="489">
        <v>0</v>
      </c>
      <c r="BK74" s="489">
        <v>0</v>
      </c>
      <c r="BL74" s="489">
        <v>0</v>
      </c>
      <c r="BM74" s="404"/>
    </row>
    <row r="75" spans="1:107" s="400" customFormat="1" ht="16.5" hidden="1" customHeight="1" thickBot="1" x14ac:dyDescent="0.3">
      <c r="A75" s="340"/>
      <c r="B75" s="340"/>
      <c r="C75" s="340"/>
      <c r="D75" s="340"/>
      <c r="E75" s="340"/>
      <c r="F75" s="340"/>
      <c r="G75" s="340"/>
      <c r="H75" s="340"/>
      <c r="I75" s="340"/>
      <c r="J75" s="340"/>
      <c r="K75" s="340"/>
      <c r="L75" s="340"/>
      <c r="M75" s="340"/>
      <c r="N75" s="340"/>
      <c r="O75" s="340"/>
      <c r="P75" s="340"/>
      <c r="Q75" s="340"/>
      <c r="R75" s="340"/>
      <c r="S75" s="340"/>
      <c r="T75" s="340"/>
      <c r="U75" s="340"/>
      <c r="V75" s="156"/>
      <c r="W75" s="340"/>
      <c r="X75" s="340"/>
      <c r="Y75" s="340"/>
      <c r="Z75" s="340"/>
      <c r="AA75" s="157"/>
      <c r="AB75" s="157"/>
      <c r="AC75" s="340"/>
      <c r="AD75" s="157"/>
      <c r="AE75" s="340"/>
      <c r="AF75" s="340"/>
      <c r="AG75" s="342"/>
      <c r="AI75" s="476"/>
      <c r="AJ75" s="476"/>
      <c r="AK75" s="476"/>
      <c r="AL75" s="460"/>
      <c r="AM75" s="460"/>
      <c r="AN75" s="460"/>
      <c r="AO75" s="488"/>
      <c r="AP75" s="488"/>
      <c r="AQ75" s="488"/>
      <c r="AR75" s="488"/>
      <c r="AS75" s="488"/>
      <c r="AT75" s="488"/>
      <c r="AU75" s="476"/>
      <c r="AV75" s="488"/>
      <c r="AW75" s="488"/>
      <c r="AX75" s="476"/>
      <c r="AY75" s="476"/>
      <c r="AZ75" s="476"/>
      <c r="BA75" s="489"/>
      <c r="BB75" s="488"/>
      <c r="BC75" s="488"/>
      <c r="BD75" s="489"/>
      <c r="BE75" s="489"/>
      <c r="BF75" s="489"/>
      <c r="BG75" s="489"/>
      <c r="BH75" s="488"/>
      <c r="BI75" s="488"/>
      <c r="BJ75" s="489"/>
      <c r="BK75" s="489"/>
      <c r="BL75" s="489"/>
      <c r="BM75" s="404"/>
      <c r="BN75" s="342"/>
      <c r="BO75" s="342"/>
      <c r="BP75" s="342"/>
      <c r="BQ75" s="342"/>
      <c r="BR75" s="342"/>
      <c r="BS75" s="342"/>
      <c r="BT75" s="342"/>
      <c r="BU75" s="342"/>
      <c r="BV75" s="342"/>
      <c r="BW75" s="342"/>
      <c r="BX75" s="342"/>
      <c r="BY75" s="342"/>
      <c r="BZ75" s="342"/>
      <c r="CA75" s="342"/>
      <c r="CB75" s="342"/>
      <c r="CC75" s="342"/>
      <c r="CD75" s="342"/>
      <c r="CE75" s="342"/>
      <c r="CF75" s="342"/>
      <c r="CG75" s="342"/>
      <c r="CH75" s="342"/>
      <c r="CI75" s="342"/>
      <c r="CJ75" s="342"/>
      <c r="CK75" s="342"/>
      <c r="CL75" s="342"/>
      <c r="CM75" s="342"/>
      <c r="CN75" s="342"/>
      <c r="CO75" s="342"/>
      <c r="CP75" s="342"/>
      <c r="CQ75" s="342"/>
      <c r="CR75" s="342"/>
      <c r="CS75" s="342"/>
      <c r="CT75" s="342"/>
      <c r="CU75" s="342"/>
      <c r="CV75" s="398"/>
      <c r="CW75" s="398"/>
      <c r="CX75" s="398"/>
      <c r="CY75" s="398"/>
      <c r="CZ75" s="398"/>
      <c r="DA75" s="398"/>
      <c r="DB75" s="398"/>
      <c r="DC75" s="398"/>
    </row>
    <row r="76" spans="1:107" s="400" customFormat="1" ht="26.25" hidden="1" customHeight="1" thickBot="1" x14ac:dyDescent="0.3">
      <c r="A76" s="340"/>
      <c r="B76" s="340"/>
      <c r="C76" s="340"/>
      <c r="D76" s="340"/>
      <c r="E76" s="340"/>
      <c r="F76" s="340"/>
      <c r="G76" s="340"/>
      <c r="H76" s="340"/>
      <c r="I76" s="340"/>
      <c r="J76" s="340"/>
      <c r="K76" s="340"/>
      <c r="L76" s="340"/>
      <c r="M76" s="340"/>
      <c r="N76" s="340"/>
      <c r="O76" s="340"/>
      <c r="P76" s="340"/>
      <c r="Q76" s="340"/>
      <c r="R76" s="340"/>
      <c r="S76" s="340"/>
      <c r="T76" s="340"/>
      <c r="U76" s="340"/>
      <c r="V76" s="156"/>
      <c r="W76" s="340"/>
      <c r="X76" s="340"/>
      <c r="Y76" s="340"/>
      <c r="Z76" s="340"/>
      <c r="AA76" s="157"/>
      <c r="AB76" s="157"/>
      <c r="AC76" s="340"/>
      <c r="AD76" s="157"/>
      <c r="AE76" s="340"/>
      <c r="AF76" s="340"/>
      <c r="AG76" s="342"/>
      <c r="AH76" s="816" t="s">
        <v>391</v>
      </c>
      <c r="AI76" s="477"/>
      <c r="AJ76" s="816" t="s">
        <v>426</v>
      </c>
      <c r="AK76" s="477"/>
      <c r="AL76" s="816" t="s">
        <v>392</v>
      </c>
      <c r="AM76" s="816" t="s">
        <v>392</v>
      </c>
      <c r="AN76" s="816" t="s">
        <v>399</v>
      </c>
      <c r="AO76" s="813" t="s">
        <v>318</v>
      </c>
      <c r="AP76" s="814"/>
      <c r="AQ76" s="814"/>
      <c r="AR76" s="814"/>
      <c r="AS76" s="814"/>
      <c r="AT76" s="814"/>
      <c r="AU76" s="814"/>
      <c r="AV76" s="814"/>
      <c r="AW76" s="814"/>
      <c r="AX76" s="814"/>
      <c r="AY76" s="814"/>
      <c r="AZ76" s="815"/>
      <c r="BA76" s="813" t="s">
        <v>319</v>
      </c>
      <c r="BB76" s="814"/>
      <c r="BC76" s="814"/>
      <c r="BD76" s="814"/>
      <c r="BE76" s="814"/>
      <c r="BF76" s="814"/>
      <c r="BG76" s="814"/>
      <c r="BH76" s="814"/>
      <c r="BI76" s="814"/>
      <c r="BJ76" s="814"/>
      <c r="BK76" s="814"/>
      <c r="BL76" s="815"/>
      <c r="BM76" s="404"/>
      <c r="BN76" s="342"/>
      <c r="BO76" s="342"/>
      <c r="BP76" s="342"/>
      <c r="BQ76" s="342"/>
      <c r="BR76" s="342"/>
      <c r="BS76" s="342"/>
      <c r="BT76" s="342"/>
      <c r="BU76" s="342"/>
      <c r="BV76" s="342"/>
      <c r="BW76" s="342"/>
      <c r="BX76" s="342"/>
      <c r="BY76" s="342"/>
      <c r="BZ76" s="342"/>
      <c r="CA76" s="342"/>
      <c r="CB76" s="342"/>
      <c r="CC76" s="342"/>
      <c r="CD76" s="342"/>
      <c r="CE76" s="342"/>
      <c r="CF76" s="342"/>
      <c r="CG76" s="342"/>
      <c r="CH76" s="342"/>
      <c r="CI76" s="342"/>
      <c r="CJ76" s="342"/>
      <c r="CK76" s="342"/>
      <c r="CL76" s="342"/>
      <c r="CM76" s="342"/>
      <c r="CN76" s="342"/>
      <c r="CO76" s="342"/>
      <c r="CP76" s="342"/>
      <c r="CQ76" s="342"/>
      <c r="CR76" s="342"/>
      <c r="CS76" s="342"/>
      <c r="CT76" s="342"/>
      <c r="CU76" s="342"/>
      <c r="CV76" s="398"/>
      <c r="CW76" s="398"/>
      <c r="CX76" s="398"/>
      <c r="CY76" s="398"/>
      <c r="CZ76" s="398"/>
      <c r="DA76" s="398"/>
      <c r="DB76" s="398"/>
      <c r="DC76" s="398"/>
    </row>
    <row r="77" spans="1:107" s="400" customFormat="1" ht="58.5" hidden="1" customHeight="1" thickBot="1" x14ac:dyDescent="0.3">
      <c r="A77" s="340"/>
      <c r="B77" s="340"/>
      <c r="C77" s="340"/>
      <c r="D77" s="340"/>
      <c r="E77" s="340"/>
      <c r="F77" s="340"/>
      <c r="G77" s="340"/>
      <c r="H77" s="340"/>
      <c r="I77" s="340"/>
      <c r="J77" s="340"/>
      <c r="K77" s="340"/>
      <c r="L77" s="340"/>
      <c r="M77" s="340"/>
      <c r="N77" s="340"/>
      <c r="O77" s="340"/>
      <c r="P77" s="340"/>
      <c r="Q77" s="340"/>
      <c r="R77" s="340"/>
      <c r="S77" s="340"/>
      <c r="T77" s="340"/>
      <c r="U77" s="340"/>
      <c r="V77" s="156"/>
      <c r="W77" s="340"/>
      <c r="X77" s="340"/>
      <c r="Y77" s="340"/>
      <c r="Z77" s="340"/>
      <c r="AA77" s="157"/>
      <c r="AB77" s="157"/>
      <c r="AC77" s="340"/>
      <c r="AD77" s="157"/>
      <c r="AE77" s="340"/>
      <c r="AF77" s="340"/>
      <c r="AG77" s="342"/>
      <c r="AH77" s="817"/>
      <c r="AI77" s="478" t="s">
        <v>412</v>
      </c>
      <c r="AJ77" s="817"/>
      <c r="AK77" s="478" t="s">
        <v>410</v>
      </c>
      <c r="AL77" s="817"/>
      <c r="AM77" s="817"/>
      <c r="AN77" s="817"/>
      <c r="AO77" s="479" t="s">
        <v>427</v>
      </c>
      <c r="AP77" s="479" t="s">
        <v>428</v>
      </c>
      <c r="AQ77" s="478" t="s">
        <v>410</v>
      </c>
      <c r="AR77" s="479" t="s">
        <v>392</v>
      </c>
      <c r="AS77" s="479" t="s">
        <v>392</v>
      </c>
      <c r="AT77" s="479" t="s">
        <v>399</v>
      </c>
      <c r="AU77" s="479" t="s">
        <v>429</v>
      </c>
      <c r="AV77" s="479" t="s">
        <v>430</v>
      </c>
      <c r="AW77" s="478" t="s">
        <v>410</v>
      </c>
      <c r="AX77" s="479" t="s">
        <v>392</v>
      </c>
      <c r="AY77" s="479" t="s">
        <v>392</v>
      </c>
      <c r="AZ77" s="479" t="s">
        <v>399</v>
      </c>
      <c r="BA77" s="479" t="s">
        <v>427</v>
      </c>
      <c r="BB77" s="479" t="s">
        <v>428</v>
      </c>
      <c r="BC77" s="478" t="s">
        <v>410</v>
      </c>
      <c r="BD77" s="479" t="s">
        <v>392</v>
      </c>
      <c r="BE77" s="479" t="s">
        <v>392</v>
      </c>
      <c r="BF77" s="479" t="s">
        <v>399</v>
      </c>
      <c r="BG77" s="479" t="s">
        <v>429</v>
      </c>
      <c r="BH77" s="479" t="s">
        <v>430</v>
      </c>
      <c r="BI77" s="478" t="s">
        <v>410</v>
      </c>
      <c r="BJ77" s="479" t="s">
        <v>392</v>
      </c>
      <c r="BK77" s="479" t="s">
        <v>392</v>
      </c>
      <c r="BL77" s="479" t="s">
        <v>399</v>
      </c>
      <c r="BM77" s="404"/>
      <c r="BN77" s="342"/>
      <c r="BO77" s="342"/>
      <c r="BP77" s="342"/>
      <c r="BQ77" s="342"/>
      <c r="BR77" s="342"/>
      <c r="BS77" s="342"/>
      <c r="BT77" s="342"/>
      <c r="BU77" s="342"/>
      <c r="BV77" s="342"/>
      <c r="BW77" s="342"/>
      <c r="BX77" s="342"/>
      <c r="BY77" s="342"/>
      <c r="BZ77" s="342"/>
      <c r="CA77" s="342"/>
      <c r="CB77" s="342"/>
      <c r="CC77" s="342"/>
      <c r="CD77" s="342"/>
      <c r="CE77" s="342"/>
      <c r="CF77" s="342"/>
      <c r="CG77" s="342"/>
      <c r="CH77" s="342"/>
      <c r="CI77" s="342"/>
      <c r="CJ77" s="342"/>
      <c r="CK77" s="342"/>
      <c r="CL77" s="342"/>
      <c r="CM77" s="342"/>
      <c r="CN77" s="342"/>
      <c r="CO77" s="342"/>
      <c r="CP77" s="342"/>
      <c r="CQ77" s="342"/>
      <c r="CR77" s="342"/>
      <c r="CS77" s="342"/>
      <c r="CT77" s="342"/>
      <c r="CU77" s="342"/>
      <c r="CV77" s="398"/>
      <c r="CW77" s="398"/>
      <c r="CX77" s="398"/>
      <c r="CY77" s="398"/>
      <c r="CZ77" s="398"/>
      <c r="DA77" s="398"/>
      <c r="DB77" s="398"/>
      <c r="DC77" s="398"/>
    </row>
    <row r="78" spans="1:107" s="400" customFormat="1" ht="16.5" hidden="1" customHeight="1" thickBot="1" x14ac:dyDescent="0.3">
      <c r="A78" s="340"/>
      <c r="B78" s="340"/>
      <c r="C78" s="340"/>
      <c r="D78" s="340"/>
      <c r="E78" s="340"/>
      <c r="F78" s="340"/>
      <c r="G78" s="340"/>
      <c r="H78" s="340"/>
      <c r="I78" s="340"/>
      <c r="J78" s="340"/>
      <c r="K78" s="340"/>
      <c r="L78" s="340"/>
      <c r="M78" s="340"/>
      <c r="N78" s="340"/>
      <c r="O78" s="340"/>
      <c r="P78" s="340"/>
      <c r="Q78" s="340"/>
      <c r="R78" s="340"/>
      <c r="S78" s="340"/>
      <c r="T78" s="340"/>
      <c r="U78" s="340"/>
      <c r="V78" s="156"/>
      <c r="W78" s="340"/>
      <c r="X78" s="340"/>
      <c r="Y78" s="340"/>
      <c r="Z78" s="340"/>
      <c r="AA78" s="157"/>
      <c r="AB78" s="157"/>
      <c r="AC78" s="340"/>
      <c r="AD78" s="407"/>
      <c r="AE78" s="340"/>
      <c r="AF78" s="340"/>
      <c r="AG78" s="342"/>
      <c r="AH78" s="480" t="str">
        <f>'HC CORPORATIVA-INCERTIDUMBRE'!BI233</f>
        <v>Biodiesel palma</v>
      </c>
      <c r="AI78" s="486" t="s">
        <v>411</v>
      </c>
      <c r="AJ78" s="482">
        <v>6.8822999999999999</v>
      </c>
      <c r="AK78" s="481" t="s">
        <v>603</v>
      </c>
      <c r="AL78" s="483">
        <v>2.98E-3</v>
      </c>
      <c r="AM78" s="483">
        <v>2.98E-3</v>
      </c>
      <c r="AN78" s="484" t="s">
        <v>400</v>
      </c>
      <c r="AO78" s="486">
        <v>2.5999999999999999E-2</v>
      </c>
      <c r="AP78" s="485">
        <f>AO78/1000</f>
        <v>2.5999999999999998E-5</v>
      </c>
      <c r="AQ78" s="481" t="s">
        <v>604</v>
      </c>
      <c r="AR78" s="483">
        <v>0.01</v>
      </c>
      <c r="AS78" s="483">
        <v>0.1</v>
      </c>
      <c r="AT78" s="481" t="s">
        <v>401</v>
      </c>
      <c r="AU78" s="486">
        <v>5.0000000000000001E-3</v>
      </c>
      <c r="AV78" s="485">
        <f>AU78/1000</f>
        <v>5.0000000000000004E-6</v>
      </c>
      <c r="AW78" s="481" t="s">
        <v>605</v>
      </c>
      <c r="AX78" s="483">
        <v>2E-3</v>
      </c>
      <c r="AY78" s="483">
        <v>0.02</v>
      </c>
      <c r="AZ78" s="481" t="s">
        <v>401</v>
      </c>
      <c r="BA78" s="486">
        <v>3.4000000000000002E-2</v>
      </c>
      <c r="BB78" s="485">
        <f>BA78/1000</f>
        <v>3.4E-5</v>
      </c>
      <c r="BC78" s="481" t="s">
        <v>604</v>
      </c>
      <c r="BD78" s="483">
        <v>1.6E-2</v>
      </c>
      <c r="BE78" s="483">
        <v>9.5000000000000001E-2</v>
      </c>
      <c r="BF78" s="481" t="s">
        <v>401</v>
      </c>
      <c r="BG78" s="486">
        <v>3.4000000000000002E-2</v>
      </c>
      <c r="BH78" s="485">
        <f>BG78/1000</f>
        <v>3.4E-5</v>
      </c>
      <c r="BI78" s="481" t="s">
        <v>605</v>
      </c>
      <c r="BJ78" s="483">
        <v>1.2999999999999999E-2</v>
      </c>
      <c r="BK78" s="483">
        <v>0.12</v>
      </c>
      <c r="BL78" s="481" t="s">
        <v>401</v>
      </c>
      <c r="BM78" s="404"/>
      <c r="BN78" s="342">
        <v>0.6</v>
      </c>
      <c r="BO78" s="342">
        <v>1</v>
      </c>
      <c r="BP78" s="342"/>
      <c r="BQ78" s="342"/>
      <c r="BR78" s="342"/>
      <c r="BS78" s="342"/>
      <c r="BT78" s="342"/>
      <c r="BU78" s="342"/>
      <c r="BV78" s="342"/>
      <c r="BW78" s="342"/>
      <c r="BX78" s="342"/>
      <c r="BY78" s="342"/>
      <c r="BZ78" s="342"/>
      <c r="CA78" s="342"/>
      <c r="CB78" s="342"/>
      <c r="CC78" s="342"/>
      <c r="CD78" s="342"/>
      <c r="CE78" s="342"/>
      <c r="CF78" s="342"/>
      <c r="CG78" s="342"/>
      <c r="CH78" s="342"/>
      <c r="CI78" s="342"/>
      <c r="CJ78" s="342"/>
      <c r="CK78" s="342"/>
      <c r="CL78" s="342"/>
      <c r="CM78" s="342"/>
      <c r="CN78" s="342"/>
      <c r="CO78" s="342"/>
      <c r="CP78" s="342"/>
      <c r="CQ78" s="342"/>
      <c r="CR78" s="342"/>
      <c r="CS78" s="342"/>
      <c r="CT78" s="342"/>
      <c r="CU78" s="342"/>
      <c r="CV78" s="398"/>
      <c r="CW78" s="398"/>
      <c r="CX78" s="398"/>
      <c r="CY78" s="398"/>
      <c r="CZ78" s="398"/>
      <c r="DA78" s="398"/>
      <c r="DB78" s="398"/>
      <c r="DC78" s="398"/>
    </row>
    <row r="79" spans="1:107" s="400" customFormat="1" ht="16.5" hidden="1" customHeight="1" thickBot="1" x14ac:dyDescent="0.3">
      <c r="A79" s="340"/>
      <c r="B79" s="340"/>
      <c r="C79" s="340"/>
      <c r="D79" s="340"/>
      <c r="E79" s="340"/>
      <c r="F79" s="340"/>
      <c r="G79" s="340"/>
      <c r="H79" s="340"/>
      <c r="I79" s="340"/>
      <c r="J79" s="340"/>
      <c r="K79" s="340"/>
      <c r="L79" s="340"/>
      <c r="M79" s="340"/>
      <c r="N79" s="340"/>
      <c r="O79" s="340"/>
      <c r="P79" s="340"/>
      <c r="Q79" s="340"/>
      <c r="R79" s="340"/>
      <c r="S79" s="340"/>
      <c r="T79" s="340"/>
      <c r="U79" s="340"/>
      <c r="V79" s="156"/>
      <c r="W79" s="340"/>
      <c r="X79" s="340"/>
      <c r="Y79" s="340"/>
      <c r="Z79" s="340"/>
      <c r="AA79" s="157"/>
      <c r="AB79" s="157"/>
      <c r="AC79" s="340"/>
      <c r="AD79" s="407"/>
      <c r="AE79" s="340"/>
      <c r="AF79" s="340"/>
      <c r="AG79" s="342"/>
      <c r="AH79" s="480" t="str">
        <f>'HC CORPORATIVA-INCERTIDUMBRE'!BI234</f>
        <v>Bioetanol Anhidro</v>
      </c>
      <c r="AI79" s="486" t="s">
        <v>411</v>
      </c>
      <c r="AJ79" s="482">
        <v>5.9200999999999997</v>
      </c>
      <c r="AK79" s="481" t="s">
        <v>603</v>
      </c>
      <c r="AL79" s="483">
        <v>3.4799999999999996E-3</v>
      </c>
      <c r="AM79" s="483">
        <v>3.4799999999999996E-3</v>
      </c>
      <c r="AN79" s="484" t="s">
        <v>400</v>
      </c>
      <c r="AO79" s="486">
        <v>1.4999999999999999E-2</v>
      </c>
      <c r="AP79" s="485">
        <f>AO79/1000</f>
        <v>1.4999999999999999E-5</v>
      </c>
      <c r="AQ79" s="481" t="s">
        <v>604</v>
      </c>
      <c r="AR79" s="483">
        <v>0.01</v>
      </c>
      <c r="AS79" s="483">
        <v>0.1</v>
      </c>
      <c r="AT79" s="481" t="s">
        <v>401</v>
      </c>
      <c r="AU79" s="486">
        <v>3.0000000000000001E-3</v>
      </c>
      <c r="AV79" s="485">
        <f>AU79/1000</f>
        <v>3.0000000000000001E-6</v>
      </c>
      <c r="AW79" s="481" t="s">
        <v>605</v>
      </c>
      <c r="AX79" s="483">
        <v>2E-3</v>
      </c>
      <c r="AY79" s="483">
        <v>0.02</v>
      </c>
      <c r="AZ79" s="481" t="s">
        <v>401</v>
      </c>
      <c r="BA79" s="486">
        <v>8.7999999999999995E-2</v>
      </c>
      <c r="BB79" s="485">
        <f>BA79/1000</f>
        <v>8.7999999999999998E-5</v>
      </c>
      <c r="BC79" s="481" t="s">
        <v>604</v>
      </c>
      <c r="BD79" s="483">
        <v>0.13</v>
      </c>
      <c r="BE79" s="483">
        <v>0.84</v>
      </c>
      <c r="BF79" s="481" t="s">
        <v>401</v>
      </c>
      <c r="BG79" s="486">
        <v>0.2</v>
      </c>
      <c r="BH79" s="485">
        <f>BG79/1000</f>
        <v>2.0000000000000001E-4</v>
      </c>
      <c r="BI79" s="481" t="s">
        <v>605</v>
      </c>
      <c r="BJ79" s="483">
        <v>0.13</v>
      </c>
      <c r="BK79" s="483">
        <v>1.23</v>
      </c>
      <c r="BL79" s="481" t="s">
        <v>401</v>
      </c>
      <c r="BM79" s="404"/>
      <c r="BN79" s="342">
        <v>0.6</v>
      </c>
      <c r="BO79" s="342">
        <v>1</v>
      </c>
      <c r="BP79" s="342"/>
      <c r="BQ79" s="342"/>
      <c r="BR79" s="342"/>
      <c r="BS79" s="342"/>
      <c r="BT79" s="342"/>
      <c r="BU79" s="342"/>
      <c r="BV79" s="342"/>
      <c r="BW79" s="342"/>
      <c r="BX79" s="342"/>
      <c r="BY79" s="342"/>
      <c r="BZ79" s="342"/>
      <c r="CA79" s="342"/>
      <c r="CB79" s="342"/>
      <c r="CC79" s="342"/>
      <c r="CD79" s="342"/>
      <c r="CE79" s="342"/>
      <c r="CF79" s="342"/>
      <c r="CG79" s="342"/>
      <c r="CH79" s="342"/>
      <c r="CI79" s="342"/>
      <c r="CJ79" s="342"/>
      <c r="CK79" s="342"/>
      <c r="CL79" s="342"/>
      <c r="CM79" s="342"/>
      <c r="CN79" s="342"/>
      <c r="CO79" s="342"/>
      <c r="CP79" s="342"/>
      <c r="CQ79" s="342"/>
      <c r="CR79" s="342"/>
      <c r="CS79" s="342"/>
      <c r="CT79" s="342"/>
      <c r="CU79" s="342"/>
      <c r="CV79" s="398"/>
      <c r="CW79" s="398"/>
      <c r="CX79" s="398"/>
      <c r="CY79" s="398"/>
      <c r="CZ79" s="398"/>
      <c r="DA79" s="398"/>
      <c r="DB79" s="398"/>
      <c r="DC79" s="398"/>
    </row>
    <row r="80" spans="1:107" s="400" customFormat="1" hidden="1" x14ac:dyDescent="0.25">
      <c r="A80" s="340"/>
      <c r="B80" s="340"/>
      <c r="C80" s="340"/>
      <c r="D80" s="340"/>
      <c r="E80" s="340"/>
      <c r="F80" s="340"/>
      <c r="G80" s="340"/>
      <c r="H80" s="340"/>
      <c r="I80" s="340"/>
      <c r="J80" s="340"/>
      <c r="K80" s="340"/>
      <c r="L80" s="340"/>
      <c r="M80" s="340"/>
      <c r="N80" s="340"/>
      <c r="O80" s="340"/>
      <c r="P80" s="340"/>
      <c r="Q80" s="340"/>
      <c r="R80" s="340"/>
      <c r="S80" s="340"/>
      <c r="T80" s="340"/>
      <c r="U80" s="340"/>
      <c r="V80" s="156"/>
      <c r="W80" s="340"/>
      <c r="X80" s="340"/>
      <c r="Y80" s="340"/>
      <c r="Z80" s="340"/>
      <c r="AA80" s="157"/>
      <c r="AB80" s="157"/>
      <c r="AC80" s="340"/>
      <c r="AD80" s="157"/>
      <c r="AE80" s="340"/>
      <c r="AF80" s="340"/>
      <c r="AG80" s="342"/>
      <c r="AI80" s="476"/>
      <c r="AJ80" s="476"/>
      <c r="AK80" s="476"/>
      <c r="AL80" s="460"/>
      <c r="AM80" s="460"/>
      <c r="AN80" s="460"/>
      <c r="AO80" s="488"/>
      <c r="AP80" s="488"/>
      <c r="AQ80" s="488"/>
      <c r="AR80" s="488"/>
      <c r="AS80" s="488"/>
      <c r="AT80" s="488"/>
      <c r="AU80" s="476"/>
      <c r="AV80" s="488"/>
      <c r="AW80" s="488"/>
      <c r="AX80" s="476"/>
      <c r="AY80" s="476"/>
      <c r="AZ80" s="476"/>
      <c r="BA80" s="489"/>
      <c r="BB80" s="488"/>
      <c r="BC80" s="488"/>
      <c r="BD80" s="489"/>
      <c r="BE80" s="489"/>
      <c r="BF80" s="489"/>
      <c r="BG80" s="489"/>
      <c r="BH80" s="488"/>
      <c r="BI80" s="488"/>
      <c r="BJ80" s="489"/>
      <c r="BK80" s="489"/>
      <c r="BL80" s="489"/>
      <c r="BM80" s="404"/>
      <c r="BN80" s="342"/>
      <c r="BO80" s="342"/>
      <c r="BP80" s="342"/>
      <c r="BQ80" s="342"/>
      <c r="BR80" s="342"/>
      <c r="BS80" s="342"/>
      <c r="BT80" s="342"/>
      <c r="BU80" s="342"/>
      <c r="BV80" s="342"/>
      <c r="BW80" s="342"/>
      <c r="BX80" s="342"/>
      <c r="BY80" s="342"/>
      <c r="BZ80" s="342"/>
      <c r="CA80" s="342"/>
      <c r="CB80" s="342"/>
      <c r="CC80" s="342"/>
      <c r="CD80" s="342"/>
      <c r="CE80" s="342"/>
      <c r="CF80" s="342"/>
      <c r="CG80" s="342"/>
      <c r="CH80" s="342"/>
      <c r="CI80" s="342"/>
      <c r="CJ80" s="342"/>
      <c r="CK80" s="342"/>
      <c r="CL80" s="342"/>
      <c r="CM80" s="342"/>
      <c r="CN80" s="342"/>
      <c r="CO80" s="342"/>
      <c r="CP80" s="342"/>
      <c r="CQ80" s="342"/>
      <c r="CR80" s="342"/>
      <c r="CS80" s="342"/>
      <c r="CT80" s="342"/>
      <c r="CU80" s="342"/>
      <c r="CV80" s="398"/>
      <c r="CW80" s="398"/>
      <c r="CX80" s="398"/>
      <c r="CY80" s="398"/>
      <c r="CZ80" s="398"/>
      <c r="DA80" s="398"/>
      <c r="DB80" s="398"/>
      <c r="DC80" s="398"/>
    </row>
    <row r="81" spans="1:107" s="400" customFormat="1" ht="15.75" hidden="1" thickBot="1" x14ac:dyDescent="0.3">
      <c r="A81" s="340"/>
      <c r="B81" s="340"/>
      <c r="C81" s="340"/>
      <c r="D81" s="340"/>
      <c r="E81" s="340"/>
      <c r="F81" s="340"/>
      <c r="G81" s="340"/>
      <c r="H81" s="340"/>
      <c r="I81" s="340"/>
      <c r="J81" s="340"/>
      <c r="K81" s="340"/>
      <c r="L81" s="340"/>
      <c r="M81" s="340"/>
      <c r="N81" s="340"/>
      <c r="O81" s="340"/>
      <c r="P81" s="340"/>
      <c r="Q81" s="340"/>
      <c r="R81" s="340"/>
      <c r="S81" s="340"/>
      <c r="T81" s="340"/>
      <c r="U81" s="340"/>
      <c r="V81" s="156"/>
      <c r="W81" s="340"/>
      <c r="X81" s="340"/>
      <c r="Y81" s="340"/>
      <c r="Z81" s="340"/>
      <c r="AA81" s="157"/>
      <c r="AB81" s="157"/>
      <c r="AC81" s="340"/>
      <c r="AD81" s="157"/>
      <c r="AE81" s="340"/>
      <c r="AF81" s="340"/>
      <c r="AG81" s="342"/>
      <c r="AI81" s="476"/>
      <c r="AJ81" s="476"/>
      <c r="AK81" s="476"/>
      <c r="AL81" s="460"/>
      <c r="AM81" s="460"/>
      <c r="AN81" s="460"/>
      <c r="AO81" s="488"/>
      <c r="AP81" s="488"/>
      <c r="AQ81" s="488"/>
      <c r="AR81" s="488"/>
      <c r="AS81" s="488"/>
      <c r="AT81" s="488"/>
      <c r="AU81" s="476"/>
      <c r="AV81" s="488"/>
      <c r="AW81" s="488"/>
      <c r="AX81" s="476"/>
      <c r="AY81" s="476"/>
      <c r="AZ81" s="476"/>
      <c r="BA81" s="489"/>
      <c r="BB81" s="488"/>
      <c r="BC81" s="488"/>
      <c r="BD81" s="489"/>
      <c r="BE81" s="489"/>
      <c r="BF81" s="489"/>
      <c r="BG81" s="489"/>
      <c r="BH81" s="488"/>
      <c r="BI81" s="488"/>
      <c r="BJ81" s="489"/>
      <c r="BK81" s="489"/>
      <c r="BL81" s="489"/>
      <c r="BM81" s="404"/>
      <c r="BN81" s="342"/>
      <c r="BO81" s="342"/>
      <c r="BP81" s="342"/>
      <c r="BQ81" s="342"/>
      <c r="BR81" s="342"/>
      <c r="BS81" s="342"/>
      <c r="BT81" s="342"/>
      <c r="BU81" s="342"/>
      <c r="BV81" s="342"/>
      <c r="BW81" s="342"/>
      <c r="BX81" s="342"/>
      <c r="BY81" s="342"/>
      <c r="BZ81" s="342"/>
      <c r="CA81" s="342"/>
      <c r="CB81" s="342"/>
      <c r="CC81" s="342"/>
      <c r="CD81" s="342"/>
      <c r="CE81" s="342"/>
      <c r="CF81" s="342"/>
      <c r="CG81" s="342"/>
      <c r="CH81" s="342"/>
      <c r="CI81" s="342"/>
      <c r="CJ81" s="342"/>
      <c r="CK81" s="342"/>
      <c r="CL81" s="342"/>
      <c r="CM81" s="342"/>
      <c r="CN81" s="342"/>
      <c r="CO81" s="342"/>
      <c r="CP81" s="342"/>
      <c r="CQ81" s="342"/>
      <c r="CR81" s="342"/>
      <c r="CS81" s="342"/>
      <c r="CT81" s="342"/>
      <c r="CU81" s="342"/>
      <c r="CV81" s="398"/>
      <c r="CW81" s="398"/>
      <c r="CX81" s="398"/>
      <c r="CY81" s="398"/>
      <c r="CZ81" s="398"/>
      <c r="DA81" s="398"/>
      <c r="DB81" s="398"/>
      <c r="DC81" s="398"/>
    </row>
    <row r="82" spans="1:107" s="400" customFormat="1" ht="26.25" hidden="1" customHeight="1" thickBot="1" x14ac:dyDescent="0.3">
      <c r="A82" s="340"/>
      <c r="B82" s="340"/>
      <c r="C82" s="340"/>
      <c r="D82" s="340"/>
      <c r="E82" s="340"/>
      <c r="F82" s="340"/>
      <c r="G82" s="340"/>
      <c r="H82" s="340"/>
      <c r="I82" s="340"/>
      <c r="J82" s="340"/>
      <c r="K82" s="340"/>
      <c r="L82" s="340"/>
      <c r="M82" s="340"/>
      <c r="N82" s="340"/>
      <c r="O82" s="340"/>
      <c r="P82" s="340"/>
      <c r="Q82" s="340"/>
      <c r="R82" s="340"/>
      <c r="S82" s="340"/>
      <c r="T82" s="340"/>
      <c r="U82" s="340"/>
      <c r="V82" s="156"/>
      <c r="W82" s="340"/>
      <c r="X82" s="340"/>
      <c r="Y82" s="340"/>
      <c r="Z82" s="340"/>
      <c r="AA82" s="157"/>
      <c r="AB82" s="157"/>
      <c r="AC82" s="340"/>
      <c r="AD82" s="157"/>
      <c r="AE82" s="340"/>
      <c r="AF82" s="340"/>
      <c r="AG82" s="342"/>
      <c r="AH82" s="816" t="s">
        <v>391</v>
      </c>
      <c r="AI82" s="477"/>
      <c r="AJ82" s="816" t="s">
        <v>426</v>
      </c>
      <c r="AK82" s="477"/>
      <c r="AL82" s="816" t="s">
        <v>392</v>
      </c>
      <c r="AM82" s="816" t="s">
        <v>392</v>
      </c>
      <c r="AN82" s="816" t="s">
        <v>399</v>
      </c>
      <c r="AO82" s="813" t="s">
        <v>318</v>
      </c>
      <c r="AP82" s="814"/>
      <c r="AQ82" s="814"/>
      <c r="AR82" s="814"/>
      <c r="AS82" s="814"/>
      <c r="AT82" s="814"/>
      <c r="AU82" s="814"/>
      <c r="AV82" s="814"/>
      <c r="AW82" s="814"/>
      <c r="AX82" s="814"/>
      <c r="AY82" s="814"/>
      <c r="AZ82" s="815"/>
      <c r="BA82" s="813" t="s">
        <v>319</v>
      </c>
      <c r="BB82" s="814"/>
      <c r="BC82" s="814"/>
      <c r="BD82" s="814"/>
      <c r="BE82" s="814"/>
      <c r="BF82" s="814"/>
      <c r="BG82" s="814"/>
      <c r="BH82" s="814"/>
      <c r="BI82" s="814"/>
      <c r="BJ82" s="814"/>
      <c r="BK82" s="814"/>
      <c r="BL82" s="815"/>
      <c r="BM82" s="404"/>
      <c r="BN82" s="342"/>
      <c r="BO82" s="342"/>
      <c r="BP82" s="342"/>
      <c r="BQ82" s="342"/>
      <c r="BR82" s="342"/>
      <c r="BS82" s="342"/>
      <c r="BT82" s="342"/>
      <c r="BU82" s="342"/>
      <c r="BV82" s="342"/>
      <c r="BW82" s="342"/>
      <c r="BX82" s="342"/>
      <c r="BY82" s="342"/>
      <c r="BZ82" s="342"/>
      <c r="CA82" s="342"/>
      <c r="CB82" s="342"/>
      <c r="CC82" s="342"/>
      <c r="CD82" s="342"/>
      <c r="CE82" s="342"/>
      <c r="CF82" s="342"/>
      <c r="CG82" s="342"/>
      <c r="CH82" s="342"/>
      <c r="CI82" s="342"/>
      <c r="CJ82" s="342"/>
      <c r="CK82" s="342"/>
      <c r="CL82" s="342"/>
      <c r="CM82" s="342"/>
      <c r="CN82" s="342"/>
      <c r="CO82" s="342"/>
      <c r="CP82" s="342"/>
      <c r="CQ82" s="342"/>
      <c r="CR82" s="342"/>
      <c r="CS82" s="342"/>
      <c r="CT82" s="342"/>
      <c r="CU82" s="342"/>
      <c r="CV82" s="398"/>
      <c r="CW82" s="398"/>
      <c r="CX82" s="398"/>
      <c r="CY82" s="398"/>
      <c r="CZ82" s="398"/>
      <c r="DA82" s="398"/>
      <c r="DB82" s="398"/>
      <c r="DC82" s="398"/>
    </row>
    <row r="83" spans="1:107" s="400" customFormat="1" ht="59.25" hidden="1" customHeight="1" thickBot="1" x14ac:dyDescent="0.3">
      <c r="A83" s="340"/>
      <c r="B83" s="340"/>
      <c r="C83" s="340"/>
      <c r="D83" s="340"/>
      <c r="E83" s="340"/>
      <c r="F83" s="340"/>
      <c r="G83" s="340"/>
      <c r="H83" s="340"/>
      <c r="I83" s="340"/>
      <c r="J83" s="340"/>
      <c r="K83" s="340"/>
      <c r="L83" s="340"/>
      <c r="M83" s="340"/>
      <c r="N83" s="340"/>
      <c r="O83" s="340"/>
      <c r="P83" s="340"/>
      <c r="Q83" s="340"/>
      <c r="R83" s="340"/>
      <c r="S83" s="340"/>
      <c r="T83" s="340"/>
      <c r="U83" s="340"/>
      <c r="V83" s="156"/>
      <c r="W83" s="340"/>
      <c r="X83" s="340"/>
      <c r="Y83" s="340"/>
      <c r="Z83" s="340"/>
      <c r="AA83" s="157"/>
      <c r="AB83" s="157"/>
      <c r="AC83" s="340"/>
      <c r="AD83" s="157"/>
      <c r="AE83" s="340"/>
      <c r="AF83" s="340"/>
      <c r="AG83" s="342"/>
      <c r="AH83" s="817"/>
      <c r="AI83" s="478" t="s">
        <v>412</v>
      </c>
      <c r="AJ83" s="817"/>
      <c r="AK83" s="478" t="s">
        <v>410</v>
      </c>
      <c r="AL83" s="817"/>
      <c r="AM83" s="817"/>
      <c r="AN83" s="817"/>
      <c r="AO83" s="479" t="s">
        <v>427</v>
      </c>
      <c r="AP83" s="479" t="s">
        <v>428</v>
      </c>
      <c r="AQ83" s="478" t="s">
        <v>410</v>
      </c>
      <c r="AR83" s="479" t="s">
        <v>392</v>
      </c>
      <c r="AS83" s="479" t="s">
        <v>392</v>
      </c>
      <c r="AT83" s="479" t="s">
        <v>399</v>
      </c>
      <c r="AU83" s="479" t="s">
        <v>429</v>
      </c>
      <c r="AV83" s="479" t="s">
        <v>430</v>
      </c>
      <c r="AW83" s="478" t="s">
        <v>410</v>
      </c>
      <c r="AX83" s="479" t="s">
        <v>392</v>
      </c>
      <c r="AY83" s="479" t="s">
        <v>392</v>
      </c>
      <c r="AZ83" s="479" t="s">
        <v>399</v>
      </c>
      <c r="BA83" s="479" t="s">
        <v>427</v>
      </c>
      <c r="BB83" s="479" t="s">
        <v>428</v>
      </c>
      <c r="BC83" s="478" t="s">
        <v>410</v>
      </c>
      <c r="BD83" s="479" t="s">
        <v>392</v>
      </c>
      <c r="BE83" s="479" t="s">
        <v>392</v>
      </c>
      <c r="BF83" s="479" t="s">
        <v>399</v>
      </c>
      <c r="BG83" s="479" t="s">
        <v>429</v>
      </c>
      <c r="BH83" s="479" t="s">
        <v>430</v>
      </c>
      <c r="BI83" s="478" t="s">
        <v>410</v>
      </c>
      <c r="BJ83" s="479" t="s">
        <v>392</v>
      </c>
      <c r="BK83" s="479" t="s">
        <v>392</v>
      </c>
      <c r="BL83" s="479" t="s">
        <v>399</v>
      </c>
      <c r="BM83" s="404"/>
      <c r="BN83" s="342"/>
      <c r="BO83" s="342"/>
      <c r="BP83" s="342"/>
      <c r="BQ83" s="342"/>
      <c r="BR83" s="342"/>
      <c r="BS83" s="342"/>
      <c r="BT83" s="342"/>
      <c r="BU83" s="342"/>
      <c r="BV83" s="342"/>
      <c r="BW83" s="342"/>
      <c r="BX83" s="342"/>
      <c r="BY83" s="342"/>
      <c r="BZ83" s="342"/>
      <c r="CA83" s="342"/>
      <c r="CB83" s="342"/>
      <c r="CC83" s="342"/>
      <c r="CD83" s="342"/>
      <c r="CE83" s="342"/>
      <c r="CF83" s="342"/>
      <c r="CG83" s="342"/>
      <c r="CH83" s="342"/>
      <c r="CI83" s="342"/>
      <c r="CJ83" s="342"/>
      <c r="CK83" s="342"/>
      <c r="CL83" s="342"/>
      <c r="CM83" s="342"/>
      <c r="CN83" s="342"/>
      <c r="CO83" s="342"/>
      <c r="CP83" s="342"/>
      <c r="CQ83" s="342"/>
      <c r="CR83" s="342"/>
      <c r="CS83" s="342"/>
      <c r="CT83" s="342"/>
      <c r="CU83" s="342"/>
      <c r="CV83" s="398"/>
      <c r="CW83" s="398"/>
      <c r="CX83" s="398"/>
      <c r="CY83" s="398"/>
      <c r="CZ83" s="398"/>
      <c r="DA83" s="398"/>
      <c r="DB83" s="398"/>
      <c r="DC83" s="398"/>
    </row>
    <row r="84" spans="1:107" s="400" customFormat="1" ht="17.25" hidden="1" thickBot="1" x14ac:dyDescent="0.3">
      <c r="A84" s="340"/>
      <c r="B84" s="340"/>
      <c r="C84" s="340"/>
      <c r="D84" s="340"/>
      <c r="E84" s="340"/>
      <c r="F84" s="340"/>
      <c r="G84" s="340"/>
      <c r="H84" s="340"/>
      <c r="I84" s="340"/>
      <c r="J84" s="340"/>
      <c r="K84" s="340"/>
      <c r="L84" s="340"/>
      <c r="M84" s="340"/>
      <c r="N84" s="340"/>
      <c r="O84" s="340"/>
      <c r="P84" s="340"/>
      <c r="Q84" s="340"/>
      <c r="R84" s="340"/>
      <c r="S84" s="340"/>
      <c r="T84" s="340"/>
      <c r="U84" s="340"/>
      <c r="V84" s="156"/>
      <c r="W84" s="340"/>
      <c r="X84" s="340"/>
      <c r="Y84" s="340"/>
      <c r="Z84" s="340"/>
      <c r="AA84" s="157"/>
      <c r="AB84" s="157"/>
      <c r="AC84" s="340"/>
      <c r="AD84" s="157"/>
      <c r="AE84" s="408"/>
      <c r="AF84" s="340"/>
      <c r="AG84" s="342"/>
      <c r="AH84" s="490" t="str">
        <f>'HC CORPORATIVA-INCERTIDUMBRE'!BI243</f>
        <v>Biogás Genérico</v>
      </c>
      <c r="AI84" s="481" t="s">
        <v>606</v>
      </c>
      <c r="AJ84" s="491">
        <v>1.8565</v>
      </c>
      <c r="AK84" s="481" t="s">
        <v>607</v>
      </c>
      <c r="AL84" s="483">
        <v>8.8870000000000005E-2</v>
      </c>
      <c r="AM84" s="483">
        <v>8.8870000000000005E-2</v>
      </c>
      <c r="AN84" s="484" t="s">
        <v>400</v>
      </c>
      <c r="AO84" s="492">
        <v>2.1999999999999999E-2</v>
      </c>
      <c r="AP84" s="492">
        <f>AO84/1000</f>
        <v>2.1999999999999999E-5</v>
      </c>
      <c r="AQ84" s="481" t="s">
        <v>608</v>
      </c>
      <c r="AR84" s="483">
        <v>3.0000000000000001E-3</v>
      </c>
      <c r="AS84" s="483">
        <v>0.03</v>
      </c>
      <c r="AT84" s="481" t="s">
        <v>401</v>
      </c>
      <c r="AU84" s="492">
        <v>2.2000000000000001E-3</v>
      </c>
      <c r="AV84" s="492">
        <f>AU84/1000</f>
        <v>2.2000000000000001E-6</v>
      </c>
      <c r="AW84" s="481" t="s">
        <v>608</v>
      </c>
      <c r="AX84" s="483">
        <v>2.9999999999999997E-4</v>
      </c>
      <c r="AY84" s="483">
        <v>0.03</v>
      </c>
      <c r="AZ84" s="481" t="s">
        <v>401</v>
      </c>
      <c r="BA84" s="486">
        <v>0</v>
      </c>
      <c r="BB84" s="492">
        <f>BA84/1000</f>
        <v>0</v>
      </c>
      <c r="BC84" s="481" t="s">
        <v>608</v>
      </c>
      <c r="BD84" s="483">
        <v>0</v>
      </c>
      <c r="BE84" s="483">
        <v>0</v>
      </c>
      <c r="BF84" s="481" t="s">
        <v>401</v>
      </c>
      <c r="BG84" s="486">
        <v>0</v>
      </c>
      <c r="BH84" s="492">
        <f>BG84/1000</f>
        <v>0</v>
      </c>
      <c r="BI84" s="481" t="s">
        <v>608</v>
      </c>
      <c r="BJ84" s="483">
        <v>0</v>
      </c>
      <c r="BK84" s="483">
        <v>0</v>
      </c>
      <c r="BL84" s="481" t="s">
        <v>401</v>
      </c>
      <c r="BM84" s="404"/>
      <c r="BN84" s="342">
        <v>0.6</v>
      </c>
      <c r="BO84" s="342">
        <v>1</v>
      </c>
      <c r="BP84" s="342"/>
      <c r="BQ84" s="342"/>
      <c r="BR84" s="342"/>
      <c r="BS84" s="342"/>
      <c r="BT84" s="342"/>
      <c r="BU84" s="342"/>
      <c r="BV84" s="342"/>
      <c r="BW84" s="342"/>
      <c r="BX84" s="342"/>
      <c r="BY84" s="342"/>
      <c r="BZ84" s="342"/>
      <c r="CA84" s="342"/>
      <c r="CB84" s="342"/>
      <c r="CC84" s="342"/>
      <c r="CD84" s="342"/>
      <c r="CE84" s="342"/>
      <c r="CF84" s="342"/>
      <c r="CG84" s="342"/>
      <c r="CH84" s="342"/>
      <c r="CI84" s="342"/>
      <c r="CJ84" s="342"/>
      <c r="CK84" s="342"/>
      <c r="CL84" s="342"/>
      <c r="CM84" s="342"/>
      <c r="CN84" s="342"/>
      <c r="CO84" s="342"/>
      <c r="CP84" s="342"/>
      <c r="CQ84" s="342"/>
      <c r="CR84" s="342"/>
      <c r="CS84" s="342"/>
      <c r="CT84" s="342"/>
      <c r="CU84" s="342"/>
      <c r="CV84" s="398"/>
      <c r="CW84" s="398"/>
      <c r="CX84" s="398"/>
      <c r="CY84" s="398"/>
      <c r="CZ84" s="398"/>
      <c r="DA84" s="398"/>
      <c r="DB84" s="398"/>
      <c r="DC84" s="398"/>
    </row>
    <row r="85" spans="1:107" s="400" customFormat="1" hidden="1" x14ac:dyDescent="0.25">
      <c r="A85" s="340"/>
      <c r="B85" s="340"/>
      <c r="C85" s="340"/>
      <c r="D85" s="340"/>
      <c r="E85" s="340"/>
      <c r="F85" s="340"/>
      <c r="G85" s="340"/>
      <c r="H85" s="340"/>
      <c r="I85" s="340"/>
      <c r="J85" s="340"/>
      <c r="K85" s="340"/>
      <c r="L85" s="340"/>
      <c r="M85" s="340"/>
      <c r="N85" s="340"/>
      <c r="O85" s="340"/>
      <c r="P85" s="340"/>
      <c r="Q85" s="340"/>
      <c r="R85" s="340"/>
      <c r="S85" s="340"/>
      <c r="T85" s="340"/>
      <c r="U85" s="340"/>
      <c r="V85" s="156"/>
      <c r="W85" s="340"/>
      <c r="X85" s="340"/>
      <c r="Y85" s="340"/>
      <c r="Z85" s="340"/>
      <c r="AA85" s="157"/>
      <c r="AB85" s="157"/>
      <c r="AC85" s="340"/>
      <c r="AD85" s="157"/>
      <c r="AE85" s="340"/>
      <c r="AF85" s="340"/>
      <c r="AG85" s="342"/>
      <c r="AI85" s="476"/>
      <c r="AJ85" s="476"/>
      <c r="AK85" s="476"/>
      <c r="AL85" s="460"/>
      <c r="AM85" s="460"/>
      <c r="AN85" s="460"/>
      <c r="AO85" s="488"/>
      <c r="AP85" s="488"/>
      <c r="AQ85" s="488"/>
      <c r="AR85" s="488"/>
      <c r="AS85" s="488"/>
      <c r="AT85" s="488"/>
      <c r="AU85" s="476"/>
      <c r="AV85" s="488"/>
      <c r="AW85" s="488"/>
      <c r="AX85" s="476"/>
      <c r="AY85" s="476"/>
      <c r="AZ85" s="476"/>
      <c r="BA85" s="489"/>
      <c r="BB85" s="488"/>
      <c r="BC85" s="488"/>
      <c r="BD85" s="489"/>
      <c r="BE85" s="489"/>
      <c r="BF85" s="489"/>
      <c r="BG85" s="489"/>
      <c r="BH85" s="488"/>
      <c r="BI85" s="488"/>
      <c r="BJ85" s="489"/>
      <c r="BK85" s="489"/>
      <c r="BL85" s="489"/>
      <c r="BM85" s="404"/>
      <c r="BN85" s="342"/>
      <c r="BO85" s="342"/>
      <c r="BP85" s="342"/>
      <c r="BQ85" s="342"/>
      <c r="BR85" s="342"/>
      <c r="BS85" s="342"/>
      <c r="BT85" s="342"/>
      <c r="BU85" s="342"/>
      <c r="BV85" s="342"/>
      <c r="BW85" s="342"/>
      <c r="BX85" s="342"/>
      <c r="BY85" s="342"/>
      <c r="BZ85" s="342"/>
      <c r="CA85" s="342"/>
      <c r="CB85" s="342"/>
      <c r="CC85" s="342"/>
      <c r="CD85" s="342"/>
      <c r="CE85" s="342"/>
      <c r="CF85" s="342"/>
      <c r="CG85" s="342"/>
      <c r="CH85" s="342"/>
      <c r="CI85" s="342"/>
      <c r="CJ85" s="342"/>
      <c r="CK85" s="342"/>
      <c r="CL85" s="342"/>
      <c r="CM85" s="342"/>
      <c r="CN85" s="342"/>
      <c r="CO85" s="342"/>
      <c r="CP85" s="342"/>
      <c r="CQ85" s="342"/>
      <c r="CR85" s="342"/>
      <c r="CS85" s="342"/>
      <c r="CT85" s="342"/>
      <c r="CU85" s="342"/>
      <c r="CV85" s="398"/>
      <c r="CW85" s="398"/>
      <c r="CX85" s="398"/>
      <c r="CY85" s="398"/>
      <c r="CZ85" s="398"/>
      <c r="DA85" s="398"/>
      <c r="DB85" s="398"/>
      <c r="DC85" s="398"/>
    </row>
    <row r="86" spans="1:107" s="340" customFormat="1" hidden="1" x14ac:dyDescent="0.25">
      <c r="AG86" s="342"/>
      <c r="AH86" s="400"/>
      <c r="AI86" s="476"/>
      <c r="AJ86" s="476"/>
      <c r="AK86" s="476"/>
      <c r="AL86" s="460"/>
      <c r="AM86" s="460"/>
      <c r="AN86" s="460"/>
      <c r="AO86" s="493"/>
      <c r="AP86" s="493"/>
      <c r="AQ86" s="493"/>
      <c r="AR86" s="493"/>
      <c r="AS86" s="493"/>
      <c r="AT86" s="493"/>
      <c r="AU86" s="494"/>
      <c r="AV86" s="493"/>
      <c r="AW86" s="493"/>
      <c r="AX86" s="494"/>
      <c r="AY86" s="494"/>
      <c r="AZ86" s="494"/>
      <c r="BA86" s="489"/>
      <c r="BB86" s="476"/>
      <c r="BC86" s="476"/>
      <c r="BD86" s="489"/>
      <c r="BE86" s="489"/>
      <c r="BF86" s="489"/>
      <c r="BG86" s="489"/>
      <c r="BH86" s="476"/>
      <c r="BI86" s="476"/>
      <c r="BJ86" s="489"/>
      <c r="BK86" s="489"/>
      <c r="BL86" s="489"/>
      <c r="BM86" s="404"/>
      <c r="BN86" s="342"/>
      <c r="BO86" s="342"/>
      <c r="BP86" s="342"/>
      <c r="BQ86" s="342"/>
      <c r="BR86" s="342"/>
      <c r="BS86" s="342"/>
      <c r="BT86" s="342"/>
      <c r="BU86" s="342"/>
      <c r="BV86" s="412"/>
      <c r="BW86" s="411"/>
      <c r="BX86" s="411"/>
      <c r="BY86" s="412"/>
      <c r="BZ86" s="412"/>
      <c r="CA86" s="414"/>
      <c r="CB86" s="415"/>
      <c r="CC86" s="415"/>
      <c r="CD86" s="415"/>
      <c r="CE86" s="415"/>
      <c r="CF86" s="415"/>
      <c r="CG86" s="414"/>
      <c r="CH86" s="149"/>
      <c r="CI86" s="410"/>
      <c r="CJ86" s="410"/>
      <c r="CK86" s="409"/>
      <c r="CL86" s="398"/>
      <c r="CM86" s="398"/>
      <c r="CN86" s="398"/>
      <c r="CO86" s="398"/>
      <c r="CP86" s="398"/>
      <c r="CQ86" s="398"/>
    </row>
    <row r="87" spans="1:107" s="340" customFormat="1" hidden="1" x14ac:dyDescent="0.25">
      <c r="AG87" s="342"/>
      <c r="AH87" s="400"/>
      <c r="AI87" s="476"/>
      <c r="AJ87" s="476"/>
      <c r="AK87" s="476"/>
      <c r="AL87" s="460"/>
      <c r="AM87" s="460"/>
      <c r="AN87" s="460"/>
      <c r="AO87" s="493"/>
      <c r="AP87" s="493"/>
      <c r="AQ87" s="493"/>
      <c r="AR87" s="493"/>
      <c r="AS87" s="493"/>
      <c r="AT87" s="493"/>
      <c r="AU87" s="494"/>
      <c r="AV87" s="493"/>
      <c r="AW87" s="493"/>
      <c r="AX87" s="494"/>
      <c r="AY87" s="494"/>
      <c r="AZ87" s="494"/>
      <c r="BA87" s="489"/>
      <c r="BB87" s="476"/>
      <c r="BC87" s="476"/>
      <c r="BD87" s="489"/>
      <c r="BE87" s="489"/>
      <c r="BF87" s="489"/>
      <c r="BG87" s="489"/>
      <c r="BH87" s="476"/>
      <c r="BI87" s="476"/>
      <c r="BJ87" s="489"/>
      <c r="BK87" s="489"/>
      <c r="BL87" s="489"/>
      <c r="BM87" s="404"/>
      <c r="BN87" s="342"/>
      <c r="BO87" s="342"/>
      <c r="BP87" s="342"/>
      <c r="BQ87" s="342"/>
      <c r="BR87" s="342"/>
      <c r="BS87" s="342"/>
      <c r="BT87" s="342"/>
      <c r="BU87" s="342"/>
      <c r="BV87" s="412"/>
      <c r="BW87" s="411"/>
      <c r="BX87" s="411"/>
      <c r="BY87" s="412"/>
      <c r="BZ87" s="412"/>
      <c r="CA87" s="414"/>
      <c r="CB87" s="415"/>
      <c r="CC87" s="415"/>
      <c r="CD87" s="415"/>
      <c r="CE87" s="415"/>
      <c r="CF87" s="415"/>
      <c r="CG87" s="414"/>
      <c r="CH87" s="149"/>
      <c r="CI87" s="410"/>
      <c r="CJ87" s="410"/>
      <c r="CK87" s="409"/>
      <c r="CL87" s="398"/>
      <c r="CM87" s="398"/>
      <c r="CN87" s="398"/>
      <c r="CO87" s="398"/>
      <c r="CP87" s="398"/>
      <c r="CQ87" s="398"/>
    </row>
    <row r="88" spans="1:107" s="340" customFormat="1" hidden="1" x14ac:dyDescent="0.25">
      <c r="AG88" s="342"/>
      <c r="AH88" s="400"/>
      <c r="AI88" s="476"/>
      <c r="AJ88" s="476"/>
      <c r="AK88" s="476"/>
      <c r="AL88" s="460"/>
      <c r="AM88" s="460"/>
      <c r="AN88" s="460"/>
      <c r="AO88" s="493"/>
      <c r="AP88" s="493"/>
      <c r="AQ88" s="493"/>
      <c r="AR88" s="493"/>
      <c r="AS88" s="493"/>
      <c r="AT88" s="493"/>
      <c r="AU88" s="494"/>
      <c r="AV88" s="493"/>
      <c r="AW88" s="493"/>
      <c r="AX88" s="494"/>
      <c r="AY88" s="494"/>
      <c r="AZ88" s="494"/>
      <c r="BA88" s="489"/>
      <c r="BB88" s="476"/>
      <c r="BC88" s="476"/>
      <c r="BD88" s="489"/>
      <c r="BE88" s="489"/>
      <c r="BF88" s="489"/>
      <c r="BG88" s="489"/>
      <c r="BH88" s="476"/>
      <c r="BI88" s="476"/>
      <c r="BJ88" s="489"/>
      <c r="BK88" s="489"/>
      <c r="BL88" s="489"/>
      <c r="BM88" s="404"/>
      <c r="BN88" s="342"/>
      <c r="BO88" s="342"/>
      <c r="BP88" s="342"/>
      <c r="BQ88" s="342"/>
      <c r="BR88" s="342"/>
      <c r="BS88" s="342"/>
      <c r="BT88" s="342"/>
      <c r="BU88" s="342"/>
      <c r="BV88" s="412"/>
      <c r="BW88" s="411"/>
      <c r="BX88" s="411"/>
      <c r="BY88" s="412"/>
      <c r="BZ88" s="412"/>
      <c r="CA88" s="414"/>
      <c r="CB88" s="415"/>
      <c r="CC88" s="415"/>
      <c r="CD88" s="415"/>
      <c r="CE88" s="415"/>
      <c r="CF88" s="415"/>
      <c r="CG88" s="414"/>
      <c r="CH88" s="149"/>
      <c r="CI88" s="410"/>
      <c r="CJ88" s="410"/>
      <c r="CK88" s="409"/>
      <c r="CL88" s="398"/>
      <c r="CM88" s="398"/>
      <c r="CN88" s="398"/>
      <c r="CO88" s="398"/>
      <c r="CP88" s="398"/>
      <c r="CQ88" s="398"/>
    </row>
    <row r="89" spans="1:107" s="340" customFormat="1" hidden="1" x14ac:dyDescent="0.25">
      <c r="AG89" s="342"/>
      <c r="AH89" s="400"/>
      <c r="AI89" s="476"/>
      <c r="AJ89" s="476"/>
      <c r="AK89" s="476"/>
      <c r="AL89" s="460"/>
      <c r="AM89" s="460"/>
      <c r="AN89" s="460"/>
      <c r="AO89" s="493"/>
      <c r="AP89" s="493"/>
      <c r="AQ89" s="493"/>
      <c r="AR89" s="493"/>
      <c r="AS89" s="493"/>
      <c r="AT89" s="493"/>
      <c r="AU89" s="494"/>
      <c r="AV89" s="493"/>
      <c r="AW89" s="493"/>
      <c r="AX89" s="494"/>
      <c r="AY89" s="494"/>
      <c r="AZ89" s="494"/>
      <c r="BA89" s="489"/>
      <c r="BB89" s="476"/>
      <c r="BC89" s="476"/>
      <c r="BD89" s="489"/>
      <c r="BE89" s="489"/>
      <c r="BF89" s="489"/>
      <c r="BG89" s="489"/>
      <c r="BH89" s="476"/>
      <c r="BI89" s="476"/>
      <c r="BJ89" s="489"/>
      <c r="BK89" s="489"/>
      <c r="BL89" s="489"/>
      <c r="BM89" s="404"/>
      <c r="BN89" s="342"/>
      <c r="BO89" s="342"/>
      <c r="BP89" s="342"/>
      <c r="BQ89" s="342"/>
      <c r="BR89" s="342"/>
      <c r="BS89" s="342"/>
      <c r="BT89" s="342"/>
      <c r="BU89" s="342"/>
      <c r="BV89" s="412"/>
      <c r="BW89" s="411"/>
      <c r="BX89" s="411"/>
      <c r="BY89" s="412"/>
      <c r="BZ89" s="412"/>
      <c r="CA89" s="414"/>
      <c r="CB89" s="415"/>
      <c r="CC89" s="415"/>
      <c r="CD89" s="415"/>
      <c r="CE89" s="415"/>
      <c r="CF89" s="415"/>
      <c r="CG89" s="414"/>
      <c r="CH89" s="149"/>
      <c r="CI89" s="410"/>
      <c r="CJ89" s="410"/>
      <c r="CK89" s="409"/>
      <c r="CL89" s="398"/>
      <c r="CM89" s="398"/>
      <c r="CN89" s="398"/>
      <c r="CO89" s="398"/>
      <c r="CP89" s="398"/>
      <c r="CQ89" s="398"/>
    </row>
    <row r="90" spans="1:107" s="340" customFormat="1" ht="15.75" hidden="1" thickBot="1" x14ac:dyDescent="0.3">
      <c r="AG90" s="342"/>
      <c r="AH90" s="400"/>
      <c r="AI90" s="476"/>
      <c r="AJ90" s="476"/>
      <c r="AK90" s="476"/>
      <c r="AL90" s="460"/>
      <c r="AM90" s="460"/>
      <c r="AN90" s="460"/>
      <c r="AO90" s="493"/>
      <c r="AP90" s="493"/>
      <c r="AQ90" s="493"/>
      <c r="AR90" s="493"/>
      <c r="AS90" s="493"/>
      <c r="AT90" s="493"/>
      <c r="AU90" s="494"/>
      <c r="AV90" s="493"/>
      <c r="AW90" s="493"/>
      <c r="AX90" s="494"/>
      <c r="AY90" s="494"/>
      <c r="AZ90" s="494"/>
      <c r="BA90" s="489"/>
      <c r="BB90" s="476"/>
      <c r="BC90" s="476"/>
      <c r="BD90" s="489"/>
      <c r="BE90" s="489"/>
      <c r="BF90" s="489"/>
      <c r="BG90" s="489"/>
      <c r="BH90" s="476"/>
      <c r="BI90" s="476"/>
      <c r="BJ90" s="489"/>
      <c r="BK90" s="489"/>
      <c r="BL90" s="489"/>
      <c r="BM90" s="404"/>
      <c r="BN90" s="342"/>
      <c r="BO90" s="342"/>
      <c r="BP90" s="342"/>
      <c r="BQ90" s="342"/>
      <c r="BR90" s="342"/>
      <c r="BS90" s="342"/>
      <c r="BT90" s="342"/>
      <c r="BU90" s="342"/>
      <c r="BV90" s="412"/>
      <c r="BW90" s="411"/>
      <c r="BX90" s="411"/>
      <c r="BY90" s="412"/>
      <c r="BZ90" s="412"/>
      <c r="CA90" s="414"/>
      <c r="CB90" s="415"/>
      <c r="CC90" s="415"/>
      <c r="CD90" s="415"/>
      <c r="CE90" s="415"/>
      <c r="CF90" s="415"/>
      <c r="CG90" s="414"/>
      <c r="CH90" s="149"/>
      <c r="CI90" s="410"/>
      <c r="CJ90" s="410"/>
      <c r="CK90" s="409"/>
      <c r="CL90" s="398"/>
      <c r="CM90" s="398"/>
      <c r="CN90" s="398"/>
      <c r="CO90" s="398"/>
      <c r="CP90" s="398"/>
      <c r="CQ90" s="398"/>
    </row>
    <row r="91" spans="1:107" s="340" customFormat="1" ht="15.75" hidden="1" thickBot="1" x14ac:dyDescent="0.3">
      <c r="AG91" s="342"/>
      <c r="AH91" s="495" t="s">
        <v>205</v>
      </c>
      <c r="AI91" s="496" t="s">
        <v>206</v>
      </c>
      <c r="AJ91" s="476"/>
      <c r="AK91" s="476"/>
      <c r="AL91" s="460"/>
      <c r="AM91" s="460"/>
      <c r="AN91" s="460"/>
      <c r="AO91" s="493"/>
      <c r="AP91" s="493"/>
      <c r="AQ91" s="493"/>
      <c r="AR91" s="493"/>
      <c r="AS91" s="493"/>
      <c r="AT91" s="493"/>
      <c r="AU91" s="494"/>
      <c r="AV91" s="493"/>
      <c r="AW91" s="493"/>
      <c r="AX91" s="494"/>
      <c r="AY91" s="494"/>
      <c r="AZ91" s="494"/>
      <c r="BA91" s="489"/>
      <c r="BB91" s="476"/>
      <c r="BC91" s="476"/>
      <c r="BD91" s="489"/>
      <c r="BE91" s="489"/>
      <c r="BF91" s="489"/>
      <c r="BG91" s="489"/>
      <c r="BH91" s="476"/>
      <c r="BI91" s="476"/>
      <c r="BJ91" s="489"/>
      <c r="BK91" s="489"/>
      <c r="BL91" s="489"/>
      <c r="BM91" s="404"/>
      <c r="BN91" s="342"/>
      <c r="BO91" s="342"/>
      <c r="BP91" s="342"/>
      <c r="BQ91" s="342"/>
      <c r="BR91" s="342"/>
      <c r="BS91" s="342"/>
      <c r="BT91" s="342"/>
      <c r="BU91" s="342"/>
      <c r="BV91" s="412"/>
      <c r="BW91" s="411"/>
      <c r="BX91" s="411"/>
      <c r="BY91" s="412"/>
      <c r="BZ91" s="412"/>
      <c r="CA91" s="414"/>
      <c r="CB91" s="415"/>
      <c r="CC91" s="415"/>
      <c r="CD91" s="415"/>
      <c r="CE91" s="415"/>
      <c r="CF91" s="415"/>
      <c r="CG91" s="414"/>
      <c r="CH91" s="149"/>
      <c r="CI91" s="410"/>
      <c r="CJ91" s="410"/>
      <c r="CK91" s="409"/>
      <c r="CL91" s="398"/>
      <c r="CM91" s="398"/>
      <c r="CN91" s="398"/>
      <c r="CO91" s="398"/>
      <c r="CP91" s="398"/>
      <c r="CQ91" s="398"/>
    </row>
    <row r="92" spans="1:107" s="340" customFormat="1" ht="15.75" hidden="1" thickBot="1" x14ac:dyDescent="0.3">
      <c r="AG92" s="342"/>
      <c r="AH92" s="480">
        <v>0</v>
      </c>
      <c r="AI92" s="487">
        <v>0</v>
      </c>
      <c r="AJ92" s="476"/>
      <c r="AK92" s="476"/>
      <c r="AL92" s="460"/>
      <c r="AM92" s="460"/>
      <c r="AN92" s="460"/>
      <c r="AO92" s="493"/>
      <c r="AP92" s="493"/>
      <c r="AQ92" s="493"/>
      <c r="AR92" s="493"/>
      <c r="AS92" s="493"/>
      <c r="AT92" s="493"/>
      <c r="AU92" s="494"/>
      <c r="AV92" s="493"/>
      <c r="AW92" s="493"/>
      <c r="AX92" s="494"/>
      <c r="AY92" s="494"/>
      <c r="AZ92" s="494"/>
      <c r="BA92" s="489"/>
      <c r="BB92" s="476"/>
      <c r="BC92" s="476"/>
      <c r="BD92" s="489"/>
      <c r="BE92" s="489"/>
      <c r="BF92" s="489"/>
      <c r="BG92" s="489"/>
      <c r="BH92" s="476"/>
      <c r="BI92" s="476"/>
      <c r="BJ92" s="489"/>
      <c r="BK92" s="489"/>
      <c r="BL92" s="489"/>
      <c r="BM92" s="404"/>
      <c r="BN92" s="342"/>
      <c r="BO92" s="342"/>
      <c r="BP92" s="342"/>
      <c r="BQ92" s="342"/>
      <c r="BR92" s="342"/>
      <c r="BS92" s="342"/>
      <c r="BT92" s="342"/>
      <c r="BU92" s="342"/>
      <c r="BV92" s="412"/>
      <c r="BW92" s="411"/>
      <c r="BX92" s="411"/>
      <c r="BY92" s="412"/>
      <c r="BZ92" s="412"/>
      <c r="CA92" s="414"/>
      <c r="CB92" s="415"/>
      <c r="CC92" s="415"/>
      <c r="CD92" s="415"/>
      <c r="CE92" s="415"/>
      <c r="CF92" s="415"/>
      <c r="CG92" s="414"/>
      <c r="CH92" s="149"/>
      <c r="CI92" s="410"/>
      <c r="CJ92" s="410"/>
      <c r="CK92" s="409"/>
      <c r="CL92" s="398"/>
      <c r="CM92" s="398"/>
      <c r="CN92" s="398"/>
      <c r="CO92" s="398"/>
      <c r="CP92" s="398"/>
      <c r="CQ92" s="398"/>
    </row>
    <row r="93" spans="1:107" s="340" customFormat="1" ht="15.75" hidden="1" thickBot="1" x14ac:dyDescent="0.3">
      <c r="AG93" s="342"/>
      <c r="AH93" s="480">
        <v>2</v>
      </c>
      <c r="AI93" s="487">
        <v>12.71</v>
      </c>
      <c r="AJ93" s="476"/>
      <c r="AK93" s="476"/>
      <c r="AL93" s="460"/>
      <c r="AM93" s="460"/>
      <c r="AN93" s="460"/>
      <c r="AO93" s="489"/>
      <c r="AP93" s="489"/>
      <c r="AQ93" s="489"/>
      <c r="AR93" s="489"/>
      <c r="AS93" s="489"/>
      <c r="AT93" s="489"/>
      <c r="AU93" s="489"/>
      <c r="AV93" s="489"/>
      <c r="AW93" s="489"/>
      <c r="AX93" s="489"/>
      <c r="AY93" s="489"/>
      <c r="AZ93" s="489"/>
      <c r="BA93" s="489"/>
      <c r="BB93" s="476"/>
      <c r="BC93" s="476"/>
      <c r="BD93" s="489"/>
      <c r="BE93" s="489"/>
      <c r="BF93" s="489"/>
      <c r="BG93" s="489"/>
      <c r="BH93" s="476"/>
      <c r="BI93" s="476"/>
      <c r="BJ93" s="489"/>
      <c r="BK93" s="489"/>
      <c r="BL93" s="489"/>
      <c r="BM93" s="404"/>
      <c r="BN93" s="342"/>
      <c r="BO93" s="342"/>
      <c r="BP93" s="342"/>
      <c r="BQ93" s="342"/>
      <c r="BR93" s="342"/>
      <c r="BS93" s="342"/>
      <c r="BT93" s="342"/>
      <c r="BU93" s="342"/>
      <c r="BV93" s="404"/>
      <c r="BW93" s="404"/>
      <c r="BX93" s="404"/>
      <c r="BY93" s="404"/>
      <c r="BZ93" s="404"/>
      <c r="CA93" s="409"/>
      <c r="CB93" s="409"/>
      <c r="CC93" s="409"/>
      <c r="CD93" s="409"/>
      <c r="CE93" s="409"/>
      <c r="CF93" s="409"/>
      <c r="CG93" s="409"/>
      <c r="CH93" s="409"/>
      <c r="CI93" s="398"/>
      <c r="CJ93" s="398"/>
      <c r="CK93" s="398"/>
      <c r="CL93" s="398"/>
      <c r="CM93" s="398"/>
      <c r="CN93" s="398"/>
      <c r="CO93" s="398"/>
      <c r="CP93" s="398"/>
      <c r="CQ93" s="398"/>
    </row>
    <row r="94" spans="1:107" s="340" customFormat="1" ht="15.75" hidden="1" thickBot="1" x14ac:dyDescent="0.3">
      <c r="AG94" s="342"/>
      <c r="AH94" s="480">
        <v>3</v>
      </c>
      <c r="AI94" s="487">
        <v>4.3</v>
      </c>
      <c r="AJ94" s="476"/>
      <c r="AK94" s="476"/>
      <c r="AL94" s="460"/>
      <c r="AM94" s="460"/>
      <c r="AN94" s="460"/>
      <c r="AO94" s="489"/>
      <c r="AP94" s="489"/>
      <c r="AQ94" s="489"/>
      <c r="AR94" s="489"/>
      <c r="AS94" s="489"/>
      <c r="AT94" s="489"/>
      <c r="AU94" s="489"/>
      <c r="AV94" s="489"/>
      <c r="AW94" s="489"/>
      <c r="AX94" s="489"/>
      <c r="AY94" s="489"/>
      <c r="AZ94" s="489"/>
      <c r="BA94" s="489"/>
      <c r="BB94" s="476"/>
      <c r="BC94" s="476"/>
      <c r="BD94" s="489"/>
      <c r="BE94" s="489"/>
      <c r="BF94" s="489"/>
      <c r="BG94" s="489"/>
      <c r="BH94" s="476"/>
      <c r="BI94" s="476"/>
      <c r="BJ94" s="489"/>
      <c r="BK94" s="489"/>
      <c r="BL94" s="489"/>
      <c r="BM94" s="404"/>
      <c r="BN94" s="342"/>
      <c r="BO94" s="342"/>
      <c r="BP94" s="342"/>
      <c r="BQ94" s="342"/>
      <c r="BR94" s="342"/>
      <c r="BS94" s="342"/>
      <c r="BT94" s="342"/>
      <c r="BU94" s="342"/>
      <c r="BV94" s="404"/>
      <c r="BW94" s="404"/>
      <c r="BX94" s="404"/>
      <c r="BY94" s="404"/>
      <c r="BZ94" s="404"/>
      <c r="CA94" s="409"/>
      <c r="CB94" s="409"/>
      <c r="CC94" s="409"/>
      <c r="CD94" s="409"/>
      <c r="CE94" s="409"/>
      <c r="CF94" s="409"/>
      <c r="CG94" s="409"/>
      <c r="CH94" s="409"/>
      <c r="CI94" s="409"/>
      <c r="CJ94" s="409"/>
      <c r="CK94" s="409"/>
      <c r="CL94" s="398"/>
      <c r="CM94" s="398"/>
      <c r="CN94" s="398"/>
      <c r="CO94" s="398"/>
      <c r="CP94" s="398"/>
      <c r="CQ94" s="398"/>
    </row>
    <row r="95" spans="1:107" s="340" customFormat="1" ht="15.75" hidden="1" thickBot="1" x14ac:dyDescent="0.3">
      <c r="AG95" s="342"/>
      <c r="AH95" s="480">
        <v>4</v>
      </c>
      <c r="AI95" s="487">
        <v>3.18</v>
      </c>
      <c r="AJ95" s="476"/>
      <c r="AK95" s="476"/>
      <c r="AL95" s="460"/>
      <c r="AM95" s="460"/>
      <c r="AN95" s="460"/>
      <c r="AO95" s="476"/>
      <c r="AP95" s="476"/>
      <c r="AQ95" s="476"/>
      <c r="AR95" s="476"/>
      <c r="AS95" s="476"/>
      <c r="AT95" s="476"/>
      <c r="AU95" s="489"/>
      <c r="AV95" s="476"/>
      <c r="AW95" s="476"/>
      <c r="AX95" s="489"/>
      <c r="AY95" s="489"/>
      <c r="AZ95" s="489"/>
      <c r="BA95" s="489"/>
      <c r="BB95" s="476"/>
      <c r="BC95" s="476"/>
      <c r="BD95" s="489"/>
      <c r="BE95" s="489"/>
      <c r="BF95" s="489"/>
      <c r="BG95" s="489"/>
      <c r="BH95" s="476"/>
      <c r="BI95" s="476"/>
      <c r="BJ95" s="489"/>
      <c r="BK95" s="489"/>
      <c r="BL95" s="489"/>
      <c r="BM95" s="404"/>
      <c r="BN95" s="342"/>
      <c r="BO95" s="342"/>
      <c r="BP95" s="342"/>
      <c r="BQ95" s="342"/>
      <c r="BR95" s="342"/>
      <c r="BS95" s="342"/>
      <c r="BT95" s="342"/>
      <c r="BU95" s="342"/>
      <c r="BV95" s="404"/>
      <c r="BW95" s="399"/>
      <c r="BX95" s="399"/>
      <c r="BY95" s="404"/>
      <c r="BZ95" s="404"/>
      <c r="CA95" s="409"/>
      <c r="CB95" s="409"/>
      <c r="CC95" s="413"/>
      <c r="CD95" s="413"/>
      <c r="CE95" s="409"/>
      <c r="CF95" s="409"/>
      <c r="CG95" s="409"/>
      <c r="CH95" s="409"/>
      <c r="CI95" s="409"/>
      <c r="CJ95" s="409"/>
      <c r="CK95" s="398"/>
      <c r="CL95" s="409"/>
      <c r="CM95" s="398"/>
      <c r="CN95" s="398"/>
      <c r="CO95" s="398"/>
      <c r="CP95" s="398"/>
      <c r="CQ95" s="398"/>
    </row>
    <row r="96" spans="1:107" s="340" customFormat="1" ht="15.75" hidden="1" thickBot="1" x14ac:dyDescent="0.3">
      <c r="AG96" s="342"/>
      <c r="AH96" s="480">
        <v>5</v>
      </c>
      <c r="AI96" s="487">
        <v>2.78</v>
      </c>
      <c r="AJ96" s="476"/>
      <c r="AK96" s="476"/>
      <c r="AL96" s="460"/>
      <c r="AM96" s="460"/>
      <c r="AN96" s="460"/>
      <c r="AO96" s="476"/>
      <c r="AP96" s="476"/>
      <c r="AQ96" s="476"/>
      <c r="AR96" s="476"/>
      <c r="AS96" s="476"/>
      <c r="AT96" s="476"/>
      <c r="AU96" s="476"/>
      <c r="AV96" s="476"/>
      <c r="AW96" s="476"/>
      <c r="AX96" s="476"/>
      <c r="AY96" s="476"/>
      <c r="AZ96" s="476"/>
      <c r="BA96" s="489"/>
      <c r="BB96" s="476"/>
      <c r="BC96" s="476"/>
      <c r="BD96" s="489"/>
      <c r="BE96" s="489"/>
      <c r="BF96" s="489"/>
      <c r="BG96" s="489"/>
      <c r="BH96" s="476"/>
      <c r="BI96" s="476"/>
      <c r="BJ96" s="489"/>
      <c r="BK96" s="489"/>
      <c r="BL96" s="489"/>
      <c r="BM96" s="404"/>
      <c r="BN96" s="342"/>
      <c r="BO96" s="342"/>
      <c r="BP96" s="342"/>
      <c r="BQ96" s="342"/>
      <c r="BR96" s="342"/>
      <c r="BS96" s="342"/>
      <c r="BT96" s="342"/>
      <c r="BU96" s="342"/>
      <c r="BV96" s="404"/>
      <c r="BW96" s="399"/>
      <c r="BX96" s="399"/>
      <c r="BY96" s="404"/>
      <c r="BZ96" s="404"/>
      <c r="CA96" s="409"/>
      <c r="CB96" s="409"/>
      <c r="CC96" s="413"/>
      <c r="CD96" s="413"/>
      <c r="CE96" s="409"/>
      <c r="CF96" s="409"/>
      <c r="CG96" s="409"/>
      <c r="CH96" s="409"/>
      <c r="CI96" s="398"/>
      <c r="CJ96" s="398"/>
      <c r="CK96" s="398"/>
      <c r="CL96" s="398"/>
      <c r="CM96" s="398"/>
      <c r="CN96" s="398"/>
      <c r="CO96" s="398"/>
      <c r="CP96" s="398"/>
      <c r="CQ96" s="398"/>
    </row>
    <row r="97" spans="22:107" s="340" customFormat="1" ht="15.75" hidden="1" thickBot="1" x14ac:dyDescent="0.3">
      <c r="AG97" s="342"/>
      <c r="AH97" s="480">
        <v>6</v>
      </c>
      <c r="AI97" s="487">
        <v>2.57</v>
      </c>
      <c r="AJ97" s="476"/>
      <c r="AK97" s="476"/>
      <c r="AL97" s="460"/>
      <c r="AM97" s="460"/>
      <c r="AN97" s="460"/>
      <c r="AO97" s="476"/>
      <c r="AP97" s="476"/>
      <c r="AQ97" s="476"/>
      <c r="AR97" s="476"/>
      <c r="AS97" s="476"/>
      <c r="AT97" s="476"/>
      <c r="AU97" s="476"/>
      <c r="AV97" s="476"/>
      <c r="AW97" s="476"/>
      <c r="AX97" s="476"/>
      <c r="AY97" s="476"/>
      <c r="AZ97" s="476"/>
      <c r="BA97" s="489"/>
      <c r="BB97" s="476"/>
      <c r="BC97" s="476"/>
      <c r="BD97" s="489"/>
      <c r="BE97" s="489"/>
      <c r="BF97" s="489"/>
      <c r="BG97" s="489"/>
      <c r="BH97" s="476"/>
      <c r="BI97" s="476"/>
      <c r="BJ97" s="489"/>
      <c r="BK97" s="489"/>
      <c r="BL97" s="489"/>
      <c r="BM97" s="404"/>
      <c r="BN97" s="404"/>
      <c r="BO97" s="342"/>
      <c r="BP97" s="342"/>
      <c r="BQ97" s="342"/>
      <c r="BR97" s="342"/>
      <c r="BS97" s="342"/>
      <c r="BT97" s="342"/>
      <c r="BU97" s="342"/>
      <c r="BV97" s="342"/>
      <c r="BW97" s="342"/>
      <c r="BX97" s="342"/>
      <c r="BY97" s="342"/>
      <c r="BZ97" s="342"/>
      <c r="CA97" s="342"/>
      <c r="CB97" s="342"/>
      <c r="CC97" s="342"/>
      <c r="CD97" s="342"/>
      <c r="CE97" s="342"/>
      <c r="CF97" s="342"/>
      <c r="CG97" s="342"/>
      <c r="CH97" s="342"/>
      <c r="CI97" s="342"/>
      <c r="CJ97" s="342"/>
      <c r="CK97" s="342"/>
      <c r="CL97" s="342"/>
      <c r="CM97" s="342"/>
      <c r="CN97" s="342"/>
      <c r="CO97" s="342"/>
      <c r="CP97" s="342"/>
      <c r="CQ97" s="342"/>
    </row>
    <row r="98" spans="22:107" s="340" customFormat="1" ht="15.75" hidden="1" thickBot="1" x14ac:dyDescent="0.3">
      <c r="AG98" s="342"/>
      <c r="AH98" s="480">
        <v>7</v>
      </c>
      <c r="AI98" s="487">
        <v>2.4500000000000002</v>
      </c>
      <c r="AJ98" s="476"/>
      <c r="AK98" s="476"/>
      <c r="AL98" s="460"/>
      <c r="AM98" s="460"/>
      <c r="AN98" s="460"/>
      <c r="AO98" s="476"/>
      <c r="AP98" s="476"/>
      <c r="AQ98" s="476"/>
      <c r="AR98" s="476"/>
      <c r="AS98" s="476"/>
      <c r="AT98" s="476"/>
      <c r="AU98" s="476"/>
      <c r="AV98" s="476"/>
      <c r="AW98" s="476"/>
      <c r="AX98" s="476"/>
      <c r="AY98" s="476"/>
      <c r="AZ98" s="476"/>
      <c r="BA98" s="489"/>
      <c r="BB98" s="476"/>
      <c r="BC98" s="476"/>
      <c r="BD98" s="489"/>
      <c r="BE98" s="489"/>
      <c r="BF98" s="489"/>
      <c r="BG98" s="489"/>
      <c r="BH98" s="476"/>
      <c r="BI98" s="476"/>
      <c r="BJ98" s="489"/>
      <c r="BK98" s="489"/>
      <c r="BL98" s="489"/>
      <c r="BM98" s="404"/>
      <c r="BN98" s="342"/>
      <c r="BO98" s="342"/>
      <c r="BP98" s="342"/>
      <c r="BQ98" s="342"/>
      <c r="BR98" s="342"/>
      <c r="BS98" s="342"/>
      <c r="BT98" s="342"/>
      <c r="BU98" s="342"/>
      <c r="BV98" s="342"/>
      <c r="BW98" s="342"/>
      <c r="BX98" s="342"/>
      <c r="BY98" s="342"/>
      <c r="BZ98" s="342"/>
      <c r="CA98" s="342"/>
      <c r="CB98" s="342"/>
      <c r="CC98" s="342"/>
      <c r="CD98" s="342"/>
      <c r="CE98" s="342"/>
      <c r="CF98" s="342"/>
      <c r="CG98" s="342"/>
      <c r="CH98" s="342"/>
      <c r="CI98" s="342"/>
      <c r="CJ98" s="342"/>
      <c r="CK98" s="342"/>
      <c r="CL98" s="342"/>
      <c r="CM98" s="342"/>
      <c r="CN98" s="342"/>
      <c r="CO98" s="342"/>
      <c r="CP98" s="342"/>
      <c r="CQ98" s="342"/>
    </row>
    <row r="99" spans="22:107" s="340" customFormat="1" ht="15.75" hidden="1" thickBot="1" x14ac:dyDescent="0.3">
      <c r="AG99" s="342"/>
      <c r="AH99" s="480">
        <v>8</v>
      </c>
      <c r="AI99" s="487">
        <v>2.36</v>
      </c>
      <c r="AJ99" s="476"/>
      <c r="AK99" s="476"/>
      <c r="AL99" s="460"/>
      <c r="AM99" s="460"/>
      <c r="AN99" s="460"/>
      <c r="AO99" s="476"/>
      <c r="AP99" s="476"/>
      <c r="AQ99" s="476"/>
      <c r="AR99" s="476"/>
      <c r="AS99" s="476"/>
      <c r="AT99" s="476"/>
      <c r="AU99" s="476"/>
      <c r="AV99" s="476"/>
      <c r="AW99" s="476"/>
      <c r="AX99" s="476"/>
      <c r="AY99" s="476"/>
      <c r="AZ99" s="476"/>
      <c r="BA99" s="489"/>
      <c r="BB99" s="476"/>
      <c r="BC99" s="476"/>
      <c r="BD99" s="489"/>
      <c r="BE99" s="489"/>
      <c r="BF99" s="489"/>
      <c r="BG99" s="489"/>
      <c r="BH99" s="476"/>
      <c r="BI99" s="476"/>
      <c r="BJ99" s="489"/>
      <c r="BK99" s="489"/>
      <c r="BL99" s="489"/>
      <c r="BM99" s="404"/>
      <c r="BN99" s="342"/>
      <c r="BO99" s="342"/>
      <c r="BP99" s="342"/>
      <c r="BQ99" s="342"/>
      <c r="BR99" s="342"/>
      <c r="BS99" s="342"/>
      <c r="BT99" s="342"/>
      <c r="BU99" s="342"/>
      <c r="BV99" s="342"/>
      <c r="BW99" s="342"/>
      <c r="BX99" s="342"/>
      <c r="BY99" s="342"/>
      <c r="BZ99" s="342"/>
      <c r="CA99" s="342"/>
      <c r="CB99" s="342"/>
      <c r="CC99" s="342"/>
      <c r="CD99" s="342"/>
      <c r="CE99" s="342"/>
      <c r="CF99" s="342"/>
      <c r="CG99" s="342"/>
      <c r="CH99" s="342"/>
      <c r="CI99" s="342"/>
      <c r="CJ99" s="342"/>
      <c r="CK99" s="342"/>
      <c r="CL99" s="342"/>
      <c r="CM99" s="342"/>
      <c r="CN99" s="342"/>
      <c r="CO99" s="342"/>
      <c r="CP99" s="342"/>
      <c r="CQ99" s="342"/>
    </row>
    <row r="100" spans="22:107" s="340" customFormat="1" ht="15.75" hidden="1" thickBot="1" x14ac:dyDescent="0.3">
      <c r="AG100" s="342"/>
      <c r="AH100" s="480">
        <v>9</v>
      </c>
      <c r="AI100" s="487">
        <v>2.31</v>
      </c>
      <c r="AJ100" s="476"/>
      <c r="AK100" s="476"/>
      <c r="AL100" s="460"/>
      <c r="AM100" s="460"/>
      <c r="AN100" s="460"/>
      <c r="AO100" s="476"/>
      <c r="AP100" s="476"/>
      <c r="AQ100" s="476"/>
      <c r="AR100" s="476"/>
      <c r="AS100" s="476"/>
      <c r="AT100" s="476"/>
      <c r="AU100" s="476"/>
      <c r="AV100" s="476"/>
      <c r="AW100" s="476"/>
      <c r="AX100" s="476"/>
      <c r="AY100" s="476"/>
      <c r="AZ100" s="476"/>
      <c r="BA100" s="489"/>
      <c r="BB100" s="476"/>
      <c r="BC100" s="476"/>
      <c r="BD100" s="489"/>
      <c r="BE100" s="489"/>
      <c r="BF100" s="489"/>
      <c r="BG100" s="489"/>
      <c r="BH100" s="476"/>
      <c r="BI100" s="476"/>
      <c r="BJ100" s="489"/>
      <c r="BK100" s="489"/>
      <c r="BL100" s="489"/>
      <c r="BM100" s="404"/>
      <c r="BN100" s="342"/>
      <c r="BO100" s="342"/>
      <c r="BP100" s="342"/>
      <c r="BQ100" s="342"/>
      <c r="BR100" s="342"/>
      <c r="BS100" s="342"/>
      <c r="BT100" s="342"/>
      <c r="BU100" s="342"/>
      <c r="BV100" s="342"/>
      <c r="BW100" s="342"/>
      <c r="BX100" s="342"/>
      <c r="BY100" s="342"/>
      <c r="BZ100" s="342"/>
      <c r="CA100" s="342"/>
      <c r="CB100" s="342"/>
      <c r="CC100" s="342"/>
      <c r="CD100" s="342"/>
      <c r="CE100" s="342"/>
      <c r="CF100" s="342"/>
      <c r="CG100" s="342"/>
      <c r="CH100" s="342"/>
      <c r="CI100" s="342"/>
      <c r="CJ100" s="342"/>
      <c r="CK100" s="342"/>
      <c r="CL100" s="342"/>
      <c r="CM100" s="342"/>
      <c r="CN100" s="342"/>
      <c r="CO100" s="342"/>
      <c r="CP100" s="342"/>
      <c r="CQ100" s="342"/>
    </row>
    <row r="101" spans="22:107" s="340" customFormat="1" ht="15.75" hidden="1" thickBot="1" x14ac:dyDescent="0.3">
      <c r="AG101" s="342"/>
      <c r="AH101" s="480">
        <v>10</v>
      </c>
      <c r="AI101" s="487">
        <v>2.2599999999999998</v>
      </c>
      <c r="AJ101" s="476"/>
      <c r="AK101" s="476"/>
      <c r="AL101" s="460"/>
      <c r="AM101" s="460"/>
      <c r="AN101" s="460"/>
      <c r="AO101" s="476"/>
      <c r="AP101" s="476"/>
      <c r="AQ101" s="476"/>
      <c r="AR101" s="476"/>
      <c r="AS101" s="476"/>
      <c r="AT101" s="476"/>
      <c r="AU101" s="476"/>
      <c r="AV101" s="476"/>
      <c r="AW101" s="476"/>
      <c r="AX101" s="476"/>
      <c r="AY101" s="476"/>
      <c r="AZ101" s="476"/>
      <c r="BA101" s="489"/>
      <c r="BB101" s="476"/>
      <c r="BC101" s="476"/>
      <c r="BD101" s="489"/>
      <c r="BE101" s="489"/>
      <c r="BF101" s="489"/>
      <c r="BG101" s="489"/>
      <c r="BH101" s="476"/>
      <c r="BI101" s="476"/>
      <c r="BJ101" s="489"/>
      <c r="BK101" s="489"/>
      <c r="BL101" s="489"/>
      <c r="BM101" s="404"/>
      <c r="BN101" s="342"/>
      <c r="BO101" s="342"/>
      <c r="BP101" s="342"/>
      <c r="BQ101" s="342"/>
      <c r="BR101" s="342"/>
      <c r="BS101" s="342"/>
      <c r="BT101" s="342"/>
      <c r="BU101" s="342"/>
      <c r="BV101" s="342"/>
      <c r="BW101" s="342"/>
      <c r="BX101" s="342"/>
      <c r="BY101" s="342"/>
      <c r="BZ101" s="342"/>
      <c r="CA101" s="342"/>
      <c r="CB101" s="342"/>
      <c r="CC101" s="342"/>
      <c r="CD101" s="342"/>
      <c r="CE101" s="342"/>
      <c r="CF101" s="342"/>
      <c r="CG101" s="342"/>
      <c r="CH101" s="342"/>
      <c r="CI101" s="342"/>
      <c r="CJ101" s="342"/>
      <c r="CK101" s="342"/>
      <c r="CL101" s="342"/>
      <c r="CM101" s="342"/>
      <c r="CN101" s="342"/>
      <c r="CO101" s="342"/>
      <c r="CP101" s="342"/>
      <c r="CQ101" s="342"/>
    </row>
    <row r="102" spans="22:107" s="340" customFormat="1" ht="15.75" hidden="1" thickBot="1" x14ac:dyDescent="0.3">
      <c r="AG102" s="342"/>
      <c r="AH102" s="480">
        <v>11</v>
      </c>
      <c r="AI102" s="487">
        <v>2.23</v>
      </c>
      <c r="AJ102" s="476"/>
      <c r="AK102" s="476"/>
      <c r="AL102" s="460"/>
      <c r="AM102" s="460"/>
      <c r="AN102" s="460"/>
      <c r="AO102" s="476"/>
      <c r="AP102" s="476"/>
      <c r="AQ102" s="476"/>
      <c r="AR102" s="476"/>
      <c r="AS102" s="476"/>
      <c r="AT102" s="476"/>
      <c r="AU102" s="476"/>
      <c r="AV102" s="476"/>
      <c r="AW102" s="476"/>
      <c r="AX102" s="476"/>
      <c r="AY102" s="476"/>
      <c r="AZ102" s="476"/>
      <c r="BA102" s="489"/>
      <c r="BB102" s="476"/>
      <c r="BC102" s="476"/>
      <c r="BD102" s="489"/>
      <c r="BE102" s="489"/>
      <c r="BF102" s="489"/>
      <c r="BG102" s="489"/>
      <c r="BH102" s="476"/>
      <c r="BI102" s="476"/>
      <c r="BJ102" s="489"/>
      <c r="BK102" s="489"/>
      <c r="BL102" s="489"/>
      <c r="BM102" s="404"/>
      <c r="BN102" s="342"/>
      <c r="BO102" s="342"/>
      <c r="BP102" s="342"/>
      <c r="BQ102" s="342"/>
      <c r="BR102" s="342"/>
      <c r="BS102" s="342"/>
      <c r="BT102" s="342"/>
      <c r="BU102" s="342"/>
      <c r="BV102" s="342"/>
      <c r="BW102" s="342"/>
      <c r="BX102" s="342"/>
      <c r="BY102" s="342"/>
      <c r="BZ102" s="342"/>
      <c r="CA102" s="342"/>
      <c r="CB102" s="342"/>
      <c r="CC102" s="342"/>
      <c r="CD102" s="342"/>
      <c r="CE102" s="342"/>
      <c r="CF102" s="342"/>
      <c r="CG102" s="342"/>
      <c r="CH102" s="342"/>
      <c r="CI102" s="342"/>
      <c r="CJ102" s="342"/>
      <c r="CK102" s="342"/>
      <c r="CL102" s="342"/>
      <c r="CM102" s="342"/>
      <c r="CN102" s="342"/>
      <c r="CO102" s="342"/>
      <c r="CP102" s="342"/>
      <c r="CQ102" s="342"/>
    </row>
    <row r="103" spans="22:107" s="340" customFormat="1" ht="15.75" hidden="1" thickBot="1" x14ac:dyDescent="0.3">
      <c r="AG103" s="342"/>
      <c r="AH103" s="480">
        <v>12</v>
      </c>
      <c r="AI103" s="487">
        <v>2.2000000000000002</v>
      </c>
      <c r="AJ103" s="476"/>
      <c r="AK103" s="476"/>
      <c r="AL103" s="460"/>
      <c r="AM103" s="460"/>
      <c r="AN103" s="460"/>
      <c r="AO103" s="476"/>
      <c r="AP103" s="476"/>
      <c r="AQ103" s="476"/>
      <c r="AR103" s="476"/>
      <c r="AS103" s="476"/>
      <c r="AT103" s="476"/>
      <c r="AU103" s="476"/>
      <c r="AV103" s="476"/>
      <c r="AW103" s="476"/>
      <c r="AX103" s="476"/>
      <c r="AY103" s="476"/>
      <c r="AZ103" s="476"/>
      <c r="BA103" s="489"/>
      <c r="BB103" s="476"/>
      <c r="BC103" s="476"/>
      <c r="BD103" s="489"/>
      <c r="BE103" s="489"/>
      <c r="BF103" s="489"/>
      <c r="BG103" s="489"/>
      <c r="BH103" s="476"/>
      <c r="BI103" s="476"/>
      <c r="BJ103" s="489"/>
      <c r="BK103" s="489"/>
      <c r="BL103" s="489"/>
      <c r="BM103" s="404"/>
      <c r="BN103" s="342"/>
      <c r="BO103" s="342"/>
      <c r="BP103" s="342"/>
      <c r="BQ103" s="342"/>
      <c r="BR103" s="342"/>
      <c r="BS103" s="342"/>
      <c r="BT103" s="342"/>
      <c r="BU103" s="342"/>
      <c r="BV103" s="342"/>
      <c r="BW103" s="342"/>
      <c r="BX103" s="342"/>
      <c r="BY103" s="342"/>
      <c r="BZ103" s="342"/>
      <c r="CA103" s="342"/>
      <c r="CB103" s="342"/>
      <c r="CC103" s="342"/>
      <c r="CD103" s="342"/>
      <c r="CE103" s="342"/>
      <c r="CF103" s="342"/>
      <c r="CG103" s="342"/>
      <c r="CH103" s="342"/>
      <c r="CI103" s="342"/>
      <c r="CJ103" s="342"/>
      <c r="CK103" s="342"/>
      <c r="CL103" s="342"/>
      <c r="CM103" s="342"/>
      <c r="CN103" s="342"/>
      <c r="CO103" s="342"/>
      <c r="CP103" s="342"/>
      <c r="CQ103" s="342"/>
    </row>
    <row r="104" spans="22:107" s="340" customFormat="1" hidden="1" x14ac:dyDescent="0.25">
      <c r="AG104" s="342"/>
      <c r="AH104" s="400"/>
      <c r="AI104" s="476"/>
      <c r="AJ104" s="476"/>
      <c r="AK104" s="476"/>
      <c r="AL104" s="460"/>
      <c r="AM104" s="460"/>
      <c r="AN104" s="460"/>
      <c r="AO104" s="476"/>
      <c r="AP104" s="476"/>
      <c r="AQ104" s="476"/>
      <c r="AR104" s="476"/>
      <c r="AS104" s="476"/>
      <c r="AT104" s="476"/>
      <c r="AU104" s="476"/>
      <c r="AV104" s="476"/>
      <c r="AW104" s="476"/>
      <c r="AX104" s="476"/>
      <c r="AY104" s="476"/>
      <c r="AZ104" s="476"/>
      <c r="BA104" s="489"/>
      <c r="BB104" s="476"/>
      <c r="BC104" s="476"/>
      <c r="BD104" s="489"/>
      <c r="BE104" s="489"/>
      <c r="BF104" s="489"/>
      <c r="BG104" s="489"/>
      <c r="BH104" s="476"/>
      <c r="BI104" s="476"/>
      <c r="BJ104" s="489"/>
      <c r="BK104" s="489"/>
      <c r="BL104" s="489"/>
      <c r="BM104" s="404"/>
      <c r="BN104" s="416"/>
      <c r="BO104" s="399"/>
      <c r="BP104" s="342"/>
      <c r="BQ104" s="342"/>
      <c r="BR104" s="342"/>
      <c r="BS104" s="342"/>
      <c r="BT104" s="342"/>
      <c r="BU104" s="342"/>
      <c r="BV104" s="342"/>
      <c r="BW104" s="342"/>
      <c r="BX104" s="342"/>
      <c r="BY104" s="342"/>
      <c r="BZ104" s="342"/>
      <c r="CA104" s="342"/>
      <c r="CB104" s="342"/>
      <c r="CC104" s="342"/>
      <c r="CD104" s="342"/>
      <c r="CE104" s="342"/>
      <c r="CF104" s="342"/>
      <c r="CG104" s="342"/>
      <c r="CH104" s="342"/>
      <c r="CI104" s="342"/>
      <c r="CJ104" s="342"/>
      <c r="CK104" s="342"/>
      <c r="CL104" s="342"/>
      <c r="CM104" s="342"/>
      <c r="CN104" s="342"/>
      <c r="CO104" s="342"/>
      <c r="CP104" s="342"/>
      <c r="CQ104" s="342"/>
    </row>
    <row r="105" spans="22:107" s="340" customFormat="1" hidden="1" x14ac:dyDescent="0.25">
      <c r="V105" s="156"/>
      <c r="AA105" s="157"/>
      <c r="AB105" s="157"/>
      <c r="AD105" s="157"/>
      <c r="AG105" s="342"/>
      <c r="AH105" s="400"/>
      <c r="AI105" s="476"/>
      <c r="AJ105" s="476"/>
      <c r="AK105" s="476"/>
      <c r="AL105" s="460"/>
      <c r="AM105" s="460"/>
      <c r="AN105" s="460"/>
      <c r="AO105" s="476"/>
      <c r="AP105" s="476"/>
      <c r="AQ105" s="476"/>
      <c r="AR105" s="476"/>
      <c r="AS105" s="476"/>
      <c r="AT105" s="476"/>
      <c r="AU105" s="476"/>
      <c r="AV105" s="476"/>
      <c r="AW105" s="476"/>
      <c r="AX105" s="476"/>
      <c r="AY105" s="476"/>
      <c r="AZ105" s="476"/>
      <c r="BA105" s="489"/>
      <c r="BB105" s="476"/>
      <c r="BC105" s="476"/>
      <c r="BD105" s="489"/>
      <c r="BE105" s="489"/>
      <c r="BF105" s="489"/>
      <c r="BG105" s="489"/>
      <c r="BH105" s="476"/>
      <c r="BI105" s="476"/>
      <c r="BJ105" s="489"/>
      <c r="BK105" s="489"/>
      <c r="BL105" s="489"/>
      <c r="BM105" s="404"/>
      <c r="BN105" s="342"/>
      <c r="BO105" s="342"/>
      <c r="BP105" s="342"/>
      <c r="BQ105" s="342"/>
      <c r="BR105" s="342"/>
      <c r="BS105" s="342"/>
      <c r="BT105" s="342"/>
      <c r="BU105" s="342"/>
      <c r="BV105" s="342"/>
      <c r="BW105" s="342"/>
      <c r="BX105" s="342"/>
      <c r="BY105" s="342"/>
      <c r="BZ105" s="342"/>
      <c r="CA105" s="342"/>
      <c r="CB105" s="342"/>
      <c r="CC105" s="342"/>
      <c r="CD105" s="342"/>
      <c r="CE105" s="342"/>
      <c r="CF105" s="342"/>
      <c r="CG105" s="342"/>
      <c r="CH105" s="342"/>
      <c r="CI105" s="342"/>
      <c r="CJ105" s="342"/>
      <c r="CK105" s="342"/>
      <c r="CL105" s="342"/>
      <c r="CM105" s="342"/>
      <c r="CN105" s="342"/>
      <c r="CO105" s="342"/>
      <c r="CP105" s="342"/>
      <c r="CQ105" s="342"/>
      <c r="CR105" s="342"/>
      <c r="CS105" s="342"/>
      <c r="CT105" s="342"/>
      <c r="CU105" s="342"/>
      <c r="CV105" s="398"/>
      <c r="CW105" s="398"/>
      <c r="CX105" s="398"/>
      <c r="CY105" s="398"/>
      <c r="CZ105" s="398"/>
      <c r="DA105" s="398"/>
      <c r="DB105" s="398"/>
      <c r="DC105" s="398"/>
    </row>
    <row r="106" spans="22:107" s="340" customFormat="1" hidden="1" x14ac:dyDescent="0.25">
      <c r="V106" s="156"/>
      <c r="AA106" s="157"/>
      <c r="AB106" s="157"/>
      <c r="AD106" s="157"/>
      <c r="AG106" s="342"/>
      <c r="AH106" s="400"/>
      <c r="AI106" s="476"/>
      <c r="AJ106" s="476"/>
      <c r="AK106" s="476"/>
      <c r="AL106" s="460"/>
      <c r="AM106" s="460"/>
      <c r="AN106" s="460"/>
      <c r="AO106" s="476"/>
      <c r="AP106" s="476"/>
      <c r="AQ106" s="476"/>
      <c r="AR106" s="476"/>
      <c r="AS106" s="476"/>
      <c r="AT106" s="476"/>
      <c r="AU106" s="476"/>
      <c r="AV106" s="476"/>
      <c r="AW106" s="476"/>
      <c r="AX106" s="476"/>
      <c r="AY106" s="476"/>
      <c r="AZ106" s="476"/>
      <c r="BA106" s="489"/>
      <c r="BB106" s="476"/>
      <c r="BC106" s="476"/>
      <c r="BD106" s="489"/>
      <c r="BE106" s="489"/>
      <c r="BF106" s="489"/>
      <c r="BG106" s="489"/>
      <c r="BH106" s="476"/>
      <c r="BI106" s="476"/>
      <c r="BJ106" s="489"/>
      <c r="BK106" s="489"/>
      <c r="BL106" s="489"/>
      <c r="BM106" s="404"/>
      <c r="BN106" s="342"/>
      <c r="BO106" s="342"/>
      <c r="BP106" s="342"/>
      <c r="BQ106" s="342"/>
      <c r="BR106" s="342"/>
      <c r="BS106" s="342"/>
      <c r="BT106" s="342"/>
      <c r="BU106" s="342"/>
      <c r="BV106" s="342"/>
      <c r="BW106" s="342"/>
      <c r="BX106" s="342"/>
      <c r="BY106" s="342"/>
      <c r="BZ106" s="342"/>
      <c r="CA106" s="342"/>
      <c r="CB106" s="342"/>
      <c r="CC106" s="342"/>
      <c r="CD106" s="342"/>
      <c r="CE106" s="342"/>
      <c r="CF106" s="342"/>
      <c r="CG106" s="342"/>
      <c r="CH106" s="342"/>
      <c r="CI106" s="342"/>
      <c r="CJ106" s="342"/>
      <c r="CK106" s="342"/>
      <c r="CL106" s="342"/>
      <c r="CM106" s="342"/>
      <c r="CN106" s="342"/>
      <c r="CO106" s="342"/>
      <c r="CP106" s="342"/>
      <c r="CQ106" s="342"/>
      <c r="CR106" s="342"/>
      <c r="CS106" s="342"/>
      <c r="CT106" s="342"/>
      <c r="CU106" s="342"/>
      <c r="CV106" s="398"/>
      <c r="CW106" s="398"/>
      <c r="CX106" s="398"/>
      <c r="CY106" s="398"/>
      <c r="CZ106" s="398"/>
      <c r="DA106" s="398"/>
      <c r="DB106" s="398"/>
      <c r="DC106" s="398"/>
    </row>
    <row r="107" spans="22:107" s="340" customFormat="1" hidden="1" x14ac:dyDescent="0.25">
      <c r="V107" s="156"/>
      <c r="AA107" s="157"/>
      <c r="AB107" s="157"/>
      <c r="AD107" s="157"/>
      <c r="AG107" s="342"/>
      <c r="AH107" s="400"/>
      <c r="AI107" s="476"/>
      <c r="AJ107" s="476"/>
      <c r="AK107" s="476"/>
      <c r="AL107" s="460"/>
      <c r="AM107" s="460"/>
      <c r="AN107" s="460"/>
      <c r="AO107" s="476"/>
      <c r="AP107" s="476"/>
      <c r="AQ107" s="476"/>
      <c r="AR107" s="476"/>
      <c r="AS107" s="476"/>
      <c r="AT107" s="476"/>
      <c r="AU107" s="476"/>
      <c r="AV107" s="476"/>
      <c r="AW107" s="476"/>
      <c r="AX107" s="476"/>
      <c r="AY107" s="476"/>
      <c r="AZ107" s="476"/>
      <c r="BA107" s="489"/>
      <c r="BB107" s="476"/>
      <c r="BC107" s="476"/>
      <c r="BD107" s="489"/>
      <c r="BE107" s="489"/>
      <c r="BF107" s="489"/>
      <c r="BG107" s="489"/>
      <c r="BH107" s="476"/>
      <c r="BI107" s="476"/>
      <c r="BJ107" s="489"/>
      <c r="BK107" s="489"/>
      <c r="BL107" s="489"/>
      <c r="BM107" s="404"/>
      <c r="BN107" s="342"/>
      <c r="BO107" s="342"/>
      <c r="BP107" s="342"/>
      <c r="BQ107" s="342"/>
      <c r="BR107" s="342"/>
      <c r="BS107" s="342"/>
      <c r="BT107" s="342"/>
      <c r="BU107" s="342"/>
      <c r="BV107" s="342"/>
      <c r="BW107" s="342"/>
      <c r="BX107" s="342"/>
      <c r="BY107" s="342"/>
      <c r="BZ107" s="342"/>
      <c r="CA107" s="342"/>
      <c r="CB107" s="342"/>
      <c r="CC107" s="342"/>
      <c r="CD107" s="342"/>
      <c r="CE107" s="342"/>
      <c r="CF107" s="342"/>
      <c r="CG107" s="342"/>
      <c r="CH107" s="342"/>
      <c r="CI107" s="342"/>
      <c r="CJ107" s="342"/>
      <c r="CK107" s="342"/>
      <c r="CL107" s="342"/>
      <c r="CM107" s="342"/>
      <c r="CN107" s="342"/>
      <c r="CO107" s="342"/>
      <c r="CP107" s="342"/>
      <c r="CQ107" s="342"/>
      <c r="CR107" s="342"/>
      <c r="CS107" s="342"/>
      <c r="CT107" s="342"/>
      <c r="CU107" s="342"/>
      <c r="CV107" s="398"/>
      <c r="CW107" s="398"/>
      <c r="CX107" s="398"/>
      <c r="CY107" s="398"/>
      <c r="CZ107" s="398"/>
      <c r="DA107" s="398"/>
      <c r="DB107" s="398"/>
      <c r="DC107" s="398"/>
    </row>
    <row r="108" spans="22:107" s="340" customFormat="1" hidden="1" x14ac:dyDescent="0.25">
      <c r="V108" s="156"/>
      <c r="AA108" s="157"/>
      <c r="AB108" s="157"/>
      <c r="AD108" s="157"/>
      <c r="AG108" s="342"/>
      <c r="AH108" s="400"/>
      <c r="AI108" s="476"/>
      <c r="AJ108" s="476"/>
      <c r="AK108" s="476"/>
      <c r="AL108" s="460"/>
      <c r="AM108" s="460"/>
      <c r="AN108" s="460"/>
      <c r="AO108" s="476"/>
      <c r="AP108" s="476"/>
      <c r="AQ108" s="476"/>
      <c r="AR108" s="476"/>
      <c r="AS108" s="476"/>
      <c r="AT108" s="476"/>
      <c r="AU108" s="476"/>
      <c r="AV108" s="476"/>
      <c r="AW108" s="476"/>
      <c r="AX108" s="476"/>
      <c r="AY108" s="476"/>
      <c r="AZ108" s="476"/>
      <c r="BA108" s="489"/>
      <c r="BB108" s="476"/>
      <c r="BC108" s="476"/>
      <c r="BD108" s="489"/>
      <c r="BE108" s="489"/>
      <c r="BF108" s="489"/>
      <c r="BG108" s="489"/>
      <c r="BH108" s="476"/>
      <c r="BI108" s="476"/>
      <c r="BJ108" s="489"/>
      <c r="BK108" s="489"/>
      <c r="BL108" s="489"/>
      <c r="BM108" s="404"/>
      <c r="BN108" s="342"/>
      <c r="BO108" s="342"/>
      <c r="BP108" s="342"/>
      <c r="BQ108" s="342"/>
      <c r="BR108" s="342"/>
      <c r="BS108" s="342"/>
      <c r="BT108" s="342"/>
      <c r="BU108" s="342"/>
      <c r="BV108" s="342"/>
      <c r="BW108" s="342"/>
      <c r="BX108" s="342"/>
      <c r="BY108" s="342"/>
      <c r="BZ108" s="342"/>
      <c r="CA108" s="342"/>
      <c r="CB108" s="342"/>
      <c r="CC108" s="342"/>
      <c r="CD108" s="342"/>
      <c r="CE108" s="342"/>
      <c r="CF108" s="342"/>
      <c r="CG108" s="342"/>
      <c r="CH108" s="342"/>
      <c r="CI108" s="342"/>
      <c r="CJ108" s="342"/>
      <c r="CK108" s="342"/>
      <c r="CL108" s="342"/>
      <c r="CM108" s="342"/>
      <c r="CN108" s="342"/>
      <c r="CO108" s="342"/>
      <c r="CP108" s="342"/>
      <c r="CQ108" s="342"/>
      <c r="CR108" s="342"/>
      <c r="CS108" s="342"/>
      <c r="CT108" s="342"/>
      <c r="CU108" s="342"/>
      <c r="CV108" s="398"/>
      <c r="CW108" s="398"/>
      <c r="CX108" s="398"/>
      <c r="CY108" s="398"/>
      <c r="CZ108" s="398"/>
      <c r="DA108" s="398"/>
      <c r="DB108" s="398"/>
      <c r="DC108" s="398"/>
    </row>
    <row r="109" spans="22:107" s="340" customFormat="1" hidden="1" x14ac:dyDescent="0.25">
      <c r="V109" s="156"/>
      <c r="AA109" s="157"/>
      <c r="AB109" s="157"/>
      <c r="AD109" s="157"/>
      <c r="AG109" s="342"/>
      <c r="AH109" s="400"/>
      <c r="AI109" s="476"/>
      <c r="AJ109" s="476"/>
      <c r="AK109" s="476"/>
      <c r="AL109" s="460"/>
      <c r="AM109" s="460"/>
      <c r="AN109" s="460"/>
      <c r="AO109" s="476"/>
      <c r="AP109" s="476"/>
      <c r="AQ109" s="476"/>
      <c r="AR109" s="476"/>
      <c r="AS109" s="476"/>
      <c r="AT109" s="476"/>
      <c r="AU109" s="476"/>
      <c r="AV109" s="476"/>
      <c r="AW109" s="476"/>
      <c r="AX109" s="476"/>
      <c r="AY109" s="476"/>
      <c r="AZ109" s="476"/>
      <c r="BA109" s="489"/>
      <c r="BB109" s="476"/>
      <c r="BC109" s="476"/>
      <c r="BD109" s="489"/>
      <c r="BE109" s="489"/>
      <c r="BF109" s="489"/>
      <c r="BG109" s="489"/>
      <c r="BH109" s="476"/>
      <c r="BI109" s="476"/>
      <c r="BJ109" s="489"/>
      <c r="BK109" s="489"/>
      <c r="BL109" s="489"/>
      <c r="BM109" s="404"/>
      <c r="BN109" s="342"/>
      <c r="BO109" s="342"/>
      <c r="BP109" s="342"/>
      <c r="BQ109" s="342"/>
      <c r="BR109" s="342"/>
      <c r="BS109" s="342"/>
      <c r="BT109" s="342"/>
      <c r="BU109" s="342"/>
      <c r="BV109" s="342"/>
      <c r="BW109" s="342"/>
      <c r="BX109" s="342"/>
      <c r="BY109" s="342"/>
      <c r="BZ109" s="342"/>
      <c r="CA109" s="342"/>
      <c r="CB109" s="342"/>
      <c r="CC109" s="342"/>
      <c r="CD109" s="342"/>
      <c r="CE109" s="342"/>
      <c r="CF109" s="342"/>
      <c r="CG109" s="342"/>
      <c r="CH109" s="342"/>
      <c r="CI109" s="342"/>
      <c r="CJ109" s="342"/>
      <c r="CK109" s="342"/>
      <c r="CL109" s="342"/>
      <c r="CM109" s="342"/>
      <c r="CN109" s="342"/>
      <c r="CO109" s="342"/>
      <c r="CP109" s="342"/>
      <c r="CQ109" s="342"/>
      <c r="CR109" s="342"/>
      <c r="CS109" s="342"/>
      <c r="CT109" s="342"/>
      <c r="CU109" s="342"/>
      <c r="CV109" s="398"/>
      <c r="CW109" s="398"/>
      <c r="CX109" s="398"/>
      <c r="CY109" s="398"/>
      <c r="CZ109" s="398"/>
      <c r="DA109" s="398"/>
      <c r="DB109" s="398"/>
      <c r="DC109" s="398"/>
    </row>
    <row r="110" spans="22:107" s="340" customFormat="1" hidden="1" x14ac:dyDescent="0.25">
      <c r="V110" s="156"/>
      <c r="AA110" s="157"/>
      <c r="AB110" s="157"/>
      <c r="AD110" s="157"/>
      <c r="AG110" s="342"/>
      <c r="AH110" s="400"/>
      <c r="AI110" s="476"/>
      <c r="AJ110" s="476"/>
      <c r="AK110" s="476"/>
      <c r="AL110" s="460"/>
      <c r="AM110" s="460"/>
      <c r="AN110" s="460"/>
      <c r="AO110" s="476"/>
      <c r="AP110" s="476"/>
      <c r="AQ110" s="476"/>
      <c r="AR110" s="476"/>
      <c r="AS110" s="476"/>
      <c r="AT110" s="476"/>
      <c r="AU110" s="476"/>
      <c r="AV110" s="476"/>
      <c r="AW110" s="476"/>
      <c r="AX110" s="476"/>
      <c r="AY110" s="476"/>
      <c r="AZ110" s="476"/>
      <c r="BA110" s="489"/>
      <c r="BB110" s="476"/>
      <c r="BC110" s="476"/>
      <c r="BD110" s="489"/>
      <c r="BE110" s="489"/>
      <c r="BF110" s="489"/>
      <c r="BG110" s="489"/>
      <c r="BH110" s="476"/>
      <c r="BI110" s="476"/>
      <c r="BJ110" s="489"/>
      <c r="BK110" s="489"/>
      <c r="BL110" s="489"/>
      <c r="BM110" s="404"/>
      <c r="BN110" s="342"/>
      <c r="BO110" s="342"/>
      <c r="BP110" s="342"/>
      <c r="BQ110" s="342"/>
      <c r="BR110" s="342"/>
      <c r="BS110" s="342"/>
      <c r="BT110" s="342"/>
      <c r="BU110" s="342"/>
      <c r="BV110" s="342"/>
      <c r="BW110" s="342"/>
      <c r="BX110" s="342"/>
      <c r="BY110" s="342"/>
      <c r="BZ110" s="342"/>
      <c r="CA110" s="342"/>
      <c r="CB110" s="342"/>
      <c r="CC110" s="342"/>
      <c r="CD110" s="342"/>
      <c r="CE110" s="342"/>
      <c r="CF110" s="342"/>
      <c r="CG110" s="342"/>
      <c r="CH110" s="342"/>
      <c r="CI110" s="342"/>
      <c r="CJ110" s="342"/>
      <c r="CK110" s="342"/>
      <c r="CL110" s="342"/>
      <c r="CM110" s="342"/>
      <c r="CN110" s="342"/>
      <c r="CO110" s="342"/>
      <c r="CP110" s="342"/>
      <c r="CQ110" s="342"/>
      <c r="CR110" s="342"/>
      <c r="CS110" s="342"/>
      <c r="CT110" s="342"/>
      <c r="CU110" s="342"/>
      <c r="CV110" s="398"/>
      <c r="CW110" s="398"/>
      <c r="CX110" s="398"/>
      <c r="CY110" s="398"/>
      <c r="CZ110" s="398"/>
      <c r="DA110" s="398"/>
      <c r="DB110" s="398"/>
      <c r="DC110" s="398"/>
    </row>
    <row r="111" spans="22:107" hidden="1" x14ac:dyDescent="0.25"/>
    <row r="112" spans="22:107" hidden="1" x14ac:dyDescent="0.25"/>
    <row r="113" hidden="1" x14ac:dyDescent="0.25"/>
  </sheetData>
  <sheetProtection algorithmName="SHA-512" hashValue="3OFzTsj87hYKag2QDvdb6Vx9ywb9Bzo/dUhqCSdVR0RXmC82UdIay0UCg1gR/6lnWGqIY2hVn6OL34Y4cpsWyA==" saltValue="S1tvGWhkPe1QPWXxDicnRQ==" spinCount="100000" sheet="1" formatCells="0" formatColumns="0" formatRows="0" insertColumns="0" insertRows="0" insertHyperlinks="0" deleteColumns="0" deleteRows="0" sort="0" autoFilter="0" pivotTables="0"/>
  <protectedRanges>
    <protectedRange algorithmName="SHA-512" hashValue="JkwGMkyN6uDZy9K3UnLYKHbONkTneyvcBkZbw832pf3/OvzPn47/tOjWWFkoHruJFqsDNzL3ZtFhUW1rxpiesQ==" saltValue="hiIEQ6ppq6xjmWFZjcvCAg==" spinCount="100000" sqref="AO78:AP79 AV74:AW75 AV80:AW81 BB74:BC75 BB80:BC81 BH74:BI75 BH80:BI81 AV78:AV79 BB78:BB79 BH78:BH79 AO80:AT81 AO74:AT75 AR78:AS79 AR59:AS71 AO59:AO71" name="Rango1_10"/>
  </protectedRanges>
  <mergeCells count="72">
    <mergeCell ref="B13:AF13"/>
    <mergeCell ref="B21:AF21"/>
    <mergeCell ref="C9:K9"/>
    <mergeCell ref="C10:K10"/>
    <mergeCell ref="X14:AD14"/>
    <mergeCell ref="B16:B17"/>
    <mergeCell ref="B18:B19"/>
    <mergeCell ref="M7:AC7"/>
    <mergeCell ref="M8:AC8"/>
    <mergeCell ref="M9:AC9"/>
    <mergeCell ref="M10:AC10"/>
    <mergeCell ref="H1:I1"/>
    <mergeCell ref="C6:K6"/>
    <mergeCell ref="C7:K7"/>
    <mergeCell ref="C8:K8"/>
    <mergeCell ref="D1:F1"/>
    <mergeCell ref="D2:W3"/>
    <mergeCell ref="C2:C4"/>
    <mergeCell ref="B5:AC5"/>
    <mergeCell ref="M6:AC6"/>
    <mergeCell ref="AO57:AZ57"/>
    <mergeCell ref="BA57:BL57"/>
    <mergeCell ref="AH76:AH77"/>
    <mergeCell ref="AJ76:AJ77"/>
    <mergeCell ref="AL76:AL77"/>
    <mergeCell ref="AM76:AM77"/>
    <mergeCell ref="AN76:AN77"/>
    <mergeCell ref="AO76:AZ76"/>
    <mergeCell ref="BA76:BL76"/>
    <mergeCell ref="AH57:AH58"/>
    <mergeCell ref="AJ57:AJ58"/>
    <mergeCell ref="AL57:AL58"/>
    <mergeCell ref="AM57:AM58"/>
    <mergeCell ref="AN57:AN58"/>
    <mergeCell ref="BA82:BL82"/>
    <mergeCell ref="AH82:AH83"/>
    <mergeCell ref="AJ82:AJ83"/>
    <mergeCell ref="AL82:AL83"/>
    <mergeCell ref="AM82:AM83"/>
    <mergeCell ref="AN82:AN83"/>
    <mergeCell ref="AO82:AZ82"/>
    <mergeCell ref="B22:AF22"/>
    <mergeCell ref="B35:AF35"/>
    <mergeCell ref="B34:AF34"/>
    <mergeCell ref="AE14:AE15"/>
    <mergeCell ref="AF14:AF15"/>
    <mergeCell ref="B14:B15"/>
    <mergeCell ref="C14:C15"/>
    <mergeCell ref="D14:R14"/>
    <mergeCell ref="S14:W14"/>
    <mergeCell ref="B25:B28"/>
    <mergeCell ref="AE23:AE24"/>
    <mergeCell ref="AF23:AF24"/>
    <mergeCell ref="C23:C24"/>
    <mergeCell ref="D23:R23"/>
    <mergeCell ref="B23:B24"/>
    <mergeCell ref="B40:AF40"/>
    <mergeCell ref="B41:AA41"/>
    <mergeCell ref="B33:AA33"/>
    <mergeCell ref="B39:AA39"/>
    <mergeCell ref="B20:AA20"/>
    <mergeCell ref="AE36:AE37"/>
    <mergeCell ref="AF36:AF37"/>
    <mergeCell ref="D36:R36"/>
    <mergeCell ref="S36:W36"/>
    <mergeCell ref="X36:AD36"/>
    <mergeCell ref="B36:B37"/>
    <mergeCell ref="C36:C37"/>
    <mergeCell ref="S23:W23"/>
    <mergeCell ref="X23:AD23"/>
    <mergeCell ref="B31:B32"/>
    <mergeCell ref="B29:B30"/>
  </mergeCells>
  <dataValidations count="4">
    <dataValidation type="list" allowBlank="1" showInputMessage="1" showErrorMessage="1" sqref="C25:C28" xr:uid="{00000000-0002-0000-0600-000000000000}">
      <formula1>$AH$59:$AH$73</formula1>
    </dataValidation>
    <dataValidation type="list" allowBlank="1" showInputMessage="1" showErrorMessage="1" sqref="C29:C30 C16:C17" xr:uid="{00000000-0002-0000-0600-000001000000}">
      <formula1>$AH$78:$AH$79</formula1>
    </dataValidation>
    <dataValidation type="list" allowBlank="1" showInputMessage="1" showErrorMessage="1" sqref="C18:C19 C31:C32" xr:uid="{00000000-0002-0000-0600-000002000000}">
      <formula1>$AH$84:$AH$84</formula1>
    </dataValidation>
    <dataValidation type="list" allowBlank="1" showInputMessage="1" showErrorMessage="1" sqref="C38" xr:uid="{00000000-0002-0000-0600-000003000000}">
      <formula1>$AH$72:$AH$73</formula1>
    </dataValidation>
  </dataValidations>
  <hyperlinks>
    <hyperlink ref="Q15" location="'INSTRUCCIONES INCERTIDUMBRE'!C21" display="TOTAL" xr:uid="{00000000-0004-0000-0600-000000000000}"/>
    <hyperlink ref="R15" location="'INSTRUCCIONES INCERTIDUMBRE'!C22" display="No. DATOS" xr:uid="{00000000-0004-0000-0600-000001000000}"/>
    <hyperlink ref="S15" location="'INSTRUCCIONES INCERTIDUMBRE'!C23" display="PROMEDIO" xr:uid="{00000000-0004-0000-0600-000002000000}"/>
    <hyperlink ref="T15" location="'INSTRUCCIONES INCERTIDUMBRE'!C24" display="DESVIACION ESTÁNDAR" xr:uid="{00000000-0004-0000-0600-000003000000}"/>
    <hyperlink ref="U15" location="'INSTRUCCIONES INCERTIDUMBRE'!C25" display="FACTOR T" xr:uid="{00000000-0004-0000-0600-000004000000}"/>
    <hyperlink ref="W15" location="'INSTRUCCIONES INCERTIDUMBRE'!C26" display="INCERTIDUMBRE" xr:uid="{00000000-0004-0000-0600-000005000000}"/>
    <hyperlink ref="B44" location="MENÚ!A1" display="MENÚ" xr:uid="{00000000-0004-0000-0600-000006000000}"/>
    <hyperlink ref="B44:C44" location="'INSTRUCCIONES INCERTIDUMBRE'!A1" display="INSTRUCCIONES" xr:uid="{00000000-0004-0000-0600-000007000000}"/>
    <hyperlink ref="D1" location="'INSTRUCCIONES INCERTIDUMBRE'!A1" display="INSTRUCCIONES" xr:uid="{00000000-0004-0000-0600-000008000000}"/>
    <hyperlink ref="D15" location="'INSTRUCCIONES INCERTIDUMBRE'!C19" display="UNIDAD" xr:uid="{00000000-0004-0000-0600-000009000000}"/>
    <hyperlink ref="E15" location="'HC CORPORATIVA-INCERTIDUMBRE'!C20" display="DATO 1" xr:uid="{00000000-0004-0000-0600-00000A000000}"/>
    <hyperlink ref="Q24" location="'INSTRUCCIONES INCERTIDUMBRE'!C21" display="TOTAL" xr:uid="{00000000-0004-0000-0600-00000B000000}"/>
    <hyperlink ref="R24" location="'INSTRUCCIONES INCERTIDUMBRE'!C22" display="No. DATOS" xr:uid="{00000000-0004-0000-0600-00000C000000}"/>
    <hyperlink ref="S24" location="'INSTRUCCIONES INCERTIDUMBRE'!C23" display="PROMEDIO" xr:uid="{00000000-0004-0000-0600-00000D000000}"/>
    <hyperlink ref="T24" location="'INSTRUCCIONES INCERTIDUMBRE'!C24" display="DESVIACION ESTÁNDAR" xr:uid="{00000000-0004-0000-0600-00000E000000}"/>
    <hyperlink ref="U24" location="'INSTRUCCIONES INCERTIDUMBRE'!C25" display="FACTOR T" xr:uid="{00000000-0004-0000-0600-00000F000000}"/>
    <hyperlink ref="W24" location="'INSTRUCCIONES INCERTIDUMBRE'!C26" display="INCERTIDUMBRE" xr:uid="{00000000-0004-0000-0600-000010000000}"/>
    <hyperlink ref="AE23:AE24" location="'INSTRUCCIONES INCERTIDUMBRE'!C32" display="'INSTRUCCIONES INCERTIDUMBRE'!C32" xr:uid="{00000000-0004-0000-0600-000011000000}"/>
    <hyperlink ref="AF23:AF24" location="'INSTRUCCIONES INCERTIDUMBRE'!C34" display="INCERTIDUMBRE DE LA FUENTE" xr:uid="{00000000-0004-0000-0600-000012000000}"/>
    <hyperlink ref="D24" location="'INSTRUCCIONES INCERTIDUMBRE'!C19" display="UNIDAD" xr:uid="{00000000-0004-0000-0600-000013000000}"/>
    <hyperlink ref="E24" location="'HC CORPORATIVA-INCERTIDUMBRE'!C20" display="DATO 1" xr:uid="{00000000-0004-0000-0600-000014000000}"/>
    <hyperlink ref="Q37" location="'INSTRUCCIONES INCERTIDUMBRE'!C21" display="TOTAL" xr:uid="{00000000-0004-0000-0600-000015000000}"/>
    <hyperlink ref="R37" location="'INSTRUCCIONES INCERTIDUMBRE'!C22" display="No. DATOS" xr:uid="{00000000-0004-0000-0600-000016000000}"/>
    <hyperlink ref="S37" location="'INSTRUCCIONES INCERTIDUMBRE'!C23" display="PROMEDIO" xr:uid="{00000000-0004-0000-0600-000017000000}"/>
    <hyperlink ref="T37" location="'INSTRUCCIONES INCERTIDUMBRE'!C24" display="DESVIACION ESTÁNDAR" xr:uid="{00000000-0004-0000-0600-000018000000}"/>
    <hyperlink ref="U37" location="'INSTRUCCIONES INCERTIDUMBRE'!C25" display="FACTOR T" xr:uid="{00000000-0004-0000-0600-000019000000}"/>
    <hyperlink ref="W37" location="'INSTRUCCIONES INCERTIDUMBRE'!C26" display="INCERTIDUMBRE" xr:uid="{00000000-0004-0000-0600-00001A000000}"/>
    <hyperlink ref="AE36:AE37" location="'INSTRUCCIONES INCERTIDUMBRE'!C32" display="'INSTRUCCIONES INCERTIDUMBRE'!C32" xr:uid="{00000000-0004-0000-0600-00001B000000}"/>
    <hyperlink ref="AF36:AF37" location="'INSTRUCCIONES INCERTIDUMBRE'!C34" display="INCERTIDUMBRE DE LA FUENTE" xr:uid="{00000000-0004-0000-0600-00001C000000}"/>
    <hyperlink ref="D37" location="'INSTRUCCIONES INCERTIDUMBRE'!C19" display="UNIDAD" xr:uid="{00000000-0004-0000-0600-00001D000000}"/>
    <hyperlink ref="E37" location="'HC CORPORATIVA-INCERTIDUMBRE'!C20" display="DATO 1" xr:uid="{00000000-0004-0000-0600-00001E000000}"/>
    <hyperlink ref="H1:I1" location="'Resumen y Gráfica '!B90" display="CREDITOS" xr:uid="{00000000-0004-0000-0600-00001F000000}"/>
    <hyperlink ref="C10" r:id="rId1" xr:uid="{00000000-0004-0000-0600-000020000000}"/>
  </hyperlinks>
  <pageMargins left="0.7" right="0.7" top="0.75" bottom="0.75" header="0.3" footer="0.3"/>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39997558519241921"/>
  </sheetPr>
  <dimension ref="A2:S70"/>
  <sheetViews>
    <sheetView zoomScale="80" zoomScaleNormal="80" workbookViewId="0">
      <selection activeCell="C20" sqref="C20:E20"/>
    </sheetView>
  </sheetViews>
  <sheetFormatPr baseColWidth="10" defaultRowHeight="15" x14ac:dyDescent="0.25"/>
  <cols>
    <col min="1" max="1" width="14.28515625" style="51" customWidth="1"/>
    <col min="2" max="2" width="25.7109375" style="51" customWidth="1"/>
    <col min="3" max="3" width="14.85546875" style="51" customWidth="1"/>
    <col min="4" max="4" width="14.85546875" style="88" customWidth="1"/>
    <col min="5" max="9" width="14.85546875" style="51" customWidth="1"/>
    <col min="10" max="10" width="17.28515625" style="51" customWidth="1"/>
    <col min="11" max="16384" width="11.42578125" style="51"/>
  </cols>
  <sheetData>
    <row r="2" spans="1:19" ht="15.75" thickBot="1" x14ac:dyDescent="0.3"/>
    <row r="3" spans="1:19" ht="63.75" thickBot="1" x14ac:dyDescent="0.3">
      <c r="A3" s="426" t="s">
        <v>325</v>
      </c>
      <c r="B3" s="430" t="s">
        <v>324</v>
      </c>
      <c r="C3" s="429" t="s">
        <v>831</v>
      </c>
      <c r="D3" s="429" t="s">
        <v>832</v>
      </c>
      <c r="E3" s="429" t="s">
        <v>833</v>
      </c>
      <c r="F3" s="429" t="s">
        <v>834</v>
      </c>
      <c r="G3" s="429" t="s">
        <v>835</v>
      </c>
      <c r="H3" s="429" t="s">
        <v>836</v>
      </c>
      <c r="I3" s="428" t="s">
        <v>323</v>
      </c>
      <c r="J3" s="427" t="s">
        <v>322</v>
      </c>
    </row>
    <row r="4" spans="1:19" x14ac:dyDescent="0.25">
      <c r="A4" s="827">
        <v>1</v>
      </c>
      <c r="B4" s="93" t="s">
        <v>319</v>
      </c>
      <c r="C4" s="94">
        <f>'HC CORPORATIVA-INCERTIDUMBRE'!AB34</f>
        <v>3684.3679143225718</v>
      </c>
      <c r="D4" s="94">
        <f>'HC CORPORATIVA-INCERTIDUMBRE'!AI34</f>
        <v>1.6773712014187354</v>
      </c>
      <c r="E4" s="94">
        <f>'HC CORPORATIVA-INCERTIDUMBRE'!AP34</f>
        <v>4.3479332548328129</v>
      </c>
      <c r="F4" s="94">
        <f>'HC CORPORATIVA-INCERTIDUMBRE'!AV34</f>
        <v>0</v>
      </c>
      <c r="G4" s="94">
        <f>'HC CORPORATIVA-INCERTIDUMBRE'!BC34</f>
        <v>0</v>
      </c>
      <c r="H4" s="94">
        <f>'HC CORPORATIVA-INCERTIDUMBRE'!BF34</f>
        <v>3690.3932187788237</v>
      </c>
      <c r="I4" s="95">
        <f t="shared" ref="I4:I14" si="0">+H4/$H$14</f>
        <v>0.10999263169273946</v>
      </c>
      <c r="J4" s="645">
        <f>'HC CORPORATIVA-INCERTIDUMBRE'!BG34</f>
        <v>4.0781259292787947E-2</v>
      </c>
      <c r="Q4" s="90">
        <f>H4</f>
        <v>3690.3932187788237</v>
      </c>
      <c r="R4" s="51">
        <f>H4+(J4*H4)</f>
        <v>3840.892101526189</v>
      </c>
      <c r="S4" s="51">
        <f>H4-(J4*H4)</f>
        <v>3539.8943360314584</v>
      </c>
    </row>
    <row r="5" spans="1:19" x14ac:dyDescent="0.25">
      <c r="A5" s="828"/>
      <c r="B5" s="97" t="s">
        <v>318</v>
      </c>
      <c r="C5" s="98">
        <f>'HC CORPORATIVA-INCERTIDUMBRE'!AB64</f>
        <v>31.716842200000002</v>
      </c>
      <c r="D5" s="98">
        <f>'HC CORPORATIVA-INCERTIDUMBRE'!AI64</f>
        <v>4.3773926868294675</v>
      </c>
      <c r="E5" s="98">
        <f>'HC CORPORATIVA-INCERTIDUMBRE'!AP64</f>
        <v>4.1430115476278893</v>
      </c>
      <c r="F5" s="98">
        <f>'HC CORPORATIVA-INCERTIDUMBRE'!AV64</f>
        <v>94.563600000000037</v>
      </c>
      <c r="G5" s="98">
        <f>'HC CORPORATIVA-INCERTIDUMBRE'!BC64</f>
        <v>0</v>
      </c>
      <c r="H5" s="98">
        <f>'HC CORPORATIVA-INCERTIDUMBRE'!BF64</f>
        <v>134.80084643445738</v>
      </c>
      <c r="I5" s="99">
        <f t="shared" si="0"/>
        <v>4.0177560966365503E-3</v>
      </c>
      <c r="J5" s="646">
        <f>'HC CORPORATIVA-INCERTIDUMBRE'!BG64</f>
        <v>0.35368968540253903</v>
      </c>
      <c r="Q5" s="90">
        <f>H5</f>
        <v>134.80084643445738</v>
      </c>
      <c r="R5" s="51">
        <f>H5+(J5*H5)</f>
        <v>182.47851540185658</v>
      </c>
      <c r="S5" s="51">
        <f>H5-(J5*H5)</f>
        <v>87.123177467058184</v>
      </c>
    </row>
    <row r="6" spans="1:19" x14ac:dyDescent="0.25">
      <c r="A6" s="828"/>
      <c r="B6" s="97" t="s">
        <v>321</v>
      </c>
      <c r="C6" s="98">
        <f>'HC CORPORATIVA-INCERTIDUMBRE'!AB93</f>
        <v>0</v>
      </c>
      <c r="D6" s="98">
        <f>'HC CORPORATIVA-INCERTIDUMBRE'!AI93</f>
        <v>732.05481212982363</v>
      </c>
      <c r="E6" s="98">
        <f>'HC CORPORATIVA-INCERTIDUMBRE'!AP93</f>
        <v>0</v>
      </c>
      <c r="F6" s="98">
        <f>'HC CORPORATIVA-INCERTIDUMBRE'!AV93</f>
        <v>0</v>
      </c>
      <c r="G6" s="98">
        <f>'HC CORPORATIVA-INCERTIDUMBRE'!BC93</f>
        <v>0</v>
      </c>
      <c r="H6" s="98">
        <f>'HC CORPORATIVA-INCERTIDUMBRE'!BF93</f>
        <v>732.05481212982363</v>
      </c>
      <c r="I6" s="99">
        <f t="shared" si="0"/>
        <v>2.1818985283128742E-2</v>
      </c>
      <c r="J6" s="646">
        <f>'HC CORPORATIVA-INCERTIDUMBRE'!BG93</f>
        <v>0.86357541712546726</v>
      </c>
      <c r="Q6" s="90">
        <f>H6</f>
        <v>732.05481212982363</v>
      </c>
      <c r="R6" s="51">
        <f>H6+(J6*H6)</f>
        <v>1364.2393518735416</v>
      </c>
      <c r="S6" s="51">
        <f>H6-(J6*H6)</f>
        <v>99.870272386105626</v>
      </c>
    </row>
    <row r="7" spans="1:19" ht="21.95" customHeight="1" x14ac:dyDescent="0.25">
      <c r="A7" s="829"/>
      <c r="B7" s="126" t="s">
        <v>316</v>
      </c>
      <c r="C7" s="127">
        <f>'HC CORPORATIVA-INCERTIDUMBRE'!AB95</f>
        <v>3716.0847565225718</v>
      </c>
      <c r="D7" s="127">
        <f>'HC CORPORATIVA-INCERTIDUMBRE'!AI95</f>
        <v>738.10957601807183</v>
      </c>
      <c r="E7" s="127">
        <f>'HC CORPORATIVA-INCERTIDUMBRE'!AP95</f>
        <v>8.490944802460703</v>
      </c>
      <c r="F7" s="127">
        <f>'HC CORPORATIVA-INCERTIDUMBRE'!AV95</f>
        <v>94.563600000000037</v>
      </c>
      <c r="G7" s="127">
        <f>'HC CORPORATIVA-INCERTIDUMBRE'!BC95</f>
        <v>0</v>
      </c>
      <c r="H7" s="127">
        <f>'HC CORPORATIVA-INCERTIDUMBRE'!BF95</f>
        <v>4557.2488773431051</v>
      </c>
      <c r="I7" s="128">
        <f t="shared" si="0"/>
        <v>0.13582937307250476</v>
      </c>
      <c r="J7" s="647">
        <f>'HC CORPORATIVA-INCERTIDUMBRE'!BG95</f>
        <v>0.14298063021731786</v>
      </c>
      <c r="Q7" s="90"/>
    </row>
    <row r="8" spans="1:19" x14ac:dyDescent="0.25">
      <c r="A8" s="830">
        <v>2</v>
      </c>
      <c r="B8" s="97" t="s">
        <v>320</v>
      </c>
      <c r="C8" s="98">
        <f>'HC CORPORATIVA-INCERTIDUMBRE'!AB98</f>
        <v>28853.65416822</v>
      </c>
      <c r="D8" s="98">
        <f>'HC CORPORATIVA-INCERTIDUMBRE'!AI98</f>
        <v>0</v>
      </c>
      <c r="E8" s="98">
        <f>'HC CORPORATIVA-INCERTIDUMBRE'!AP98</f>
        <v>0</v>
      </c>
      <c r="F8" s="98">
        <f>'HC CORPORATIVA-INCERTIDUMBRE'!AV98</f>
        <v>0</v>
      </c>
      <c r="G8" s="98">
        <f>'HC CORPORATIVA-INCERTIDUMBRE'!BC98</f>
        <v>0</v>
      </c>
      <c r="H8" s="98">
        <f>'HC CORPORATIVA-INCERTIDUMBRE'!BF98</f>
        <v>28853.65416822</v>
      </c>
      <c r="I8" s="99">
        <f t="shared" si="0"/>
        <v>0.85998677316150463</v>
      </c>
      <c r="J8" s="646">
        <f>'HC CORPORATIVA-INCERTIDUMBRE'!BG98</f>
        <v>0.19511491795366442</v>
      </c>
      <c r="Q8" s="90">
        <f>H8</f>
        <v>28853.65416822</v>
      </c>
      <c r="R8" s="51">
        <f>H8+(J8*H8)</f>
        <v>34483.432533915649</v>
      </c>
      <c r="S8" s="51">
        <f>H8-(J8*H8)</f>
        <v>23223.875802524348</v>
      </c>
    </row>
    <row r="9" spans="1:19" ht="21.95" customHeight="1" x14ac:dyDescent="0.25">
      <c r="A9" s="830"/>
      <c r="B9" s="126" t="s">
        <v>316</v>
      </c>
      <c r="C9" s="127">
        <f>'HC CORPORATIVA-INCERTIDUMBRE'!AB99</f>
        <v>28853.65416822</v>
      </c>
      <c r="D9" s="127">
        <f>'HC CORPORATIVA-INCERTIDUMBRE'!AI99</f>
        <v>0</v>
      </c>
      <c r="E9" s="127">
        <f>'HC CORPORATIVA-INCERTIDUMBRE'!AP99</f>
        <v>0</v>
      </c>
      <c r="F9" s="127">
        <f>'HC CORPORATIVA-INCERTIDUMBRE'!AV99</f>
        <v>0</v>
      </c>
      <c r="G9" s="127">
        <f>'HC CORPORATIVA-INCERTIDUMBRE'!BC99</f>
        <v>0</v>
      </c>
      <c r="H9" s="127">
        <f>'HC CORPORATIVA-INCERTIDUMBRE'!BF99</f>
        <v>28853.65416822</v>
      </c>
      <c r="I9" s="128">
        <f t="shared" si="0"/>
        <v>0.85998677316150463</v>
      </c>
      <c r="J9" s="647">
        <f>'HC CORPORATIVA-INCERTIDUMBRE'!BG99</f>
        <v>0.19511491795366442</v>
      </c>
      <c r="Q9" s="90"/>
    </row>
    <row r="10" spans="1:19" x14ac:dyDescent="0.25">
      <c r="A10" s="830">
        <v>3</v>
      </c>
      <c r="B10" s="97" t="s">
        <v>319</v>
      </c>
      <c r="C10" s="98">
        <f>'HC CORPORATIVA-INCERTIDUMBRE'!AB123</f>
        <v>0</v>
      </c>
      <c r="D10" s="98">
        <f>'HC CORPORATIVA-INCERTIDUMBRE'!AI123</f>
        <v>0</v>
      </c>
      <c r="E10" s="98">
        <f>'HC CORPORATIVA-INCERTIDUMBRE'!AP123</f>
        <v>0</v>
      </c>
      <c r="F10" s="98">
        <f>'HC CORPORATIVA-INCERTIDUMBRE'!AV123</f>
        <v>0</v>
      </c>
      <c r="G10" s="98">
        <f>'HC CORPORATIVA-INCERTIDUMBRE'!BC123</f>
        <v>0</v>
      </c>
      <c r="H10" s="98">
        <f>'HC CORPORATIVA-INCERTIDUMBRE'!BF123</f>
        <v>0</v>
      </c>
      <c r="I10" s="99">
        <f t="shared" si="0"/>
        <v>0</v>
      </c>
      <c r="J10" s="646">
        <f>'HC CORPORATIVA-INCERTIDUMBRE'!BG123</f>
        <v>0</v>
      </c>
      <c r="Q10" s="90">
        <f>H10</f>
        <v>0</v>
      </c>
      <c r="R10" s="51">
        <f>H10+(J10*H10)</f>
        <v>0</v>
      </c>
      <c r="S10" s="51">
        <f>H10-(J10*H10)</f>
        <v>0</v>
      </c>
    </row>
    <row r="11" spans="1:19" x14ac:dyDescent="0.25">
      <c r="A11" s="830"/>
      <c r="B11" s="97" t="s">
        <v>318</v>
      </c>
      <c r="C11" s="98">
        <f>'HC CORPORATIVA-INCERTIDUMBRE'!AB150</f>
        <v>0</v>
      </c>
      <c r="D11" s="98">
        <f>'HC CORPORATIVA-INCERTIDUMBRE'!AI150</f>
        <v>0</v>
      </c>
      <c r="E11" s="98">
        <f>'HC CORPORATIVA-INCERTIDUMBRE'!AP150</f>
        <v>0</v>
      </c>
      <c r="F11" s="98">
        <f>'HC CORPORATIVA-INCERTIDUMBRE'!AV150</f>
        <v>0</v>
      </c>
      <c r="G11" s="98">
        <f>'HC CORPORATIVA-INCERTIDUMBRE'!BC150</f>
        <v>0</v>
      </c>
      <c r="H11" s="98">
        <f>'HC CORPORATIVA-INCERTIDUMBRE'!BF150</f>
        <v>0</v>
      </c>
      <c r="I11" s="99">
        <f t="shared" si="0"/>
        <v>0</v>
      </c>
      <c r="J11" s="646">
        <f>'HC CORPORATIVA-INCERTIDUMBRE'!BG150</f>
        <v>0</v>
      </c>
      <c r="Q11" s="90">
        <f>H11</f>
        <v>0</v>
      </c>
      <c r="R11" s="51">
        <f>H11+(J11*H11)</f>
        <v>0</v>
      </c>
      <c r="S11" s="51">
        <f>H11-(J11*H11)</f>
        <v>0</v>
      </c>
    </row>
    <row r="12" spans="1:19" x14ac:dyDescent="0.25">
      <c r="A12" s="830"/>
      <c r="B12" s="97" t="s">
        <v>317</v>
      </c>
      <c r="C12" s="98">
        <f>'HC CORPORATIVA-INCERTIDUMBRE'!AB176</f>
        <v>140.37363529499999</v>
      </c>
      <c r="D12" s="98">
        <f>'HC CORPORATIVA-INCERTIDUMBRE'!AI176</f>
        <v>0</v>
      </c>
      <c r="E12" s="98">
        <f>'HC CORPORATIVA-INCERTIDUMBRE'!AP176</f>
        <v>0</v>
      </c>
      <c r="F12" s="98">
        <f>'HC CORPORATIVA-INCERTIDUMBRE'!AV176</f>
        <v>0</v>
      </c>
      <c r="G12" s="98">
        <f>'HC CORPORATIVA-INCERTIDUMBRE'!BC176</f>
        <v>0</v>
      </c>
      <c r="H12" s="98">
        <f>'HC CORPORATIVA-INCERTIDUMBRE'!BF176</f>
        <v>140.37363529499999</v>
      </c>
      <c r="I12" s="99">
        <f t="shared" si="0"/>
        <v>4.1838537659905761E-3</v>
      </c>
      <c r="J12" s="646">
        <f>'HC CORPORATIVA-INCERTIDUMBRE'!BG176</f>
        <v>0.38912762928751909</v>
      </c>
      <c r="Q12" s="90"/>
    </row>
    <row r="13" spans="1:19" ht="21.95" customHeight="1" thickBot="1" x14ac:dyDescent="0.3">
      <c r="A13" s="831"/>
      <c r="B13" s="129" t="s">
        <v>316</v>
      </c>
      <c r="C13" s="130">
        <f>'HC CORPORATIVA-INCERTIDUMBRE'!AB178</f>
        <v>140.37363529499999</v>
      </c>
      <c r="D13" s="130">
        <f>'HC CORPORATIVA-INCERTIDUMBRE'!AI178</f>
        <v>0</v>
      </c>
      <c r="E13" s="130">
        <f>'HC CORPORATIVA-INCERTIDUMBRE'!AP178</f>
        <v>0</v>
      </c>
      <c r="F13" s="130">
        <f>'HC CORPORATIVA-INCERTIDUMBRE'!AV178</f>
        <v>0</v>
      </c>
      <c r="G13" s="130">
        <f>'HC CORPORATIVA-INCERTIDUMBRE'!BC178</f>
        <v>0</v>
      </c>
      <c r="H13" s="130">
        <f>'HC CORPORATIVA-INCERTIDUMBRE'!BF178</f>
        <v>140.37363529499999</v>
      </c>
      <c r="I13" s="131">
        <f t="shared" si="0"/>
        <v>4.1838537659905761E-3</v>
      </c>
      <c r="J13" s="648">
        <f>'HC CORPORATIVA-INCERTIDUMBRE'!BG178</f>
        <v>0.38912762928751909</v>
      </c>
      <c r="Q13" s="90"/>
    </row>
    <row r="14" spans="1:19" ht="30" customHeight="1" thickBot="1" x14ac:dyDescent="0.3">
      <c r="A14" s="823" t="s">
        <v>312</v>
      </c>
      <c r="B14" s="824"/>
      <c r="C14" s="443">
        <f>'HC CORPORATIVA-INCERTIDUMBRE'!AB180</f>
        <v>32710.112560037571</v>
      </c>
      <c r="D14" s="443">
        <f>'HC CORPORATIVA-INCERTIDUMBRE'!AI180</f>
        <v>738.10957601807183</v>
      </c>
      <c r="E14" s="443">
        <f>'HC CORPORATIVA-INCERTIDUMBRE'!AP180</f>
        <v>8.490944802460703</v>
      </c>
      <c r="F14" s="443">
        <f>'HC CORPORATIVA-INCERTIDUMBRE'!AV180</f>
        <v>94.563600000000037</v>
      </c>
      <c r="G14" s="443">
        <f>'HC CORPORATIVA-INCERTIDUMBRE'!BC180</f>
        <v>0</v>
      </c>
      <c r="H14" s="443">
        <f>'HC CORPORATIVA-INCERTIDUMBRE'!BF180</f>
        <v>33551.276680858107</v>
      </c>
      <c r="I14" s="444">
        <f t="shared" si="0"/>
        <v>1</v>
      </c>
      <c r="J14" s="649">
        <f>'HC CORPORATIVA-INCERTIDUMBRE'!BG180</f>
        <v>0.16892426019146004</v>
      </c>
      <c r="Q14" s="90"/>
    </row>
    <row r="15" spans="1:19" ht="15.75" thickBot="1" x14ac:dyDescent="0.3">
      <c r="H15" s="132" t="str">
        <f>IF((H7+H9+H13)=H14,"Correcto","Error")</f>
        <v>Correcto</v>
      </c>
      <c r="Q15" s="90"/>
    </row>
    <row r="16" spans="1:19" ht="60.75" customHeight="1" thickBot="1" x14ac:dyDescent="0.3">
      <c r="A16" s="825" t="s">
        <v>467</v>
      </c>
      <c r="B16" s="826" t="s">
        <v>324</v>
      </c>
      <c r="C16" s="429" t="s">
        <v>837</v>
      </c>
      <c r="D16" s="429" t="s">
        <v>323</v>
      </c>
      <c r="E16" s="427" t="s">
        <v>322</v>
      </c>
      <c r="Q16" s="90"/>
    </row>
    <row r="17" spans="1:17" x14ac:dyDescent="0.25">
      <c r="A17" s="832" t="s">
        <v>468</v>
      </c>
      <c r="B17" s="94" t="s">
        <v>319</v>
      </c>
      <c r="C17" s="94">
        <f>'HC CORPORATIVA-BIOMASA'!AE20</f>
        <v>216.46741315010905</v>
      </c>
      <c r="D17" s="95">
        <f>+C17/$C$20</f>
        <v>1.6199253825211458E-2</v>
      </c>
      <c r="E17" s="96">
        <f>'HC CORPORATIVA-BIOMASA'!AF20</f>
        <v>4.0960616287806492E-2</v>
      </c>
      <c r="Q17" s="90"/>
    </row>
    <row r="18" spans="1:17" x14ac:dyDescent="0.25">
      <c r="A18" s="833"/>
      <c r="B18" s="98" t="s">
        <v>318</v>
      </c>
      <c r="C18" s="98">
        <f>'HC CORPORATIVA-BIOMASA'!AE33</f>
        <v>13146.334076706993</v>
      </c>
      <c r="D18" s="99">
        <f>+C18/$C$20</f>
        <v>0.98380074617478852</v>
      </c>
      <c r="E18" s="100">
        <f>'HC CORPORATIVA-BIOMASA'!AF33</f>
        <v>0.10945976795215398</v>
      </c>
    </row>
    <row r="19" spans="1:17" ht="15.75" thickBot="1" x14ac:dyDescent="0.3">
      <c r="A19" s="834"/>
      <c r="B19" s="101" t="s">
        <v>321</v>
      </c>
      <c r="C19" s="101">
        <f>'HC CORPORATIVA-BIOMASA'!AE39</f>
        <v>0</v>
      </c>
      <c r="D19" s="102">
        <f>+C19/$C$20</f>
        <v>0</v>
      </c>
      <c r="E19" s="103">
        <f>'HC CORPORATIVA-BIOMASA'!AF39</f>
        <v>0</v>
      </c>
    </row>
    <row r="20" spans="1:17" ht="18.75" thickBot="1" x14ac:dyDescent="0.3">
      <c r="A20" s="823" t="s">
        <v>469</v>
      </c>
      <c r="B20" s="824"/>
      <c r="C20" s="443">
        <f>'HC CORPORATIVA-BIOMASA'!AE41</f>
        <v>13362.801489857102</v>
      </c>
      <c r="D20" s="444">
        <f>+C20/$C$20</f>
        <v>1</v>
      </c>
      <c r="E20" s="445">
        <f>'HC CORPORATIVA-BIOMASA'!AF41</f>
        <v>0.10768864560539619</v>
      </c>
    </row>
    <row r="21" spans="1:17" x14ac:dyDescent="0.25">
      <c r="C21" s="450"/>
    </row>
    <row r="24" spans="1:17" x14ac:dyDescent="0.25">
      <c r="A24" s="89" t="s">
        <v>327</v>
      </c>
    </row>
    <row r="25" spans="1:17" ht="15.75" thickBot="1" x14ac:dyDescent="0.3"/>
    <row r="26" spans="1:17" ht="30.75" thickBot="1" x14ac:dyDescent="0.3">
      <c r="B26" s="446" t="s">
        <v>326</v>
      </c>
      <c r="C26" s="427" t="s">
        <v>838</v>
      </c>
    </row>
    <row r="27" spans="1:17" x14ac:dyDescent="0.25">
      <c r="B27" s="106" t="s">
        <v>315</v>
      </c>
      <c r="C27" s="107">
        <f>+H7</f>
        <v>4557.2488773431051</v>
      </c>
    </row>
    <row r="28" spans="1:17" x14ac:dyDescent="0.25">
      <c r="B28" s="104" t="s">
        <v>314</v>
      </c>
      <c r="C28" s="105">
        <f>+H9</f>
        <v>28853.65416822</v>
      </c>
    </row>
    <row r="29" spans="1:17" ht="15.75" thickBot="1" x14ac:dyDescent="0.3">
      <c r="B29" s="108" t="s">
        <v>313</v>
      </c>
      <c r="C29" s="109">
        <f>+H13</f>
        <v>140.37363529499999</v>
      </c>
    </row>
    <row r="30" spans="1:17" ht="15.75" thickBot="1" x14ac:dyDescent="0.3">
      <c r="B30" s="446" t="s">
        <v>312</v>
      </c>
      <c r="C30" s="447">
        <f>SUM(C27:C29)</f>
        <v>33551.276680858107</v>
      </c>
    </row>
    <row r="33" spans="1:5" x14ac:dyDescent="0.25">
      <c r="A33" s="89" t="s">
        <v>328</v>
      </c>
    </row>
    <row r="34" spans="1:5" ht="15.75" thickBot="1" x14ac:dyDescent="0.3"/>
    <row r="35" spans="1:5" ht="48.75" thickBot="1" x14ac:dyDescent="0.3">
      <c r="B35" s="446" t="s">
        <v>473</v>
      </c>
      <c r="C35" s="446" t="s">
        <v>839</v>
      </c>
      <c r="D35" s="446" t="s">
        <v>840</v>
      </c>
      <c r="E35" s="446" t="s">
        <v>475</v>
      </c>
    </row>
    <row r="36" spans="1:5" ht="18" x14ac:dyDescent="0.25">
      <c r="B36" s="106" t="s">
        <v>471</v>
      </c>
      <c r="C36" s="107">
        <f>D36/'HC CORPORATIVA-INCERTIDUMBRE'!$BJ$547</f>
        <v>3716.0847565225718</v>
      </c>
      <c r="D36" s="107">
        <f>'HC CORPORATIVA-INCERTIDUMBRE'!AB95</f>
        <v>3716.0847565225718</v>
      </c>
      <c r="E36" s="110">
        <f>D36/D41</f>
        <v>0.81542282559934809</v>
      </c>
    </row>
    <row r="37" spans="1:5" ht="18" x14ac:dyDescent="0.25">
      <c r="B37" s="106" t="s">
        <v>298</v>
      </c>
      <c r="C37" s="107">
        <f>D37/'HC CORPORATIVA-INCERTIDUMBRE'!$BJ$548</f>
        <v>26.361056286359709</v>
      </c>
      <c r="D37" s="107">
        <f>'HC CORPORATIVA-INCERTIDUMBRE'!AI95</f>
        <v>738.10957601807183</v>
      </c>
      <c r="E37" s="110">
        <f>D37/D41</f>
        <v>0.1619638505344024</v>
      </c>
    </row>
    <row r="38" spans="1:5" ht="18" x14ac:dyDescent="0.25">
      <c r="B38" s="106" t="s">
        <v>306</v>
      </c>
      <c r="C38" s="107">
        <f>D38/'HC CORPORATIVA-INCERTIDUMBRE'!$BJ$549</f>
        <v>3.2041301141361146E-2</v>
      </c>
      <c r="D38" s="107">
        <f>'HC CORPORATIVA-INCERTIDUMBRE'!AP95</f>
        <v>8.490944802460703</v>
      </c>
      <c r="E38" s="110">
        <f>D38/D41</f>
        <v>1.8631733817905858E-3</v>
      </c>
    </row>
    <row r="39" spans="1:5" x14ac:dyDescent="0.25">
      <c r="B39" s="106" t="s">
        <v>542</v>
      </c>
      <c r="C39" s="107" t="s">
        <v>470</v>
      </c>
      <c r="D39" s="107">
        <f>'HC CORPORATIVA-INCERTIDUMBRE'!AV95</f>
        <v>94.563600000000037</v>
      </c>
      <c r="E39" s="110">
        <f>D39/D41</f>
        <v>2.0750150484458732E-2</v>
      </c>
    </row>
    <row r="40" spans="1:5" ht="18.75" thickBot="1" x14ac:dyDescent="0.3">
      <c r="B40" s="106" t="s">
        <v>472</v>
      </c>
      <c r="C40" s="107">
        <f>D40/'HC CORPORATIVA-INCERTIDUMBRE'!$BJ$550</f>
        <v>0</v>
      </c>
      <c r="D40" s="107">
        <f>'HC CORPORATIVA-INCERTIDUMBRE'!BC95</f>
        <v>0</v>
      </c>
      <c r="E40" s="110">
        <f>D40/D41</f>
        <v>0</v>
      </c>
    </row>
    <row r="41" spans="1:5" ht="15.75" thickBot="1" x14ac:dyDescent="0.3">
      <c r="B41" s="446" t="s">
        <v>147</v>
      </c>
      <c r="C41" s="448" t="s">
        <v>470</v>
      </c>
      <c r="D41" s="447">
        <f>SUM(D36:D40)</f>
        <v>4557.2488773431051</v>
      </c>
      <c r="E41" s="449">
        <f>SUM(E36:E40)</f>
        <v>0.99999999999999978</v>
      </c>
    </row>
    <row r="45" spans="1:5" x14ac:dyDescent="0.25">
      <c r="A45" s="89" t="s">
        <v>474</v>
      </c>
    </row>
    <row r="46" spans="1:5" ht="15.75" thickBot="1" x14ac:dyDescent="0.3"/>
    <row r="47" spans="1:5" ht="48.75" thickBot="1" x14ac:dyDescent="0.3">
      <c r="B47" s="446" t="s">
        <v>473</v>
      </c>
      <c r="C47" s="446" t="s">
        <v>839</v>
      </c>
      <c r="D47" s="446" t="s">
        <v>841</v>
      </c>
      <c r="E47" s="446" t="s">
        <v>323</v>
      </c>
    </row>
    <row r="48" spans="1:5" ht="18" x14ac:dyDescent="0.25">
      <c r="B48" s="106" t="s">
        <v>471</v>
      </c>
      <c r="C48" s="107">
        <f>D48/'HC CORPORATIVA-INCERTIDUMBRE'!$BJ$547</f>
        <v>32710.112560037571</v>
      </c>
      <c r="D48" s="107">
        <f>'HC CORPORATIVA-INCERTIDUMBRE'!AB180</f>
        <v>32710.112560037571</v>
      </c>
      <c r="E48" s="110">
        <f>D48/D53</f>
        <v>0.97492899811766498</v>
      </c>
    </row>
    <row r="49" spans="1:12" ht="18" x14ac:dyDescent="0.25">
      <c r="B49" s="106" t="s">
        <v>298</v>
      </c>
      <c r="C49" s="107">
        <f>D49/'HC CORPORATIVA-INCERTIDUMBRE'!$BJ$548</f>
        <v>26.361056286359709</v>
      </c>
      <c r="D49" s="107">
        <f>'HC CORPORATIVA-INCERTIDUMBRE'!AI180</f>
        <v>738.10957601807183</v>
      </c>
      <c r="E49" s="110">
        <f>D49/D53</f>
        <v>2.1999448278496744E-2</v>
      </c>
    </row>
    <row r="50" spans="1:12" ht="18" x14ac:dyDescent="0.25">
      <c r="B50" s="106" t="s">
        <v>306</v>
      </c>
      <c r="C50" s="107">
        <f>D50/'HC CORPORATIVA-INCERTIDUMBRE'!$BJ$549</f>
        <v>3.2041301141361146E-2</v>
      </c>
      <c r="D50" s="107">
        <f>'HC CORPORATIVA-INCERTIDUMBRE'!AP180</f>
        <v>8.490944802460703</v>
      </c>
      <c r="E50" s="110">
        <f>D50/D53</f>
        <v>2.5307367237399381E-4</v>
      </c>
    </row>
    <row r="51" spans="1:12" x14ac:dyDescent="0.25">
      <c r="B51" s="106" t="s">
        <v>542</v>
      </c>
      <c r="C51" s="107" t="s">
        <v>470</v>
      </c>
      <c r="D51" s="107">
        <f>'HC CORPORATIVA-INCERTIDUMBRE'!AV180</f>
        <v>94.563600000000037</v>
      </c>
      <c r="E51" s="110">
        <f>D51/D53</f>
        <v>2.8184799314641602E-3</v>
      </c>
    </row>
    <row r="52" spans="1:12" ht="18.75" thickBot="1" x14ac:dyDescent="0.3">
      <c r="B52" s="106" t="s">
        <v>472</v>
      </c>
      <c r="C52" s="107">
        <f>D52/'HC CORPORATIVA-INCERTIDUMBRE'!$BJ$550</f>
        <v>0</v>
      </c>
      <c r="D52" s="107">
        <f>'HC CORPORATIVA-INCERTIDUMBRE'!BC180</f>
        <v>0</v>
      </c>
      <c r="E52" s="110">
        <f>D52/D53</f>
        <v>0</v>
      </c>
    </row>
    <row r="53" spans="1:12" ht="15.75" thickBot="1" x14ac:dyDescent="0.3">
      <c r="B53" s="446" t="s">
        <v>843</v>
      </c>
      <c r="C53" s="448" t="s">
        <v>470</v>
      </c>
      <c r="D53" s="447">
        <f>SUM(D48:D52)</f>
        <v>33551.276680858107</v>
      </c>
      <c r="E53" s="449">
        <f>SUM(E48:E52)</f>
        <v>0.99999999999999989</v>
      </c>
    </row>
    <row r="59" spans="1:12" ht="15.75" x14ac:dyDescent="0.25">
      <c r="A59" s="89"/>
      <c r="B59" s="439" t="s">
        <v>347</v>
      </c>
      <c r="C59" s="438"/>
      <c r="D59" s="438"/>
      <c r="E59" s="437"/>
      <c r="F59" s="438"/>
      <c r="G59" s="438"/>
      <c r="H59" s="438"/>
      <c r="I59" s="438"/>
      <c r="J59" s="438"/>
      <c r="K59" s="438"/>
      <c r="L59" s="438"/>
    </row>
    <row r="60" spans="1:12" ht="15.75" x14ac:dyDescent="0.25">
      <c r="B60" s="439" t="s">
        <v>581</v>
      </c>
      <c r="C60" s="436"/>
      <c r="D60" s="436"/>
      <c r="E60" s="435"/>
      <c r="F60" s="436"/>
      <c r="G60" s="436"/>
      <c r="H60" s="436"/>
      <c r="I60" s="436"/>
      <c r="J60" s="436"/>
      <c r="K60" s="436"/>
      <c r="L60" s="436"/>
    </row>
    <row r="61" spans="1:12" ht="15.75" x14ac:dyDescent="0.25">
      <c r="B61" s="439" t="s">
        <v>582</v>
      </c>
      <c r="C61" s="436"/>
      <c r="D61" s="436"/>
      <c r="E61" s="435"/>
      <c r="F61" s="436"/>
      <c r="G61" s="436"/>
      <c r="H61" s="436"/>
      <c r="I61" s="436"/>
      <c r="J61" s="436"/>
      <c r="K61" s="436"/>
      <c r="L61" s="436"/>
    </row>
    <row r="62" spans="1:12" s="440" customFormat="1" ht="15.75" x14ac:dyDescent="0.25">
      <c r="B62" s="439" t="s">
        <v>583</v>
      </c>
      <c r="C62" s="436"/>
      <c r="D62" s="436"/>
      <c r="E62" s="435"/>
      <c r="F62" s="436"/>
      <c r="G62" s="436"/>
      <c r="H62" s="436"/>
      <c r="I62" s="436"/>
      <c r="J62" s="436"/>
      <c r="K62" s="436"/>
      <c r="L62" s="436"/>
    </row>
    <row r="63" spans="1:12" ht="15.75" x14ac:dyDescent="0.25">
      <c r="B63" s="434" t="s">
        <v>586</v>
      </c>
      <c r="C63" s="436"/>
      <c r="D63" s="436"/>
      <c r="E63" s="435"/>
      <c r="F63" s="436"/>
      <c r="G63" s="436"/>
      <c r="H63" s="436"/>
      <c r="I63" s="436"/>
      <c r="J63" s="436"/>
      <c r="K63" s="436"/>
      <c r="L63" s="436"/>
    </row>
    <row r="64" spans="1:12" ht="15.75" x14ac:dyDescent="0.25">
      <c r="B64" s="439" t="s">
        <v>584</v>
      </c>
      <c r="C64" s="436"/>
      <c r="D64" s="436"/>
      <c r="E64" s="435"/>
      <c r="F64" s="436"/>
      <c r="G64" s="436"/>
      <c r="H64" s="436"/>
      <c r="I64" s="436"/>
      <c r="J64" s="436"/>
      <c r="K64" s="436"/>
      <c r="L64" s="436"/>
    </row>
    <row r="65" spans="2:12" ht="15.75" x14ac:dyDescent="0.25">
      <c r="B65" s="434" t="s">
        <v>590</v>
      </c>
      <c r="C65" s="436"/>
      <c r="D65" s="436"/>
      <c r="E65" s="435"/>
      <c r="F65" s="436"/>
      <c r="G65" s="436"/>
      <c r="H65" s="436"/>
      <c r="I65" s="436"/>
      <c r="J65" s="436"/>
      <c r="K65" s="436"/>
      <c r="L65" s="436"/>
    </row>
    <row r="66" spans="2:12" ht="15.75" x14ac:dyDescent="0.25">
      <c r="B66" s="434" t="s">
        <v>588</v>
      </c>
      <c r="C66" s="436"/>
      <c r="D66" s="436"/>
      <c r="E66" s="435"/>
      <c r="F66" s="436"/>
      <c r="G66" s="436"/>
      <c r="H66" s="436"/>
      <c r="I66" s="436"/>
      <c r="J66" s="436"/>
      <c r="K66" s="436"/>
      <c r="L66" s="436"/>
    </row>
    <row r="67" spans="2:12" ht="15.75" x14ac:dyDescent="0.25">
      <c r="B67" s="434" t="s">
        <v>589</v>
      </c>
      <c r="C67" s="436"/>
      <c r="D67" s="436"/>
      <c r="E67" s="435"/>
      <c r="F67" s="436"/>
      <c r="G67" s="436"/>
      <c r="H67" s="436"/>
      <c r="I67" s="436"/>
      <c r="J67" s="436"/>
      <c r="K67" s="436"/>
      <c r="L67" s="436"/>
    </row>
    <row r="68" spans="2:12" ht="15.75" x14ac:dyDescent="0.25">
      <c r="B68" s="434" t="s">
        <v>587</v>
      </c>
      <c r="C68" s="436"/>
      <c r="D68" s="436"/>
      <c r="E68" s="435"/>
      <c r="F68" s="436"/>
      <c r="G68" s="436"/>
      <c r="H68" s="436"/>
      <c r="I68" s="436"/>
      <c r="J68" s="436"/>
      <c r="K68" s="436"/>
      <c r="L68" s="436"/>
    </row>
    <row r="69" spans="2:12" ht="15.75" x14ac:dyDescent="0.25">
      <c r="B69" s="434" t="s">
        <v>591</v>
      </c>
      <c r="C69" s="436"/>
      <c r="D69" s="436"/>
      <c r="E69" s="435"/>
      <c r="F69" s="436"/>
      <c r="G69" s="436"/>
      <c r="H69" s="436"/>
      <c r="I69" s="436"/>
      <c r="J69" s="436"/>
      <c r="K69" s="436"/>
      <c r="L69" s="436"/>
    </row>
    <row r="70" spans="2:12" ht="16.5" thickBot="1" x14ac:dyDescent="0.3">
      <c r="B70" s="433" t="s">
        <v>585</v>
      </c>
      <c r="C70" s="432"/>
      <c r="D70" s="432"/>
      <c r="E70" s="431"/>
      <c r="F70" s="432"/>
      <c r="G70" s="432"/>
      <c r="H70" s="432"/>
      <c r="I70" s="432"/>
      <c r="J70" s="432"/>
      <c r="K70" s="432"/>
      <c r="L70" s="432"/>
    </row>
  </sheetData>
  <sheetProtection password="F496" sheet="1" objects="1" scenarios="1" formatCells="0" insertRows="0"/>
  <mergeCells count="7">
    <mergeCell ref="A20:B20"/>
    <mergeCell ref="A16:B16"/>
    <mergeCell ref="A4:A7"/>
    <mergeCell ref="A8:A9"/>
    <mergeCell ref="A10:A13"/>
    <mergeCell ref="A14:B14"/>
    <mergeCell ref="A17:A19"/>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35"/>
  <sheetViews>
    <sheetView topLeftCell="A19" workbookViewId="0">
      <selection activeCell="E16" sqref="E16"/>
    </sheetView>
  </sheetViews>
  <sheetFormatPr baseColWidth="10" defaultRowHeight="15" x14ac:dyDescent="0.25"/>
  <cols>
    <col min="1" max="1" width="60.28515625" bestFit="1" customWidth="1"/>
    <col min="2" max="2" width="13" customWidth="1"/>
    <col min="3" max="3" width="15.42578125" customWidth="1"/>
    <col min="5" max="5" width="11.5703125" bestFit="1" customWidth="1"/>
    <col min="7" max="7" width="14.42578125" customWidth="1"/>
  </cols>
  <sheetData>
    <row r="1" spans="1:13" ht="26.25" customHeight="1" x14ac:dyDescent="0.25">
      <c r="A1" s="82" t="s">
        <v>264</v>
      </c>
      <c r="B1" s="836" t="s">
        <v>298</v>
      </c>
      <c r="C1" s="836"/>
      <c r="D1" s="836"/>
      <c r="E1" s="836" t="s">
        <v>306</v>
      </c>
      <c r="F1" s="836"/>
      <c r="G1" s="836"/>
      <c r="H1" s="836"/>
      <c r="I1" s="836"/>
      <c r="J1" s="836"/>
      <c r="K1" s="836"/>
      <c r="M1" s="84"/>
    </row>
    <row r="2" spans="1:13" s="50" customFormat="1" ht="26.25" customHeight="1" x14ac:dyDescent="0.25">
      <c r="A2" s="82"/>
      <c r="B2" s="82"/>
      <c r="C2" s="82"/>
      <c r="D2" s="82"/>
      <c r="G2" s="81" t="s">
        <v>303</v>
      </c>
      <c r="H2"/>
      <c r="I2" s="81" t="s">
        <v>305</v>
      </c>
      <c r="L2" s="84"/>
      <c r="M2" s="84"/>
    </row>
    <row r="3" spans="1:13" ht="33" customHeight="1" x14ac:dyDescent="0.25">
      <c r="A3" s="81" t="s">
        <v>295</v>
      </c>
      <c r="B3" s="835" t="s">
        <v>296</v>
      </c>
      <c r="C3" s="835" t="s">
        <v>297</v>
      </c>
      <c r="D3" s="835"/>
      <c r="E3" s="837" t="s">
        <v>299</v>
      </c>
      <c r="F3" s="835" t="s">
        <v>300</v>
      </c>
      <c r="G3" s="835" t="s">
        <v>302</v>
      </c>
      <c r="H3" s="835" t="s">
        <v>301</v>
      </c>
      <c r="I3" s="835" t="s">
        <v>304</v>
      </c>
      <c r="J3" s="835" t="s">
        <v>297</v>
      </c>
      <c r="K3" s="835"/>
      <c r="L3" s="835" t="s">
        <v>307</v>
      </c>
      <c r="M3" s="835"/>
    </row>
    <row r="4" spans="1:13" s="50" customFormat="1" x14ac:dyDescent="0.25">
      <c r="A4" s="81"/>
      <c r="B4" s="835"/>
      <c r="C4" s="83">
        <v>1995</v>
      </c>
      <c r="D4" s="81">
        <v>2007</v>
      </c>
      <c r="E4" s="837"/>
      <c r="F4" s="835"/>
      <c r="G4" s="835"/>
      <c r="H4" s="835"/>
      <c r="I4" s="835"/>
      <c r="J4" s="81">
        <v>1995</v>
      </c>
      <c r="K4" s="81">
        <v>2007</v>
      </c>
      <c r="L4" s="81">
        <v>1995</v>
      </c>
      <c r="M4" s="81">
        <v>2007</v>
      </c>
    </row>
    <row r="5" spans="1:13" s="50" customFormat="1" x14ac:dyDescent="0.25">
      <c r="A5" s="81">
        <v>0</v>
      </c>
      <c r="B5" s="83">
        <v>0</v>
      </c>
      <c r="C5" s="83">
        <v>0</v>
      </c>
      <c r="D5" s="81">
        <v>0</v>
      </c>
      <c r="E5" s="81">
        <v>0</v>
      </c>
      <c r="F5" s="83">
        <v>0</v>
      </c>
      <c r="G5" s="83">
        <v>0</v>
      </c>
      <c r="H5" s="83">
        <v>0</v>
      </c>
      <c r="I5" s="83">
        <v>0</v>
      </c>
      <c r="J5" s="81">
        <v>0</v>
      </c>
      <c r="K5" s="81">
        <v>0</v>
      </c>
      <c r="L5" s="81">
        <v>0</v>
      </c>
      <c r="M5" s="81">
        <v>0</v>
      </c>
    </row>
    <row r="6" spans="1:13" x14ac:dyDescent="0.25">
      <c r="A6" s="50" t="s">
        <v>265</v>
      </c>
      <c r="B6">
        <v>1</v>
      </c>
      <c r="C6" s="85">
        <f>+B6*21</f>
        <v>21</v>
      </c>
      <c r="D6" s="85">
        <f>+B6*25</f>
        <v>25</v>
      </c>
      <c r="E6">
        <v>40</v>
      </c>
      <c r="F6">
        <v>0.99</v>
      </c>
      <c r="G6" s="85">
        <f>+E6*F6</f>
        <v>39.6</v>
      </c>
      <c r="H6">
        <v>0.02</v>
      </c>
      <c r="I6" s="86">
        <f>+G6*H6*44/28</f>
        <v>1.2445714285714284</v>
      </c>
      <c r="J6" s="86">
        <f>+I6*310</f>
        <v>385.81714285714281</v>
      </c>
      <c r="K6" s="86">
        <f>+I6*298</f>
        <v>370.88228571428567</v>
      </c>
      <c r="L6" s="87">
        <f>+C6+J6</f>
        <v>406.81714285714281</v>
      </c>
      <c r="M6" s="87">
        <f>+D6+K6</f>
        <v>395.88228571428567</v>
      </c>
    </row>
    <row r="7" spans="1:13" x14ac:dyDescent="0.25">
      <c r="A7" s="50" t="s">
        <v>266</v>
      </c>
      <c r="B7">
        <v>1</v>
      </c>
      <c r="C7" s="85">
        <f t="shared" ref="C7:C35" si="0">+B7*21</f>
        <v>21</v>
      </c>
      <c r="D7" s="85">
        <f t="shared" ref="D7:D35" si="1">+B7*25</f>
        <v>25</v>
      </c>
      <c r="E7">
        <v>40</v>
      </c>
      <c r="F7">
        <v>0.99</v>
      </c>
      <c r="G7" s="85">
        <f t="shared" ref="G7:G35" si="2">+E7*F7</f>
        <v>39.6</v>
      </c>
      <c r="H7">
        <v>0.02</v>
      </c>
      <c r="I7" s="86">
        <f t="shared" ref="I7:I35" si="3">+G7*H7*44/28</f>
        <v>1.2445714285714284</v>
      </c>
      <c r="J7" s="86">
        <f t="shared" ref="J7:J35" si="4">+I7*310</f>
        <v>385.81714285714281</v>
      </c>
      <c r="K7" s="86">
        <f t="shared" ref="K7:K35" si="5">+I7*298</f>
        <v>370.88228571428567</v>
      </c>
      <c r="L7" s="87">
        <f t="shared" ref="L7:L35" si="6">+C7+J7</f>
        <v>406.81714285714281</v>
      </c>
      <c r="M7" s="87">
        <f t="shared" ref="M7:M35" si="7">+D7+K7</f>
        <v>395.88228571428567</v>
      </c>
    </row>
    <row r="8" spans="1:13" x14ac:dyDescent="0.25">
      <c r="A8" s="50" t="s">
        <v>267</v>
      </c>
      <c r="B8">
        <v>1</v>
      </c>
      <c r="C8" s="85">
        <f t="shared" si="0"/>
        <v>21</v>
      </c>
      <c r="D8" s="85">
        <f t="shared" si="1"/>
        <v>25</v>
      </c>
      <c r="E8">
        <v>40</v>
      </c>
      <c r="F8">
        <v>0.99</v>
      </c>
      <c r="G8" s="85">
        <f t="shared" si="2"/>
        <v>39.6</v>
      </c>
      <c r="H8">
        <v>0.02</v>
      </c>
      <c r="I8" s="86">
        <f t="shared" si="3"/>
        <v>1.2445714285714284</v>
      </c>
      <c r="J8" s="86">
        <f t="shared" si="4"/>
        <v>385.81714285714281</v>
      </c>
      <c r="K8" s="86">
        <f t="shared" si="5"/>
        <v>370.88228571428567</v>
      </c>
      <c r="L8" s="87">
        <f t="shared" si="6"/>
        <v>406.81714285714281</v>
      </c>
      <c r="M8" s="87">
        <f t="shared" si="7"/>
        <v>395.88228571428567</v>
      </c>
    </row>
    <row r="9" spans="1:13" x14ac:dyDescent="0.25">
      <c r="A9" s="50" t="s">
        <v>268</v>
      </c>
      <c r="B9">
        <v>0</v>
      </c>
      <c r="C9" s="85">
        <f t="shared" si="0"/>
        <v>0</v>
      </c>
      <c r="D9" s="85">
        <f t="shared" si="1"/>
        <v>0</v>
      </c>
      <c r="E9">
        <v>70</v>
      </c>
      <c r="F9">
        <v>0.36</v>
      </c>
      <c r="G9" s="85">
        <f t="shared" si="2"/>
        <v>25.2</v>
      </c>
      <c r="H9">
        <v>0.02</v>
      </c>
      <c r="I9" s="86">
        <f t="shared" si="3"/>
        <v>0.79200000000000004</v>
      </c>
      <c r="J9" s="86">
        <f t="shared" si="4"/>
        <v>245.52</v>
      </c>
      <c r="K9" s="86">
        <f t="shared" si="5"/>
        <v>236.01600000000002</v>
      </c>
      <c r="L9" s="87">
        <f t="shared" si="6"/>
        <v>245.52</v>
      </c>
      <c r="M9" s="87">
        <f t="shared" si="7"/>
        <v>236.01600000000002</v>
      </c>
    </row>
    <row r="10" spans="1:13" x14ac:dyDescent="0.25">
      <c r="A10" s="50" t="s">
        <v>269</v>
      </c>
      <c r="B10">
        <v>1</v>
      </c>
      <c r="C10" s="85">
        <f t="shared" si="0"/>
        <v>21</v>
      </c>
      <c r="D10" s="85">
        <f t="shared" si="1"/>
        <v>25</v>
      </c>
      <c r="E10">
        <v>70</v>
      </c>
      <c r="F10">
        <v>0.36</v>
      </c>
      <c r="G10" s="85">
        <f t="shared" si="2"/>
        <v>25.2</v>
      </c>
      <c r="H10">
        <v>0.02</v>
      </c>
      <c r="I10" s="86">
        <f t="shared" si="3"/>
        <v>0.79200000000000004</v>
      </c>
      <c r="J10" s="86">
        <f t="shared" si="4"/>
        <v>245.52</v>
      </c>
      <c r="K10" s="86">
        <f t="shared" si="5"/>
        <v>236.01600000000002</v>
      </c>
      <c r="L10" s="87">
        <f t="shared" si="6"/>
        <v>266.52</v>
      </c>
      <c r="M10" s="87">
        <f t="shared" si="7"/>
        <v>261.01600000000002</v>
      </c>
    </row>
    <row r="11" spans="1:13" x14ac:dyDescent="0.25">
      <c r="A11" s="50" t="s">
        <v>270</v>
      </c>
      <c r="B11">
        <v>2</v>
      </c>
      <c r="C11" s="85">
        <f t="shared" si="0"/>
        <v>42</v>
      </c>
      <c r="D11" s="85">
        <f t="shared" si="1"/>
        <v>50</v>
      </c>
      <c r="E11">
        <v>70</v>
      </c>
      <c r="F11">
        <v>0.36</v>
      </c>
      <c r="G11" s="85">
        <f t="shared" si="2"/>
        <v>25.2</v>
      </c>
      <c r="H11">
        <v>0.02</v>
      </c>
      <c r="I11" s="86">
        <f t="shared" si="3"/>
        <v>0.79200000000000004</v>
      </c>
      <c r="J11" s="86">
        <f t="shared" si="4"/>
        <v>245.52</v>
      </c>
      <c r="K11" s="86">
        <f t="shared" si="5"/>
        <v>236.01600000000002</v>
      </c>
      <c r="L11" s="87">
        <f t="shared" si="6"/>
        <v>287.52</v>
      </c>
      <c r="M11" s="87">
        <f t="shared" si="7"/>
        <v>286.01600000000002</v>
      </c>
    </row>
    <row r="12" spans="1:13" x14ac:dyDescent="0.25">
      <c r="A12" s="50" t="s">
        <v>271</v>
      </c>
      <c r="B12">
        <v>1.2E-2</v>
      </c>
      <c r="C12" s="85">
        <f t="shared" si="0"/>
        <v>0.252</v>
      </c>
      <c r="D12" s="85">
        <f t="shared" si="1"/>
        <v>0.3</v>
      </c>
      <c r="E12">
        <v>0.6</v>
      </c>
      <c r="F12">
        <v>0.42</v>
      </c>
      <c r="G12" s="85">
        <f t="shared" si="2"/>
        <v>0.252</v>
      </c>
      <c r="H12">
        <v>0.02</v>
      </c>
      <c r="I12" s="86">
        <f t="shared" si="3"/>
        <v>7.92E-3</v>
      </c>
      <c r="J12" s="86">
        <f t="shared" si="4"/>
        <v>2.4552</v>
      </c>
      <c r="K12" s="86">
        <f t="shared" si="5"/>
        <v>2.36016</v>
      </c>
      <c r="L12" s="87">
        <f t="shared" si="6"/>
        <v>2.7072000000000003</v>
      </c>
      <c r="M12" s="87">
        <f t="shared" si="7"/>
        <v>2.6601599999999999</v>
      </c>
    </row>
    <row r="13" spans="1:13" x14ac:dyDescent="0.25">
      <c r="A13" s="50" t="s">
        <v>272</v>
      </c>
      <c r="B13">
        <v>1.7999999999999999E-2</v>
      </c>
      <c r="C13" s="85">
        <f t="shared" si="0"/>
        <v>0.37799999999999995</v>
      </c>
      <c r="D13" s="85">
        <f t="shared" si="1"/>
        <v>0.44999999999999996</v>
      </c>
      <c r="E13">
        <v>0.6</v>
      </c>
      <c r="F13">
        <v>0.42</v>
      </c>
      <c r="G13" s="85">
        <f t="shared" si="2"/>
        <v>0.252</v>
      </c>
      <c r="H13">
        <v>0.02</v>
      </c>
      <c r="I13" s="86">
        <f t="shared" si="3"/>
        <v>7.92E-3</v>
      </c>
      <c r="J13" s="86">
        <f t="shared" si="4"/>
        <v>2.4552</v>
      </c>
      <c r="K13" s="86">
        <f t="shared" si="5"/>
        <v>2.36016</v>
      </c>
      <c r="L13" s="87">
        <f t="shared" si="6"/>
        <v>2.8332000000000002</v>
      </c>
      <c r="M13" s="87">
        <f t="shared" si="7"/>
        <v>2.8101599999999998</v>
      </c>
    </row>
    <row r="14" spans="1:13" x14ac:dyDescent="0.25">
      <c r="A14" s="50" t="s">
        <v>273</v>
      </c>
      <c r="B14">
        <v>2.3E-2</v>
      </c>
      <c r="C14" s="85">
        <f t="shared" si="0"/>
        <v>0.48299999999999998</v>
      </c>
      <c r="D14" s="85">
        <f t="shared" si="1"/>
        <v>0.57499999999999996</v>
      </c>
      <c r="E14">
        <v>0.6</v>
      </c>
      <c r="F14">
        <v>0.42</v>
      </c>
      <c r="G14" s="85">
        <f t="shared" si="2"/>
        <v>0.252</v>
      </c>
      <c r="H14">
        <v>0.02</v>
      </c>
      <c r="I14" s="86">
        <f t="shared" si="3"/>
        <v>7.92E-3</v>
      </c>
      <c r="J14" s="86">
        <f t="shared" si="4"/>
        <v>2.4552</v>
      </c>
      <c r="K14" s="86">
        <f t="shared" si="5"/>
        <v>2.36016</v>
      </c>
      <c r="L14" s="87">
        <f t="shared" si="6"/>
        <v>2.9382000000000001</v>
      </c>
      <c r="M14" s="87">
        <f t="shared" si="7"/>
        <v>2.9351599999999998</v>
      </c>
    </row>
    <row r="15" spans="1:13" x14ac:dyDescent="0.25">
      <c r="A15" s="50" t="s">
        <v>274</v>
      </c>
      <c r="B15">
        <v>0.1</v>
      </c>
      <c r="C15" s="85">
        <f t="shared" si="0"/>
        <v>2.1</v>
      </c>
      <c r="D15" s="85">
        <f t="shared" si="1"/>
        <v>2.5</v>
      </c>
      <c r="E15">
        <v>12</v>
      </c>
      <c r="F15">
        <v>1</v>
      </c>
      <c r="G15" s="85">
        <f t="shared" si="2"/>
        <v>12</v>
      </c>
      <c r="H15">
        <v>0.02</v>
      </c>
      <c r="I15" s="86">
        <f t="shared" si="3"/>
        <v>0.37714285714285711</v>
      </c>
      <c r="J15" s="86">
        <f t="shared" si="4"/>
        <v>116.91428571428571</v>
      </c>
      <c r="K15" s="86">
        <f t="shared" si="5"/>
        <v>112.38857142857142</v>
      </c>
      <c r="L15" s="87">
        <f t="shared" si="6"/>
        <v>119.01428571428571</v>
      </c>
      <c r="M15" s="87">
        <f t="shared" si="7"/>
        <v>114.88857142857142</v>
      </c>
    </row>
    <row r="16" spans="1:13" x14ac:dyDescent="0.25">
      <c r="A16" s="50" t="s">
        <v>275</v>
      </c>
      <c r="B16">
        <v>0.16</v>
      </c>
      <c r="C16" s="85">
        <f t="shared" si="0"/>
        <v>3.36</v>
      </c>
      <c r="D16" s="85">
        <f t="shared" si="1"/>
        <v>4</v>
      </c>
      <c r="E16">
        <v>12</v>
      </c>
      <c r="F16">
        <v>1</v>
      </c>
      <c r="G16" s="85">
        <f t="shared" si="2"/>
        <v>12</v>
      </c>
      <c r="H16">
        <v>0.02</v>
      </c>
      <c r="I16" s="86">
        <f t="shared" si="3"/>
        <v>0.37714285714285711</v>
      </c>
      <c r="J16" s="86">
        <f t="shared" si="4"/>
        <v>116.91428571428571</v>
      </c>
      <c r="K16" s="86">
        <f t="shared" si="5"/>
        <v>112.38857142857142</v>
      </c>
      <c r="L16" s="87">
        <f t="shared" si="6"/>
        <v>120.27428571428571</v>
      </c>
      <c r="M16" s="87">
        <f t="shared" si="7"/>
        <v>116.38857142857142</v>
      </c>
    </row>
    <row r="17" spans="1:13" x14ac:dyDescent="0.25">
      <c r="A17" s="50" t="s">
        <v>276</v>
      </c>
      <c r="B17">
        <v>0.21</v>
      </c>
      <c r="C17" s="85">
        <f t="shared" si="0"/>
        <v>4.41</v>
      </c>
      <c r="D17" s="85">
        <f t="shared" si="1"/>
        <v>5.25</v>
      </c>
      <c r="E17">
        <v>12</v>
      </c>
      <c r="F17">
        <v>1</v>
      </c>
      <c r="G17" s="85">
        <f t="shared" si="2"/>
        <v>12</v>
      </c>
      <c r="H17">
        <v>0.02</v>
      </c>
      <c r="I17" s="86">
        <f t="shared" si="3"/>
        <v>0.37714285714285711</v>
      </c>
      <c r="J17" s="86">
        <f t="shared" si="4"/>
        <v>116.91428571428571</v>
      </c>
      <c r="K17" s="86">
        <f t="shared" si="5"/>
        <v>112.38857142857142</v>
      </c>
      <c r="L17" s="87">
        <f t="shared" si="6"/>
        <v>121.32428571428571</v>
      </c>
      <c r="M17" s="87">
        <f t="shared" si="7"/>
        <v>117.63857142857142</v>
      </c>
    </row>
    <row r="18" spans="1:13" x14ac:dyDescent="0.25">
      <c r="A18" s="50" t="s">
        <v>277</v>
      </c>
      <c r="B18">
        <v>0</v>
      </c>
      <c r="C18" s="85">
        <f t="shared" si="0"/>
        <v>0</v>
      </c>
      <c r="D18" s="85">
        <f t="shared" si="1"/>
        <v>0</v>
      </c>
      <c r="E18">
        <v>16</v>
      </c>
      <c r="F18">
        <v>0.51</v>
      </c>
      <c r="G18" s="85">
        <f t="shared" si="2"/>
        <v>8.16</v>
      </c>
      <c r="H18">
        <v>0.02</v>
      </c>
      <c r="I18" s="86">
        <f t="shared" si="3"/>
        <v>0.25645714285714288</v>
      </c>
      <c r="J18" s="86">
        <f t="shared" si="4"/>
        <v>79.5017142857143</v>
      </c>
      <c r="K18" s="86">
        <f t="shared" si="5"/>
        <v>76.424228571428586</v>
      </c>
      <c r="L18" s="87">
        <f t="shared" si="6"/>
        <v>79.5017142857143</v>
      </c>
      <c r="M18" s="87">
        <f t="shared" si="7"/>
        <v>76.424228571428586</v>
      </c>
    </row>
    <row r="19" spans="1:13" x14ac:dyDescent="0.25">
      <c r="A19" s="50" t="s">
        <v>278</v>
      </c>
      <c r="B19">
        <v>1</v>
      </c>
      <c r="C19" s="85">
        <f t="shared" si="0"/>
        <v>21</v>
      </c>
      <c r="D19" s="85">
        <f t="shared" si="1"/>
        <v>25</v>
      </c>
      <c r="E19">
        <v>16</v>
      </c>
      <c r="F19">
        <v>0.51</v>
      </c>
      <c r="G19" s="85">
        <f t="shared" si="2"/>
        <v>8.16</v>
      </c>
      <c r="H19">
        <v>0.02</v>
      </c>
      <c r="I19" s="86">
        <f t="shared" si="3"/>
        <v>0.25645714285714288</v>
      </c>
      <c r="J19" s="86">
        <f t="shared" si="4"/>
        <v>79.5017142857143</v>
      </c>
      <c r="K19" s="86">
        <f t="shared" si="5"/>
        <v>76.424228571428586</v>
      </c>
      <c r="L19" s="87">
        <f t="shared" si="6"/>
        <v>100.5017142857143</v>
      </c>
      <c r="M19" s="87">
        <f t="shared" si="7"/>
        <v>101.42422857142859</v>
      </c>
    </row>
    <row r="20" spans="1:13" x14ac:dyDescent="0.25">
      <c r="A20" s="50" t="s">
        <v>279</v>
      </c>
      <c r="B20">
        <v>2</v>
      </c>
      <c r="C20" s="85">
        <f t="shared" si="0"/>
        <v>42</v>
      </c>
      <c r="D20" s="85">
        <f t="shared" si="1"/>
        <v>50</v>
      </c>
      <c r="E20">
        <v>16</v>
      </c>
      <c r="F20">
        <v>0.51</v>
      </c>
      <c r="G20" s="85">
        <f t="shared" si="2"/>
        <v>8.16</v>
      </c>
      <c r="H20">
        <v>0.02</v>
      </c>
      <c r="I20" s="86">
        <f t="shared" si="3"/>
        <v>0.25645714285714288</v>
      </c>
      <c r="J20" s="86">
        <f t="shared" si="4"/>
        <v>79.5017142857143</v>
      </c>
      <c r="K20" s="86">
        <f t="shared" si="5"/>
        <v>76.424228571428586</v>
      </c>
      <c r="L20" s="87">
        <f t="shared" si="6"/>
        <v>121.5017142857143</v>
      </c>
      <c r="M20" s="87">
        <f t="shared" si="7"/>
        <v>126.42422857142859</v>
      </c>
    </row>
    <row r="21" spans="1:13" x14ac:dyDescent="0.25">
      <c r="A21" s="50" t="s">
        <v>280</v>
      </c>
      <c r="B21">
        <v>0</v>
      </c>
      <c r="C21" s="85">
        <f t="shared" si="0"/>
        <v>0</v>
      </c>
      <c r="D21" s="85">
        <f t="shared" si="1"/>
        <v>0</v>
      </c>
      <c r="E21">
        <v>16</v>
      </c>
      <c r="F21">
        <v>0.4</v>
      </c>
      <c r="G21" s="85">
        <f t="shared" si="2"/>
        <v>6.4</v>
      </c>
      <c r="H21">
        <v>5.0000000000000001E-3</v>
      </c>
      <c r="I21" s="86">
        <f t="shared" si="3"/>
        <v>5.0285714285714281E-2</v>
      </c>
      <c r="J21" s="86">
        <f t="shared" si="4"/>
        <v>15.588571428571427</v>
      </c>
      <c r="K21" s="86">
        <f t="shared" si="5"/>
        <v>14.985142857142856</v>
      </c>
      <c r="L21" s="87">
        <f t="shared" si="6"/>
        <v>15.588571428571427</v>
      </c>
      <c r="M21" s="87">
        <f t="shared" si="7"/>
        <v>14.985142857142856</v>
      </c>
    </row>
    <row r="22" spans="1:13" x14ac:dyDescent="0.25">
      <c r="A22" s="50" t="s">
        <v>281</v>
      </c>
      <c r="B22">
        <v>1</v>
      </c>
      <c r="C22" s="85">
        <f t="shared" si="0"/>
        <v>21</v>
      </c>
      <c r="D22" s="85">
        <f t="shared" si="1"/>
        <v>25</v>
      </c>
      <c r="E22">
        <v>16</v>
      </c>
      <c r="F22">
        <v>0.4</v>
      </c>
      <c r="G22" s="85">
        <f t="shared" si="2"/>
        <v>6.4</v>
      </c>
      <c r="H22">
        <v>5.0000000000000001E-3</v>
      </c>
      <c r="I22" s="86">
        <f t="shared" si="3"/>
        <v>5.0285714285714281E-2</v>
      </c>
      <c r="J22" s="86">
        <f t="shared" si="4"/>
        <v>15.588571428571427</v>
      </c>
      <c r="K22" s="86">
        <f t="shared" si="5"/>
        <v>14.985142857142856</v>
      </c>
      <c r="L22" s="87">
        <f t="shared" si="6"/>
        <v>36.588571428571427</v>
      </c>
      <c r="M22" s="87">
        <f t="shared" si="7"/>
        <v>39.985142857142854</v>
      </c>
    </row>
    <row r="23" spans="1:13" x14ac:dyDescent="0.25">
      <c r="A23" s="50" t="s">
        <v>282</v>
      </c>
      <c r="B23">
        <v>2</v>
      </c>
      <c r="C23" s="85">
        <f t="shared" si="0"/>
        <v>42</v>
      </c>
      <c r="D23" s="85">
        <f t="shared" si="1"/>
        <v>50</v>
      </c>
      <c r="E23">
        <v>16</v>
      </c>
      <c r="F23">
        <v>0.4</v>
      </c>
      <c r="G23" s="85">
        <f t="shared" si="2"/>
        <v>6.4</v>
      </c>
      <c r="H23">
        <v>5.0000000000000001E-3</v>
      </c>
      <c r="I23" s="86">
        <f t="shared" si="3"/>
        <v>5.0285714285714281E-2</v>
      </c>
      <c r="J23" s="86">
        <f t="shared" si="4"/>
        <v>15.588571428571427</v>
      </c>
      <c r="K23" s="86">
        <f t="shared" si="5"/>
        <v>14.985142857142856</v>
      </c>
      <c r="L23" s="87">
        <f t="shared" si="6"/>
        <v>57.588571428571427</v>
      </c>
      <c r="M23" s="87">
        <f t="shared" si="7"/>
        <v>64.985142857142861</v>
      </c>
    </row>
    <row r="24" spans="1:13" x14ac:dyDescent="0.25">
      <c r="A24" s="50" t="s">
        <v>283</v>
      </c>
      <c r="B24">
        <v>1</v>
      </c>
      <c r="C24" s="85">
        <f t="shared" si="0"/>
        <v>21</v>
      </c>
      <c r="D24" s="85">
        <f t="shared" si="1"/>
        <v>25</v>
      </c>
      <c r="E24">
        <v>40</v>
      </c>
      <c r="F24">
        <v>0.99</v>
      </c>
      <c r="G24" s="85">
        <f t="shared" si="2"/>
        <v>39.6</v>
      </c>
      <c r="H24">
        <v>0.02</v>
      </c>
      <c r="I24" s="86">
        <f t="shared" si="3"/>
        <v>1.2445714285714284</v>
      </c>
      <c r="J24" s="86">
        <f t="shared" si="4"/>
        <v>385.81714285714281</v>
      </c>
      <c r="K24" s="86">
        <f t="shared" si="5"/>
        <v>370.88228571428567</v>
      </c>
      <c r="L24" s="87">
        <f t="shared" si="6"/>
        <v>406.81714285714281</v>
      </c>
      <c r="M24" s="87">
        <f t="shared" si="7"/>
        <v>395.88228571428567</v>
      </c>
    </row>
    <row r="25" spans="1:13" x14ac:dyDescent="0.25">
      <c r="A25" s="50" t="s">
        <v>284</v>
      </c>
      <c r="B25">
        <v>1</v>
      </c>
      <c r="C25" s="85">
        <f t="shared" si="0"/>
        <v>21</v>
      </c>
      <c r="D25" s="85">
        <f t="shared" si="1"/>
        <v>25</v>
      </c>
      <c r="E25">
        <v>40</v>
      </c>
      <c r="F25">
        <v>0.99</v>
      </c>
      <c r="G25" s="85">
        <f t="shared" si="2"/>
        <v>39.6</v>
      </c>
      <c r="H25" s="50">
        <v>0.02</v>
      </c>
      <c r="I25" s="86">
        <f t="shared" si="3"/>
        <v>1.2445714285714284</v>
      </c>
      <c r="J25" s="86">
        <f t="shared" si="4"/>
        <v>385.81714285714281</v>
      </c>
      <c r="K25" s="86">
        <f t="shared" si="5"/>
        <v>370.88228571428567</v>
      </c>
      <c r="L25" s="87">
        <f t="shared" si="6"/>
        <v>406.81714285714281</v>
      </c>
      <c r="M25" s="87">
        <f t="shared" si="7"/>
        <v>395.88228571428567</v>
      </c>
    </row>
    <row r="26" spans="1:13" x14ac:dyDescent="0.25">
      <c r="A26" s="50" t="s">
        <v>285</v>
      </c>
      <c r="B26">
        <v>2</v>
      </c>
      <c r="C26" s="85">
        <f t="shared" si="0"/>
        <v>42</v>
      </c>
      <c r="D26" s="85">
        <f t="shared" si="1"/>
        <v>50</v>
      </c>
      <c r="E26">
        <v>40</v>
      </c>
      <c r="F26">
        <v>0.99</v>
      </c>
      <c r="G26" s="85">
        <f t="shared" si="2"/>
        <v>39.6</v>
      </c>
      <c r="H26" s="50">
        <v>0.02</v>
      </c>
      <c r="I26" s="86">
        <f t="shared" si="3"/>
        <v>1.2445714285714284</v>
      </c>
      <c r="J26" s="86">
        <f t="shared" si="4"/>
        <v>385.81714285714281</v>
      </c>
      <c r="K26" s="86">
        <f t="shared" si="5"/>
        <v>370.88228571428567</v>
      </c>
      <c r="L26" s="87">
        <f t="shared" si="6"/>
        <v>427.81714285714281</v>
      </c>
      <c r="M26" s="87">
        <f t="shared" si="7"/>
        <v>420.88228571428567</v>
      </c>
    </row>
    <row r="27" spans="1:13" x14ac:dyDescent="0.25">
      <c r="A27" s="50" t="s">
        <v>286</v>
      </c>
      <c r="B27">
        <v>0.11</v>
      </c>
      <c r="C27" s="85">
        <f t="shared" si="0"/>
        <v>2.31</v>
      </c>
      <c r="D27" s="85">
        <f t="shared" si="1"/>
        <v>2.75</v>
      </c>
      <c r="E27">
        <v>40</v>
      </c>
      <c r="F27" s="50">
        <v>0.99</v>
      </c>
      <c r="G27" s="85">
        <f t="shared" si="2"/>
        <v>39.6</v>
      </c>
      <c r="H27" s="50">
        <v>0.02</v>
      </c>
      <c r="I27" s="86">
        <f t="shared" si="3"/>
        <v>1.2445714285714284</v>
      </c>
      <c r="J27" s="86">
        <f t="shared" si="4"/>
        <v>385.81714285714281</v>
      </c>
      <c r="K27" s="86">
        <f t="shared" si="5"/>
        <v>370.88228571428567</v>
      </c>
      <c r="L27" s="87">
        <f t="shared" si="6"/>
        <v>388.12714285714281</v>
      </c>
      <c r="M27" s="87">
        <f t="shared" si="7"/>
        <v>373.63228571428567</v>
      </c>
    </row>
    <row r="28" spans="1:13" x14ac:dyDescent="0.25">
      <c r="A28" s="50" t="s">
        <v>287</v>
      </c>
      <c r="B28">
        <v>0.17</v>
      </c>
      <c r="C28" s="85">
        <f t="shared" si="0"/>
        <v>3.5700000000000003</v>
      </c>
      <c r="D28" s="85">
        <f t="shared" si="1"/>
        <v>4.25</v>
      </c>
      <c r="E28">
        <v>40</v>
      </c>
      <c r="F28" s="50">
        <v>0.99</v>
      </c>
      <c r="G28" s="85">
        <f t="shared" si="2"/>
        <v>39.6</v>
      </c>
      <c r="H28" s="50">
        <v>0.02</v>
      </c>
      <c r="I28" s="86">
        <f t="shared" si="3"/>
        <v>1.2445714285714284</v>
      </c>
      <c r="J28" s="86">
        <f t="shared" si="4"/>
        <v>385.81714285714281</v>
      </c>
      <c r="K28" s="86">
        <f t="shared" si="5"/>
        <v>370.88228571428567</v>
      </c>
      <c r="L28" s="87">
        <f t="shared" si="6"/>
        <v>389.38714285714281</v>
      </c>
      <c r="M28" s="87">
        <f t="shared" si="7"/>
        <v>375.13228571428567</v>
      </c>
    </row>
    <row r="29" spans="1:13" x14ac:dyDescent="0.25">
      <c r="A29" s="50" t="s">
        <v>288</v>
      </c>
      <c r="B29">
        <v>0.22</v>
      </c>
      <c r="C29" s="85">
        <f t="shared" si="0"/>
        <v>4.62</v>
      </c>
      <c r="D29" s="85">
        <f t="shared" si="1"/>
        <v>5.5</v>
      </c>
      <c r="E29">
        <v>40</v>
      </c>
      <c r="F29" s="50">
        <v>0.99</v>
      </c>
      <c r="G29" s="85">
        <f t="shared" si="2"/>
        <v>39.6</v>
      </c>
      <c r="H29" s="50">
        <v>0.02</v>
      </c>
      <c r="I29" s="86">
        <f t="shared" si="3"/>
        <v>1.2445714285714284</v>
      </c>
      <c r="J29" s="86">
        <f t="shared" si="4"/>
        <v>385.81714285714281</v>
      </c>
      <c r="K29" s="86">
        <f t="shared" si="5"/>
        <v>370.88228571428567</v>
      </c>
      <c r="L29" s="87">
        <f t="shared" si="6"/>
        <v>390.43714285714282</v>
      </c>
      <c r="M29" s="87">
        <f t="shared" si="7"/>
        <v>376.38228571428567</v>
      </c>
    </row>
    <row r="30" spans="1:13" x14ac:dyDescent="0.25">
      <c r="A30" s="50" t="s">
        <v>289</v>
      </c>
      <c r="B30">
        <v>1.0900000000000001</v>
      </c>
      <c r="C30" s="85">
        <f t="shared" si="0"/>
        <v>22.89</v>
      </c>
      <c r="D30" s="85">
        <f t="shared" si="1"/>
        <v>27.250000000000004</v>
      </c>
      <c r="E30">
        <v>40</v>
      </c>
      <c r="F30" s="50">
        <v>0.99</v>
      </c>
      <c r="G30" s="85">
        <f t="shared" si="2"/>
        <v>39.6</v>
      </c>
      <c r="H30" s="50">
        <v>0.02</v>
      </c>
      <c r="I30" s="86">
        <f t="shared" si="3"/>
        <v>1.2445714285714284</v>
      </c>
      <c r="J30" s="86">
        <f t="shared" si="4"/>
        <v>385.81714285714281</v>
      </c>
      <c r="K30" s="86">
        <f t="shared" si="5"/>
        <v>370.88228571428567</v>
      </c>
      <c r="L30" s="87">
        <f t="shared" si="6"/>
        <v>408.7071428571428</v>
      </c>
      <c r="M30" s="87">
        <f t="shared" si="7"/>
        <v>398.13228571428567</v>
      </c>
    </row>
    <row r="31" spans="1:13" x14ac:dyDescent="0.25">
      <c r="A31" s="50" t="s">
        <v>290</v>
      </c>
      <c r="B31">
        <v>1.64</v>
      </c>
      <c r="C31" s="85">
        <f t="shared" si="0"/>
        <v>34.44</v>
      </c>
      <c r="D31" s="85">
        <f t="shared" si="1"/>
        <v>41</v>
      </c>
      <c r="E31">
        <v>40</v>
      </c>
      <c r="F31" s="50">
        <v>0.99</v>
      </c>
      <c r="G31" s="85">
        <f t="shared" si="2"/>
        <v>39.6</v>
      </c>
      <c r="H31" s="50">
        <v>0.02</v>
      </c>
      <c r="I31" s="86">
        <f t="shared" si="3"/>
        <v>1.2445714285714284</v>
      </c>
      <c r="J31" s="86">
        <f t="shared" si="4"/>
        <v>385.81714285714281</v>
      </c>
      <c r="K31" s="86">
        <f t="shared" si="5"/>
        <v>370.88228571428567</v>
      </c>
      <c r="L31" s="87">
        <f t="shared" si="6"/>
        <v>420.25714285714281</v>
      </c>
      <c r="M31" s="87">
        <f t="shared" si="7"/>
        <v>411.88228571428567</v>
      </c>
    </row>
    <row r="32" spans="1:13" x14ac:dyDescent="0.25">
      <c r="A32" s="50" t="s">
        <v>291</v>
      </c>
      <c r="B32">
        <v>2.1800000000000002</v>
      </c>
      <c r="C32" s="85">
        <f t="shared" si="0"/>
        <v>45.78</v>
      </c>
      <c r="D32" s="85">
        <f t="shared" si="1"/>
        <v>54.500000000000007</v>
      </c>
      <c r="E32">
        <v>40</v>
      </c>
      <c r="F32" s="50">
        <v>0.99</v>
      </c>
      <c r="G32" s="85">
        <f t="shared" si="2"/>
        <v>39.6</v>
      </c>
      <c r="H32" s="50">
        <v>0.02</v>
      </c>
      <c r="I32" s="86">
        <f t="shared" si="3"/>
        <v>1.2445714285714284</v>
      </c>
      <c r="J32" s="86">
        <f t="shared" si="4"/>
        <v>385.81714285714281</v>
      </c>
      <c r="K32" s="86">
        <f t="shared" si="5"/>
        <v>370.88228571428567</v>
      </c>
      <c r="L32" s="87">
        <f t="shared" si="6"/>
        <v>431.59714285714279</v>
      </c>
      <c r="M32" s="87">
        <f t="shared" si="7"/>
        <v>425.38228571428567</v>
      </c>
    </row>
    <row r="33" spans="1:13" x14ac:dyDescent="0.25">
      <c r="A33" s="50" t="s">
        <v>292</v>
      </c>
      <c r="B33">
        <v>0.6</v>
      </c>
      <c r="C33" s="85">
        <f t="shared" si="0"/>
        <v>12.6</v>
      </c>
      <c r="D33" s="85">
        <f t="shared" si="1"/>
        <v>15</v>
      </c>
      <c r="E33">
        <v>40</v>
      </c>
      <c r="F33" s="50">
        <v>0.99</v>
      </c>
      <c r="G33" s="85">
        <f t="shared" si="2"/>
        <v>39.6</v>
      </c>
      <c r="H33" s="50">
        <v>0.02</v>
      </c>
      <c r="I33" s="86">
        <f t="shared" si="3"/>
        <v>1.2445714285714284</v>
      </c>
      <c r="J33" s="86">
        <f t="shared" si="4"/>
        <v>385.81714285714281</v>
      </c>
      <c r="K33" s="86">
        <f t="shared" si="5"/>
        <v>370.88228571428567</v>
      </c>
      <c r="L33" s="87">
        <f t="shared" si="6"/>
        <v>398.41714285714284</v>
      </c>
      <c r="M33" s="87">
        <f t="shared" si="7"/>
        <v>385.88228571428567</v>
      </c>
    </row>
    <row r="34" spans="1:13" x14ac:dyDescent="0.25">
      <c r="A34" s="50" t="s">
        <v>293</v>
      </c>
      <c r="B34">
        <v>0.9</v>
      </c>
      <c r="C34" s="85">
        <f t="shared" si="0"/>
        <v>18.900000000000002</v>
      </c>
      <c r="D34" s="85">
        <f t="shared" si="1"/>
        <v>22.5</v>
      </c>
      <c r="E34">
        <v>40</v>
      </c>
      <c r="F34" s="50">
        <v>0.99</v>
      </c>
      <c r="G34" s="85">
        <f t="shared" si="2"/>
        <v>39.6</v>
      </c>
      <c r="H34" s="50">
        <v>0.02</v>
      </c>
      <c r="I34" s="86">
        <f t="shared" si="3"/>
        <v>1.2445714285714284</v>
      </c>
      <c r="J34" s="86">
        <f t="shared" si="4"/>
        <v>385.81714285714281</v>
      </c>
      <c r="K34" s="86">
        <f t="shared" si="5"/>
        <v>370.88228571428567</v>
      </c>
      <c r="L34" s="87">
        <f t="shared" si="6"/>
        <v>404.71714285714279</v>
      </c>
      <c r="M34" s="87">
        <f t="shared" si="7"/>
        <v>393.38228571428567</v>
      </c>
    </row>
    <row r="35" spans="1:13" x14ac:dyDescent="0.25">
      <c r="A35" s="50" t="s">
        <v>294</v>
      </c>
      <c r="B35">
        <v>1.19</v>
      </c>
      <c r="C35" s="85">
        <f t="shared" si="0"/>
        <v>24.99</v>
      </c>
      <c r="D35" s="85">
        <f t="shared" si="1"/>
        <v>29.75</v>
      </c>
      <c r="E35">
        <v>40</v>
      </c>
      <c r="F35" s="50">
        <v>0.99</v>
      </c>
      <c r="G35" s="85">
        <f t="shared" si="2"/>
        <v>39.6</v>
      </c>
      <c r="H35" s="50">
        <v>0.02</v>
      </c>
      <c r="I35" s="86">
        <f t="shared" si="3"/>
        <v>1.2445714285714284</v>
      </c>
      <c r="J35" s="86">
        <f t="shared" si="4"/>
        <v>385.81714285714281</v>
      </c>
      <c r="K35" s="86">
        <f t="shared" si="5"/>
        <v>370.88228571428567</v>
      </c>
      <c r="L35" s="87">
        <f t="shared" si="6"/>
        <v>410.80714285714282</v>
      </c>
      <c r="M35" s="87">
        <f t="shared" si="7"/>
        <v>400.63228571428567</v>
      </c>
    </row>
  </sheetData>
  <mergeCells count="11">
    <mergeCell ref="B3:B4"/>
    <mergeCell ref="C3:D3"/>
    <mergeCell ref="B1:D1"/>
    <mergeCell ref="E3:E4"/>
    <mergeCell ref="F3:F4"/>
    <mergeCell ref="L3:M3"/>
    <mergeCell ref="H3:H4"/>
    <mergeCell ref="G3:G4"/>
    <mergeCell ref="I3:I4"/>
    <mergeCell ref="E1:K1"/>
    <mergeCell ref="J3:K3"/>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14</vt:i4>
      </vt:variant>
    </vt:vector>
  </HeadingPairs>
  <TitlesOfParts>
    <vt:vector size="23" baseType="lpstr">
      <vt:lpstr>INICIO</vt:lpstr>
      <vt:lpstr>INSTRUCCIONES GESTIÓN DE LA INF</vt:lpstr>
      <vt:lpstr>FORMATO</vt:lpstr>
      <vt:lpstr>ÁREAS</vt:lpstr>
      <vt:lpstr>INSTRUCCIONES INCERTIDUMBRE</vt:lpstr>
      <vt:lpstr>HC CORPORATIVA-INCERTIDUMBRE</vt:lpstr>
      <vt:lpstr>HC CORPORATIVA-BIOMASA</vt:lpstr>
      <vt:lpstr>Resumen y Gráfica </vt:lpstr>
      <vt:lpstr>Otros factores</vt:lpstr>
      <vt:lpstr>CATEGORIA</vt:lpstr>
      <vt:lpstr>CATEGORIAS</vt:lpstr>
      <vt:lpstr>Combustibles_Gaseosos</vt:lpstr>
      <vt:lpstr>Combustibles_Liquidos</vt:lpstr>
      <vt:lpstr>Combustibles_Solidos</vt:lpstr>
      <vt:lpstr>Direcciones</vt:lpstr>
      <vt:lpstr>Energia_Electrica</vt:lpstr>
      <vt:lpstr>Gases_Refrigerantes</vt:lpstr>
      <vt:lpstr>Otras</vt:lpstr>
      <vt:lpstr>Procesos_Agropecuarios</vt:lpstr>
      <vt:lpstr>Registro</vt:lpstr>
      <vt:lpstr>Reporte</vt:lpstr>
      <vt:lpstr>Tratamiento_de_Residuos</vt:lpstr>
      <vt:lpstr>Tratamiento_Residuos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Cecilia Villalba</dc:creator>
  <cp:lastModifiedBy>USUARIO</cp:lastModifiedBy>
  <cp:lastPrinted>2014-10-02T16:38:53Z</cp:lastPrinted>
  <dcterms:created xsi:type="dcterms:W3CDTF">2014-09-25T21:24:30Z</dcterms:created>
  <dcterms:modified xsi:type="dcterms:W3CDTF">2021-01-26T03:05:19Z</dcterms:modified>
</cp:coreProperties>
</file>