
<file path=[Content_Types].xml><?xml version="1.0" encoding="utf-8"?>
<Types xmlns="http://schemas.openxmlformats.org/package/2006/content-types">
  <Default Extension="bin" ContentType="application/vnd.openxmlformats-officedocument.spreadsheetml.printerSettings"/>
  <Default Extension="gif" ContentType="image/gi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24226"/>
  <mc:AlternateContent xmlns:mc="http://schemas.openxmlformats.org/markup-compatibility/2006">
    <mc:Choice Requires="x15">
      <x15ac:absPath xmlns:x15ac="http://schemas.microsoft.com/office/spreadsheetml/2010/11/ac" url="C:\Users\mpcruz\Desktop\Respaldo\1.SGA\6.Planificación\6.2.1.Objetivos_ambientales\4.PIPS\14.Inventarios_GEI_2019-2020\Informe_publicado\"/>
    </mc:Choice>
  </mc:AlternateContent>
  <xr:revisionPtr revIDLastSave="0" documentId="13_ncr:1_{DA3ADC6C-FC87-4A64-BC26-DD27F4B443BE}" xr6:coauthVersionLast="47" xr6:coauthVersionMax="47" xr10:uidLastSave="{00000000-0000-0000-0000-000000000000}"/>
  <bookViews>
    <workbookView xWindow="-110" yWindow="-110" windowWidth="19420" windowHeight="10420" firstSheet="3" activeTab="3" xr2:uid="{00000000-000D-0000-FFFF-FFFF00000000}"/>
  </bookViews>
  <sheets>
    <sheet name="INSTRUCCIONES GESTIÓN DE LA INF" sheetId="2" state="hidden" r:id="rId1"/>
    <sheet name="ÁREAS" sheetId="9" state="hidden" r:id="rId2"/>
    <sheet name="INSTRUCCIONES INCERTIDUMBRE" sheetId="5" state="hidden" r:id="rId3"/>
    <sheet name="HC CORPORATIVA-INCERTIDUMBRE" sheetId="4" r:id="rId4"/>
    <sheet name="HC CORPORATIVA-BIOMASA" sheetId="8" r:id="rId5"/>
    <sheet name="RESUMEN Y GRAFICA" sheetId="10" r:id="rId6"/>
    <sheet name="AGUAS RESIDUALES" sheetId="11" r:id="rId7"/>
    <sheet name="Otros factores" sheetId="6" state="hidden" r:id="rId8"/>
  </sheets>
  <externalReferences>
    <externalReference r:id="rId9"/>
    <externalReference r:id="rId10"/>
  </externalReferences>
  <definedNames>
    <definedName name="_xlnm._FilterDatabase" localSheetId="3" hidden="1">'HC CORPORATIVA-INCERTIDUMBRE'!$A$110:$EC$110</definedName>
    <definedName name="CATEGORIA">#REF!</definedName>
    <definedName name="CATEGORIAS">#REF!</definedName>
    <definedName name="Combustibles_Gaseosos">#REF!</definedName>
    <definedName name="Combustibles_Liquidos">#REF!</definedName>
    <definedName name="Combustibles_Solidos">#REF!</definedName>
    <definedName name="Direcciones">ÁREAS!$A$2:$A$32</definedName>
    <definedName name="Energia_Electrica">#REF!</definedName>
    <definedName name="Gases_Refrigerantes">#REF!</definedName>
    <definedName name="Otras">#REF!</definedName>
    <definedName name="Procesos_Agropecuarios">#REF!</definedName>
    <definedName name="Registro">ÁREAS!$B$2:$B$6</definedName>
    <definedName name="Reporte">ÁREAS!$C$2:$C$6</definedName>
    <definedName name="Tratamiento_de_Residuos">#REF!</definedName>
    <definedName name="Tratamiento_Residuos">#REF!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E84" i="4" l="1"/>
  <c r="AP84" i="4"/>
  <c r="AQ84" i="4" s="1"/>
  <c r="AI84" i="4"/>
  <c r="AJ84" i="4" s="1"/>
  <c r="AX79" i="4" l="1"/>
  <c r="BE51" i="4" l="1"/>
  <c r="BF84" i="4" l="1"/>
  <c r="X59" i="4"/>
  <c r="J17" i="10" l="1"/>
  <c r="BG84" i="4"/>
  <c r="Q74" i="4"/>
  <c r="S72" i="4"/>
  <c r="S73" i="4"/>
  <c r="Y72" i="4"/>
  <c r="W72" i="4"/>
  <c r="Z72" i="4" s="1"/>
  <c r="AA72" i="4" s="1"/>
  <c r="Y73" i="4"/>
  <c r="X73" i="4"/>
  <c r="W73" i="4"/>
  <c r="Z73" i="4" s="1"/>
  <c r="AA73" i="4" s="1"/>
  <c r="BE73" i="4" s="1"/>
  <c r="X72" i="4"/>
  <c r="BE72" i="4" l="1"/>
  <c r="BF72" i="4" s="1"/>
  <c r="BF73" i="4"/>
  <c r="BG73" i="4" s="1"/>
  <c r="BG72" i="4" l="1"/>
  <c r="AB73" i="4"/>
  <c r="AB72" i="4"/>
  <c r="AC72" i="4" s="1"/>
  <c r="AC73" i="4" l="1"/>
  <c r="AV35" i="4" l="1"/>
  <c r="Q35" i="4"/>
  <c r="AF35" i="4"/>
  <c r="AE35" i="4"/>
  <c r="AD35" i="4"/>
  <c r="AG35" i="4" l="1"/>
  <c r="AH35" i="4" s="1"/>
  <c r="AT35" i="4"/>
  <c r="W60" i="4"/>
  <c r="X60" i="4"/>
  <c r="W61" i="4"/>
  <c r="X61" i="4"/>
  <c r="W62" i="4"/>
  <c r="X62" i="4"/>
  <c r="W63" i="4"/>
  <c r="X63" i="4"/>
  <c r="W64" i="4"/>
  <c r="X64" i="4"/>
  <c r="W65" i="4"/>
  <c r="X65" i="4"/>
  <c r="W66" i="4"/>
  <c r="X66" i="4"/>
  <c r="W67" i="4"/>
  <c r="X67" i="4"/>
  <c r="W68" i="4"/>
  <c r="X68" i="4"/>
  <c r="W59" i="4"/>
  <c r="Q59" i="4"/>
  <c r="Y59" i="4" s="1"/>
  <c r="R68" i="4"/>
  <c r="Q68" i="4"/>
  <c r="Y68" i="4" s="1"/>
  <c r="R67" i="4"/>
  <c r="T67" i="4" s="1"/>
  <c r="Q67" i="4"/>
  <c r="Y67" i="4" s="1"/>
  <c r="R66" i="4"/>
  <c r="T66" i="4" s="1"/>
  <c r="Q66" i="4"/>
  <c r="Y66" i="4" s="1"/>
  <c r="R65" i="4"/>
  <c r="T65" i="4" s="1"/>
  <c r="Q65" i="4"/>
  <c r="Y65" i="4" s="1"/>
  <c r="R64" i="4"/>
  <c r="T64" i="4" s="1"/>
  <c r="Q64" i="4"/>
  <c r="Y64" i="4" s="1"/>
  <c r="R63" i="4"/>
  <c r="T63" i="4" s="1"/>
  <c r="Q63" i="4"/>
  <c r="Y63" i="4" s="1"/>
  <c r="R62" i="4"/>
  <c r="S62" i="4" s="1"/>
  <c r="Q62" i="4"/>
  <c r="Y62" i="4" s="1"/>
  <c r="R61" i="4"/>
  <c r="T61" i="4" s="1"/>
  <c r="Q61" i="4"/>
  <c r="Y61" i="4" s="1"/>
  <c r="R60" i="4"/>
  <c r="U60" i="4" s="1"/>
  <c r="Q60" i="4"/>
  <c r="Y60" i="4" s="1"/>
  <c r="R59" i="4"/>
  <c r="S59" i="4" s="1"/>
  <c r="S68" i="4" l="1"/>
  <c r="T68" i="4"/>
  <c r="S66" i="4"/>
  <c r="U67" i="4"/>
  <c r="S63" i="4"/>
  <c r="S64" i="4"/>
  <c r="U61" i="4"/>
  <c r="T62" i="4"/>
  <c r="U62" i="4"/>
  <c r="U63" i="4"/>
  <c r="V63" i="4" s="1"/>
  <c r="S61" i="4"/>
  <c r="Z59" i="4"/>
  <c r="AA59" i="4" s="1"/>
  <c r="BE59" i="4" s="1"/>
  <c r="Z67" i="4"/>
  <c r="AA67" i="4" s="1"/>
  <c r="Z65" i="4"/>
  <c r="AA65" i="4" s="1"/>
  <c r="Z63" i="4"/>
  <c r="AA63" i="4" s="1"/>
  <c r="BE63" i="4" s="1"/>
  <c r="Z61" i="4"/>
  <c r="AA61" i="4" s="1"/>
  <c r="U65" i="4"/>
  <c r="T59" i="4"/>
  <c r="U64" i="4"/>
  <c r="V64" i="4" s="1"/>
  <c r="U66" i="4"/>
  <c r="V66" i="4" s="1"/>
  <c r="Z68" i="4"/>
  <c r="AA68" i="4" s="1"/>
  <c r="Z66" i="4"/>
  <c r="AA66" i="4" s="1"/>
  <c r="Z64" i="4"/>
  <c r="AA64" i="4" s="1"/>
  <c r="Z62" i="4"/>
  <c r="AA62" i="4" s="1"/>
  <c r="BE62" i="4" s="1"/>
  <c r="Z60" i="4"/>
  <c r="AA60" i="4" s="1"/>
  <c r="U59" i="4"/>
  <c r="S60" i="4"/>
  <c r="V61" i="4"/>
  <c r="T60" i="4"/>
  <c r="S65" i="4"/>
  <c r="V65" i="4" s="1"/>
  <c r="U68" i="4"/>
  <c r="S67" i="4"/>
  <c r="V59" i="4" l="1"/>
  <c r="V68" i="4"/>
  <c r="AB68" i="4" s="1"/>
  <c r="AC68" i="4" s="1"/>
  <c r="AB63" i="4"/>
  <c r="AC63" i="4" s="1"/>
  <c r="V67" i="4"/>
  <c r="AB67" i="4" s="1"/>
  <c r="AC67" i="4" s="1"/>
  <c r="AB59" i="4"/>
  <c r="AC59" i="4" s="1"/>
  <c r="BF59" i="4" s="1"/>
  <c r="BG59" i="4" s="1"/>
  <c r="V62" i="4"/>
  <c r="AB62" i="4" s="1"/>
  <c r="AC62" i="4" s="1"/>
  <c r="BF62" i="4" s="1"/>
  <c r="BG62" i="4" s="1"/>
  <c r="AB65" i="4"/>
  <c r="AC65" i="4" s="1"/>
  <c r="AB61" i="4"/>
  <c r="AC61" i="4" s="1"/>
  <c r="AB66" i="4"/>
  <c r="AC66" i="4" s="1"/>
  <c r="AB60" i="4"/>
  <c r="AC60" i="4" s="1"/>
  <c r="AB64" i="4"/>
  <c r="AC64" i="4" s="1"/>
  <c r="BF63" i="4"/>
  <c r="BG63" i="4" s="1"/>
  <c r="BE67" i="4"/>
  <c r="BE60" i="4"/>
  <c r="BE61" i="4"/>
  <c r="BE65" i="4"/>
  <c r="BE64" i="4"/>
  <c r="BE66" i="4"/>
  <c r="BE68" i="4"/>
  <c r="BF60" i="4" l="1"/>
  <c r="BG60" i="4" s="1"/>
  <c r="BE69" i="4"/>
  <c r="BF66" i="4"/>
  <c r="BG66" i="4" s="1"/>
  <c r="BF65" i="4"/>
  <c r="BG65" i="4" s="1"/>
  <c r="BF61" i="4"/>
  <c r="BG61" i="4" s="1"/>
  <c r="BF67" i="4"/>
  <c r="BG67" i="4" s="1"/>
  <c r="BF68" i="4"/>
  <c r="BG68" i="4" s="1"/>
  <c r="BF64" i="4"/>
  <c r="BG64" i="4" s="1"/>
  <c r="BW251" i="4"/>
  <c r="BF69" i="4" l="1"/>
  <c r="J13" i="10" s="1"/>
  <c r="AK35" i="4" l="1"/>
  <c r="AX35" i="4"/>
  <c r="AY35" i="4"/>
  <c r="R35" i="4"/>
  <c r="S35" i="4" l="1"/>
  <c r="U35" i="4"/>
  <c r="T35" i="4"/>
  <c r="AN35" i="4"/>
  <c r="AP35" i="4" s="1"/>
  <c r="Z35" i="4"/>
  <c r="AA35" i="4" s="1"/>
  <c r="AM35" i="4"/>
  <c r="BB35" i="4"/>
  <c r="BC35" i="4"/>
  <c r="AW35" i="4"/>
  <c r="AO35" i="4" l="1"/>
  <c r="BE35" i="4" s="1"/>
  <c r="V35" i="4"/>
  <c r="AI35" i="4" s="1"/>
  <c r="AJ35" i="4" s="1"/>
  <c r="AB35" i="4"/>
  <c r="AC35" i="4" s="1"/>
  <c r="BD35" i="4"/>
  <c r="AQ35" i="4" l="1"/>
  <c r="BF35" i="4" s="1"/>
  <c r="AE71" i="4" l="1"/>
  <c r="Q71" i="4"/>
  <c r="BF51" i="4"/>
  <c r="D23" i="11"/>
  <c r="H52" i="11" l="1"/>
  <c r="E35" i="11"/>
  <c r="D35" i="11"/>
  <c r="H19" i="11" s="1"/>
  <c r="C35" i="11"/>
  <c r="E34" i="11"/>
  <c r="D34" i="11"/>
  <c r="H20" i="11" s="1"/>
  <c r="C34" i="11"/>
  <c r="E33" i="11"/>
  <c r="D33" i="11"/>
  <c r="C33" i="11"/>
  <c r="E32" i="11"/>
  <c r="D32" i="11"/>
  <c r="H22" i="11" s="1"/>
  <c r="C32" i="11"/>
  <c r="E31" i="11"/>
  <c r="D31" i="11"/>
  <c r="H23" i="11" s="1"/>
  <c r="C31" i="11"/>
  <c r="E30" i="11"/>
  <c r="D30" i="11"/>
  <c r="C30" i="11"/>
  <c r="E29" i="11"/>
  <c r="D29" i="11"/>
  <c r="C29" i="11"/>
  <c r="E28" i="11"/>
  <c r="D28" i="11"/>
  <c r="C28" i="11"/>
  <c r="E27" i="11"/>
  <c r="D27" i="11"/>
  <c r="C27" i="11"/>
  <c r="E26" i="11"/>
  <c r="D26" i="11"/>
  <c r="H28" i="11" s="1"/>
  <c r="C26" i="11"/>
  <c r="E25" i="11"/>
  <c r="D25" i="11"/>
  <c r="C25" i="11"/>
  <c r="E24" i="11"/>
  <c r="D24" i="11"/>
  <c r="C24" i="11"/>
  <c r="E23" i="11"/>
  <c r="C23" i="11"/>
  <c r="E22" i="11"/>
  <c r="D22" i="11"/>
  <c r="C22" i="11"/>
  <c r="H21" i="11"/>
  <c r="E21" i="11"/>
  <c r="D21" i="11"/>
  <c r="C21" i="11"/>
  <c r="E20" i="11"/>
  <c r="D20" i="11"/>
  <c r="C20" i="11"/>
  <c r="E19" i="11"/>
  <c r="D19" i="11"/>
  <c r="C19" i="11"/>
  <c r="E18" i="11"/>
  <c r="D18" i="11"/>
  <c r="C18" i="11"/>
  <c r="E17" i="11"/>
  <c r="D17" i="11"/>
  <c r="C17" i="11"/>
  <c r="E11" i="11"/>
  <c r="H30" i="11" l="1"/>
  <c r="H11" i="11" s="1"/>
  <c r="I11" i="11" s="1"/>
  <c r="H16" i="11"/>
  <c r="I22" i="11" s="1"/>
  <c r="H25" i="11"/>
  <c r="H26" i="11"/>
  <c r="H27" i="11"/>
  <c r="H24" i="11"/>
  <c r="I20" i="11" l="1"/>
  <c r="I27" i="11"/>
  <c r="I28" i="11"/>
  <c r="I19" i="11"/>
  <c r="I25" i="11"/>
  <c r="I23" i="11"/>
  <c r="I24" i="11"/>
  <c r="I26" i="11"/>
  <c r="I21" i="11"/>
  <c r="Q77" i="4"/>
  <c r="Q76" i="4"/>
  <c r="G11" i="11" l="1"/>
  <c r="BA77" i="4"/>
  <c r="BC77" i="4" s="1"/>
  <c r="AU77" i="4"/>
  <c r="AT77" i="4"/>
  <c r="AM77" i="4"/>
  <c r="AL77" i="4"/>
  <c r="AK77" i="4"/>
  <c r="AN77" i="4" s="1"/>
  <c r="AF77" i="4"/>
  <c r="AE77" i="4"/>
  <c r="AD77" i="4"/>
  <c r="AG77" i="4" s="1"/>
  <c r="AH77" i="4" s="1"/>
  <c r="BA76" i="4"/>
  <c r="BB76" i="4" s="1"/>
  <c r="AU76" i="4"/>
  <c r="AT76" i="4"/>
  <c r="AM76" i="4"/>
  <c r="AL76" i="4"/>
  <c r="AK76" i="4"/>
  <c r="AN76" i="4" s="1"/>
  <c r="AF76" i="4"/>
  <c r="AE76" i="4"/>
  <c r="AD76" i="4"/>
  <c r="AG76" i="4" s="1"/>
  <c r="AH76" i="4" s="1"/>
  <c r="AL71" i="4"/>
  <c r="AK71" i="4"/>
  <c r="BB69" i="4"/>
  <c r="BC69" i="4" s="1"/>
  <c r="Y77" i="4"/>
  <c r="X77" i="4"/>
  <c r="W77" i="4"/>
  <c r="Z77" i="4" s="1"/>
  <c r="R77" i="4"/>
  <c r="T77" i="4" s="1"/>
  <c r="Y76" i="4"/>
  <c r="X76" i="4"/>
  <c r="W76" i="4"/>
  <c r="Z76" i="4" s="1"/>
  <c r="AA76" i="4" s="1"/>
  <c r="R76" i="4"/>
  <c r="U76" i="4" s="1"/>
  <c r="R71" i="4"/>
  <c r="AA69" i="4"/>
  <c r="C13" i="10" s="1"/>
  <c r="AI52" i="4"/>
  <c r="AA90" i="4"/>
  <c r="AB90" i="4" s="1"/>
  <c r="BE90" i="4"/>
  <c r="BB90" i="4"/>
  <c r="BC90" i="4" s="1"/>
  <c r="AU90" i="4"/>
  <c r="AV90" i="4" s="1"/>
  <c r="AO90" i="4"/>
  <c r="AP90" i="4" s="1"/>
  <c r="AH90" i="4"/>
  <c r="AI90" i="4" s="1"/>
  <c r="AU78" i="4" l="1"/>
  <c r="F15" i="10" s="1"/>
  <c r="S71" i="4"/>
  <c r="U71" i="4"/>
  <c r="H17" i="10"/>
  <c r="AU69" i="4"/>
  <c r="AV69" i="4" s="1"/>
  <c r="AB69" i="4"/>
  <c r="AC69" i="4" s="1"/>
  <c r="AH78" i="4"/>
  <c r="D15" i="10" s="1"/>
  <c r="S77" i="4"/>
  <c r="T71" i="4"/>
  <c r="S76" i="4"/>
  <c r="AA77" i="4"/>
  <c r="BB77" i="4"/>
  <c r="BD77" i="4" s="1"/>
  <c r="T76" i="4"/>
  <c r="U77" i="4"/>
  <c r="AO77" i="4"/>
  <c r="AP77" i="4"/>
  <c r="AV77" i="4"/>
  <c r="AW77" i="4" s="1"/>
  <c r="AI77" i="4"/>
  <c r="AJ77" i="4" s="1"/>
  <c r="AO76" i="4"/>
  <c r="AP76" i="4"/>
  <c r="AV76" i="4"/>
  <c r="AW76" i="4" s="1"/>
  <c r="BC76" i="4"/>
  <c r="BD76" i="4" s="1"/>
  <c r="AI76" i="4"/>
  <c r="AJ76" i="4" s="1"/>
  <c r="AV78" i="4"/>
  <c r="AO69" i="4"/>
  <c r="AH69" i="4"/>
  <c r="AI69" i="4" s="1"/>
  <c r="AA78" i="4" l="1"/>
  <c r="C15" i="10" s="1"/>
  <c r="AI78" i="4"/>
  <c r="AJ78" i="4" s="1"/>
  <c r="V71" i="4"/>
  <c r="BB78" i="4"/>
  <c r="AP69" i="4"/>
  <c r="AQ69" i="4" s="1"/>
  <c r="AQ76" i="4"/>
  <c r="AO78" i="4"/>
  <c r="E15" i="10" s="1"/>
  <c r="AQ77" i="4"/>
  <c r="BE77" i="4"/>
  <c r="BE76" i="4"/>
  <c r="AW78" i="4"/>
  <c r="BD69" i="4"/>
  <c r="BC78" i="4" l="1"/>
  <c r="BD78" i="4" s="1"/>
  <c r="G15" i="10"/>
  <c r="H13" i="10"/>
  <c r="AP78" i="4"/>
  <c r="BE78" i="4"/>
  <c r="H15" i="10" s="1"/>
  <c r="AJ69" i="4"/>
  <c r="BC79" i="4" l="1"/>
  <c r="BD79" i="4" s="1"/>
  <c r="AQ78" i="4"/>
  <c r="Q31" i="4" l="1"/>
  <c r="C42" i="10" l="1"/>
  <c r="F31" i="8"/>
  <c r="G31" i="8"/>
  <c r="H31" i="8"/>
  <c r="I31" i="8"/>
  <c r="J31" i="8"/>
  <c r="K31" i="8"/>
  <c r="L31" i="8"/>
  <c r="M31" i="8"/>
  <c r="N31" i="8"/>
  <c r="O31" i="8"/>
  <c r="P31" i="8"/>
  <c r="E31" i="8"/>
  <c r="F21" i="8"/>
  <c r="G21" i="8"/>
  <c r="H21" i="8"/>
  <c r="I21" i="8"/>
  <c r="J21" i="8"/>
  <c r="K21" i="8"/>
  <c r="L21" i="8"/>
  <c r="M21" i="8"/>
  <c r="N21" i="8"/>
  <c r="O21" i="8"/>
  <c r="P21" i="8"/>
  <c r="F22" i="8"/>
  <c r="G22" i="8"/>
  <c r="H22" i="8"/>
  <c r="I22" i="8"/>
  <c r="J22" i="8"/>
  <c r="K22" i="8"/>
  <c r="L22" i="8"/>
  <c r="M22" i="8"/>
  <c r="N22" i="8"/>
  <c r="O22" i="8"/>
  <c r="P22" i="8"/>
  <c r="F23" i="8"/>
  <c r="G23" i="8"/>
  <c r="H23" i="8"/>
  <c r="I23" i="8"/>
  <c r="J23" i="8"/>
  <c r="K23" i="8"/>
  <c r="L23" i="8"/>
  <c r="M23" i="8"/>
  <c r="N23" i="8"/>
  <c r="O23" i="8"/>
  <c r="P23" i="8"/>
  <c r="E23" i="8"/>
  <c r="E22" i="8"/>
  <c r="E21" i="8"/>
  <c r="F17" i="8"/>
  <c r="G17" i="8"/>
  <c r="H17" i="8"/>
  <c r="I17" i="8"/>
  <c r="J17" i="8"/>
  <c r="K17" i="8"/>
  <c r="L17" i="8"/>
  <c r="M17" i="8"/>
  <c r="N17" i="8"/>
  <c r="O17" i="8"/>
  <c r="P17" i="8"/>
  <c r="F18" i="8"/>
  <c r="G18" i="8"/>
  <c r="H18" i="8"/>
  <c r="I18" i="8"/>
  <c r="J18" i="8"/>
  <c r="K18" i="8"/>
  <c r="L18" i="8"/>
  <c r="M18" i="8"/>
  <c r="N18" i="8"/>
  <c r="O18" i="8"/>
  <c r="P18" i="8"/>
  <c r="E18" i="8"/>
  <c r="E17" i="8"/>
  <c r="BF76" i="8"/>
  <c r="AZ76" i="8"/>
  <c r="AT76" i="8"/>
  <c r="AN76" i="8"/>
  <c r="AF76" i="8"/>
  <c r="BF71" i="8"/>
  <c r="AZ71" i="8"/>
  <c r="AT71" i="8"/>
  <c r="AN71" i="8"/>
  <c r="AF71" i="8"/>
  <c r="BF70" i="8"/>
  <c r="AZ70" i="8"/>
  <c r="AT70" i="8"/>
  <c r="AN70" i="8"/>
  <c r="AF70" i="8"/>
  <c r="BG65" i="8"/>
  <c r="AI65" i="8"/>
  <c r="BJ64" i="8"/>
  <c r="BJ65" i="8" s="1"/>
  <c r="BI64" i="8"/>
  <c r="BI65" i="8" s="1"/>
  <c r="BH64" i="8"/>
  <c r="BH65" i="8" s="1"/>
  <c r="BE64" i="8"/>
  <c r="BE65" i="8" s="1"/>
  <c r="BD64" i="8"/>
  <c r="BD65" i="8" s="1"/>
  <c r="BC64" i="8"/>
  <c r="BC65" i="8" s="1"/>
  <c r="BB64" i="8"/>
  <c r="BB65" i="8" s="1"/>
  <c r="AY64" i="8"/>
  <c r="AY65" i="8" s="1"/>
  <c r="AX64" i="8"/>
  <c r="AX65" i="8" s="1"/>
  <c r="AW64" i="8"/>
  <c r="AW65" i="8" s="1"/>
  <c r="AV64" i="8"/>
  <c r="AV65" i="8" s="1"/>
  <c r="AS64" i="8"/>
  <c r="AS65" i="8" s="1"/>
  <c r="AR64" i="8"/>
  <c r="AR65" i="8" s="1"/>
  <c r="AQ64" i="8"/>
  <c r="AQ65" i="8" s="1"/>
  <c r="AP64" i="8"/>
  <c r="AP65" i="8" s="1"/>
  <c r="AM64" i="8"/>
  <c r="AM65" i="8" s="1"/>
  <c r="AL64" i="8"/>
  <c r="AL65" i="8" s="1"/>
  <c r="AK64" i="8"/>
  <c r="AK65" i="8" s="1"/>
  <c r="AJ64" i="8"/>
  <c r="AJ65" i="8" s="1"/>
  <c r="AH64" i="8"/>
  <c r="AH65" i="8" s="1"/>
  <c r="BF63" i="8"/>
  <c r="AZ63" i="8"/>
  <c r="AT63" i="8"/>
  <c r="AN63" i="8"/>
  <c r="AF63" i="8"/>
  <c r="BF62" i="8"/>
  <c r="AZ62" i="8"/>
  <c r="AT62" i="8"/>
  <c r="AN62" i="8"/>
  <c r="AF62" i="8"/>
  <c r="BF61" i="8"/>
  <c r="AZ61" i="8"/>
  <c r="AT61" i="8"/>
  <c r="AN61" i="8"/>
  <c r="AF61" i="8"/>
  <c r="BF60" i="8"/>
  <c r="AZ60" i="8"/>
  <c r="AT60" i="8"/>
  <c r="AN60" i="8"/>
  <c r="AF60" i="8"/>
  <c r="BF59" i="8"/>
  <c r="AZ59" i="8"/>
  <c r="AT59" i="8"/>
  <c r="AN59" i="8"/>
  <c r="AF59" i="8"/>
  <c r="BF58" i="8"/>
  <c r="BF64" i="8" s="1"/>
  <c r="BF65" i="8" s="1"/>
  <c r="AZ58" i="8"/>
  <c r="AZ64" i="8" s="1"/>
  <c r="AZ65" i="8" s="1"/>
  <c r="AT58" i="8"/>
  <c r="AT64" i="8" s="1"/>
  <c r="AT65" i="8" s="1"/>
  <c r="AN58" i="8"/>
  <c r="AN64" i="8" s="1"/>
  <c r="AN65" i="8" s="1"/>
  <c r="AF58" i="8"/>
  <c r="BF57" i="8"/>
  <c r="AZ57" i="8"/>
  <c r="AT57" i="8"/>
  <c r="AN57" i="8"/>
  <c r="AF57" i="8"/>
  <c r="BF56" i="8"/>
  <c r="AZ56" i="8"/>
  <c r="AT56" i="8"/>
  <c r="AN56" i="8"/>
  <c r="AF56" i="8"/>
  <c r="BF55" i="8"/>
  <c r="AZ55" i="8"/>
  <c r="AT55" i="8"/>
  <c r="AN55" i="8"/>
  <c r="AF55" i="8"/>
  <c r="BF54" i="8"/>
  <c r="AZ54" i="8"/>
  <c r="AT54" i="8"/>
  <c r="AN54" i="8"/>
  <c r="AF54" i="8"/>
  <c r="BF53" i="8"/>
  <c r="AZ53" i="8"/>
  <c r="AT53" i="8"/>
  <c r="AN53" i="8"/>
  <c r="AF53" i="8"/>
  <c r="BF52" i="8"/>
  <c r="AZ52" i="8"/>
  <c r="AT52" i="8"/>
  <c r="AN52" i="8"/>
  <c r="AF52" i="8"/>
  <c r="BF51" i="8"/>
  <c r="AZ51" i="8"/>
  <c r="AT51" i="8"/>
  <c r="AN51" i="8"/>
  <c r="AF51" i="8"/>
  <c r="AE35" i="8"/>
  <c r="X31" i="8"/>
  <c r="W31" i="8"/>
  <c r="D31" i="8"/>
  <c r="X23" i="8"/>
  <c r="W23" i="8"/>
  <c r="D23" i="8"/>
  <c r="X22" i="8"/>
  <c r="W22" i="8"/>
  <c r="D22" i="8"/>
  <c r="X21" i="8"/>
  <c r="W21" i="8"/>
  <c r="D21" i="8"/>
  <c r="X18" i="8"/>
  <c r="W18" i="8"/>
  <c r="D18" i="8"/>
  <c r="X17" i="8"/>
  <c r="W17" i="8"/>
  <c r="D17" i="8"/>
  <c r="R17" i="8" l="1"/>
  <c r="T17" i="8" s="1"/>
  <c r="Q23" i="8"/>
  <c r="Z23" i="8" s="1"/>
  <c r="R22" i="8"/>
  <c r="S22" i="8" s="1"/>
  <c r="R21" i="8"/>
  <c r="S21" i="8" s="1"/>
  <c r="R31" i="8"/>
  <c r="S31" i="8" s="1"/>
  <c r="Q31" i="8"/>
  <c r="Y31" i="8" s="1"/>
  <c r="R18" i="8"/>
  <c r="S18" i="8" s="1"/>
  <c r="R23" i="8"/>
  <c r="T23" i="8" s="1"/>
  <c r="Q22" i="8"/>
  <c r="Y22" i="8" s="1"/>
  <c r="Q21" i="8"/>
  <c r="Y21" i="8" s="1"/>
  <c r="T18" i="8"/>
  <c r="U17" i="8"/>
  <c r="S17" i="8"/>
  <c r="Y23" i="8"/>
  <c r="Q17" i="8"/>
  <c r="Q18" i="8"/>
  <c r="Z22" i="8" l="1"/>
  <c r="T22" i="8"/>
  <c r="U31" i="8"/>
  <c r="U18" i="8"/>
  <c r="V18" i="8" s="1"/>
  <c r="U22" i="8"/>
  <c r="Z31" i="8"/>
  <c r="AC31" i="8" s="1"/>
  <c r="T31" i="8"/>
  <c r="V31" i="8" s="1"/>
  <c r="Z21" i="8"/>
  <c r="AC21" i="8" s="1"/>
  <c r="T21" i="8"/>
  <c r="U23" i="8"/>
  <c r="U21" i="8"/>
  <c r="S23" i="8"/>
  <c r="V17" i="8"/>
  <c r="Z17" i="8"/>
  <c r="Y17" i="8"/>
  <c r="AC22" i="8"/>
  <c r="Z18" i="8"/>
  <c r="Y18" i="8"/>
  <c r="AC23" i="8"/>
  <c r="Z32" i="8" l="1"/>
  <c r="AA31" i="8"/>
  <c r="AD31" i="8" s="1"/>
  <c r="AE31" i="8" s="1"/>
  <c r="V22" i="8"/>
  <c r="AA22" i="8" s="1"/>
  <c r="AD22" i="8" s="1"/>
  <c r="AE22" i="8" s="1"/>
  <c r="Z24" i="8"/>
  <c r="AC24" i="8" s="1"/>
  <c r="C26" i="10" s="1"/>
  <c r="V23" i="8"/>
  <c r="AA23" i="8" s="1"/>
  <c r="AD23" i="8" s="1"/>
  <c r="AE23" i="8" s="1"/>
  <c r="V21" i="8"/>
  <c r="AA21" i="8" s="1"/>
  <c r="AD21" i="8" s="1"/>
  <c r="AE21" i="8" s="1"/>
  <c r="Z33" i="8"/>
  <c r="AC32" i="8"/>
  <c r="C27" i="10" s="1"/>
  <c r="AC18" i="8"/>
  <c r="AA18" i="8"/>
  <c r="AD18" i="8" s="1"/>
  <c r="AC17" i="8"/>
  <c r="Z19" i="8"/>
  <c r="AC19" i="8" s="1"/>
  <c r="AA17" i="8"/>
  <c r="AD17" i="8" s="1"/>
  <c r="Q19" i="4"/>
  <c r="Q16" i="4"/>
  <c r="Q24" i="4"/>
  <c r="AB22" i="8" l="1"/>
  <c r="AB31" i="8"/>
  <c r="AA32" i="8" s="1"/>
  <c r="AB32" i="8" s="1"/>
  <c r="Z25" i="8"/>
  <c r="AC25" i="8" s="1"/>
  <c r="AN71" i="4"/>
  <c r="AF71" i="4"/>
  <c r="AU71" i="4"/>
  <c r="AM71" i="4"/>
  <c r="AT71" i="4"/>
  <c r="BA71" i="4"/>
  <c r="AB21" i="8"/>
  <c r="AB23" i="8"/>
  <c r="AD32" i="8"/>
  <c r="E27" i="10" s="1"/>
  <c r="AB18" i="8"/>
  <c r="C25" i="10"/>
  <c r="AD24" i="8"/>
  <c r="AE17" i="8"/>
  <c r="AE18" i="8"/>
  <c r="AA33" i="8"/>
  <c r="AB33" i="8" s="1"/>
  <c r="AC33" i="8"/>
  <c r="AD33" i="8" s="1"/>
  <c r="AB17" i="8"/>
  <c r="AU74" i="4" l="1"/>
  <c r="F14" i="10" s="1"/>
  <c r="F16" i="10" s="1"/>
  <c r="Z34" i="8"/>
  <c r="AC34" i="8" s="1"/>
  <c r="AA24" i="8"/>
  <c r="AB24" i="8" s="1"/>
  <c r="BB71" i="4"/>
  <c r="BC71" i="4"/>
  <c r="AV71" i="4"/>
  <c r="AW71" i="4" s="1"/>
  <c r="AO71" i="4"/>
  <c r="AP71" i="4"/>
  <c r="AE24" i="8"/>
  <c r="AD25" i="8" s="1"/>
  <c r="E26" i="10"/>
  <c r="C28" i="10"/>
  <c r="D25" i="10" s="1"/>
  <c r="AA19" i="8"/>
  <c r="AB19" i="8" s="1"/>
  <c r="AD19" i="8"/>
  <c r="E25" i="10" s="1"/>
  <c r="AO74" i="4" l="1"/>
  <c r="E14" i="10" s="1"/>
  <c r="E16" i="10" s="1"/>
  <c r="BB74" i="4"/>
  <c r="G14" i="10" s="1"/>
  <c r="G16" i="10" s="1"/>
  <c r="AV74" i="4"/>
  <c r="AV79" i="4" s="1"/>
  <c r="AW79" i="4" s="1"/>
  <c r="AA25" i="8"/>
  <c r="AB25" i="8" s="1"/>
  <c r="AA34" i="8" s="1"/>
  <c r="AB34" i="8" s="1"/>
  <c r="AQ71" i="4"/>
  <c r="BD71" i="4"/>
  <c r="E28" i="10"/>
  <c r="D26" i="10"/>
  <c r="D27" i="10"/>
  <c r="AD34" i="8"/>
  <c r="AE34" i="8" s="1"/>
  <c r="AW74" i="4" l="1"/>
  <c r="BC74" i="4"/>
  <c r="BD74" i="4" s="1"/>
  <c r="AP74" i="4"/>
  <c r="AP79" i="4" s="1"/>
  <c r="AO79" i="4"/>
  <c r="D28" i="10"/>
  <c r="Q28" i="4"/>
  <c r="AQ74" i="4" l="1"/>
  <c r="AQ79" i="4"/>
  <c r="J18" i="10"/>
  <c r="D18" i="10"/>
  <c r="E18" i="10"/>
  <c r="F18" i="10"/>
  <c r="G18" i="10"/>
  <c r="H18" i="10"/>
  <c r="C18" i="10"/>
  <c r="AJ52" i="4"/>
  <c r="AH52" i="4"/>
  <c r="AA52" i="4"/>
  <c r="AU52" i="4"/>
  <c r="AV52" i="4" s="1"/>
  <c r="H11" i="10"/>
  <c r="AR48" i="4"/>
  <c r="AR33" i="4"/>
  <c r="AL40" i="4"/>
  <c r="AK40" i="4"/>
  <c r="AE40" i="4"/>
  <c r="AD40" i="4"/>
  <c r="AY31" i="4"/>
  <c r="AY32" i="4"/>
  <c r="AY33" i="4"/>
  <c r="AS23" i="4"/>
  <c r="AS24" i="4"/>
  <c r="AS25" i="4"/>
  <c r="AS26" i="4"/>
  <c r="AS27" i="4"/>
  <c r="AS28" i="4"/>
  <c r="AS22" i="4"/>
  <c r="AS17" i="4"/>
  <c r="AS18" i="4"/>
  <c r="AS19" i="4"/>
  <c r="AS16" i="4"/>
  <c r="AS32" i="4"/>
  <c r="AS33" i="4"/>
  <c r="AS34" i="4"/>
  <c r="AL31" i="4"/>
  <c r="AL32" i="4"/>
  <c r="AL33" i="4"/>
  <c r="AL34" i="4"/>
  <c r="AK31" i="4"/>
  <c r="AK32" i="4"/>
  <c r="AK33" i="4"/>
  <c r="AK34" i="4"/>
  <c r="AE34" i="4"/>
  <c r="AE31" i="4"/>
  <c r="AE32" i="4"/>
  <c r="AE33" i="4"/>
  <c r="AD31" i="4"/>
  <c r="AD32" i="4"/>
  <c r="AD33" i="4"/>
  <c r="AD34" i="4"/>
  <c r="X34" i="4"/>
  <c r="X33" i="4"/>
  <c r="X31" i="4"/>
  <c r="BA29" i="4"/>
  <c r="G5" i="10" s="1"/>
  <c r="BA20" i="4"/>
  <c r="G4" i="10" s="1"/>
  <c r="C41" i="10" l="1"/>
  <c r="AW52" i="4"/>
  <c r="J11" i="10"/>
  <c r="BE52" i="4"/>
  <c r="AB51" i="4" l="1"/>
  <c r="AB52" i="4" s="1"/>
  <c r="AC52" i="4" s="1"/>
  <c r="AL23" i="4"/>
  <c r="AL24" i="4"/>
  <c r="AL25" i="4"/>
  <c r="X24" i="4"/>
  <c r="X25" i="4"/>
  <c r="AE25" i="4"/>
  <c r="AE24" i="4"/>
  <c r="AE23" i="4"/>
  <c r="AE22" i="4"/>
  <c r="X23" i="4"/>
  <c r="W23" i="4"/>
  <c r="X22" i="4"/>
  <c r="W22" i="4"/>
  <c r="AC51" i="4" l="1"/>
  <c r="Q34" i="4"/>
  <c r="AF34" i="4" l="1"/>
  <c r="Y34" i="4"/>
  <c r="AT34" i="4"/>
  <c r="AM34" i="4"/>
  <c r="AL48" i="4"/>
  <c r="AE48" i="4"/>
  <c r="X48" i="4"/>
  <c r="W48" i="4"/>
  <c r="R48" i="4"/>
  <c r="S48" i="4" s="1"/>
  <c r="Q48" i="4"/>
  <c r="D48" i="4"/>
  <c r="AL47" i="4"/>
  <c r="AE47" i="4"/>
  <c r="X47" i="4"/>
  <c r="W47" i="4"/>
  <c r="R47" i="4"/>
  <c r="Q47" i="4"/>
  <c r="D47" i="4"/>
  <c r="D33" i="4"/>
  <c r="Q33" i="4"/>
  <c r="R33" i="4"/>
  <c r="S33" i="4" s="1"/>
  <c r="Q17" i="4"/>
  <c r="AT17" i="4" s="1"/>
  <c r="Q18" i="4"/>
  <c r="AT18" i="4" s="1"/>
  <c r="AT19" i="4"/>
  <c r="S47" i="4" l="1"/>
  <c r="AU47" i="4"/>
  <c r="AV47" i="4" s="1"/>
  <c r="AM47" i="4"/>
  <c r="AT47" i="4"/>
  <c r="AM48" i="4"/>
  <c r="AT48" i="4"/>
  <c r="AU16" i="4"/>
  <c r="AT16" i="4"/>
  <c r="Z33" i="4"/>
  <c r="AB33" i="4" s="1"/>
  <c r="Y33" i="4"/>
  <c r="AM33" i="4"/>
  <c r="AT33" i="4"/>
  <c r="AF33" i="4"/>
  <c r="AA33" i="4"/>
  <c r="AF17" i="4"/>
  <c r="Y18" i="4"/>
  <c r="AM16" i="4"/>
  <c r="AF16" i="4"/>
  <c r="AU85" i="4"/>
  <c r="AV85" i="4" s="1"/>
  <c r="AW85" i="4" s="1"/>
  <c r="BB85" i="4"/>
  <c r="BC85" i="4" s="1"/>
  <c r="AO85" i="4"/>
  <c r="AP85" i="4" s="1"/>
  <c r="AQ85" i="4" s="1"/>
  <c r="AG33" i="4"/>
  <c r="BA33" i="4"/>
  <c r="AU33" i="4"/>
  <c r="U33" i="4"/>
  <c r="T48" i="4"/>
  <c r="U48" i="4"/>
  <c r="BA48" i="4"/>
  <c r="BC48" i="4" s="1"/>
  <c r="AF48" i="4"/>
  <c r="Y48" i="4"/>
  <c r="Z48" i="4"/>
  <c r="AB48" i="4" s="1"/>
  <c r="AU48" i="4"/>
  <c r="T47" i="4"/>
  <c r="AF47" i="4"/>
  <c r="U47" i="4"/>
  <c r="BA47" i="4"/>
  <c r="BC47" i="4" s="1"/>
  <c r="Y47" i="4"/>
  <c r="Z47" i="4"/>
  <c r="T33" i="4"/>
  <c r="V47" i="4" l="1"/>
  <c r="AB47" i="4" s="1"/>
  <c r="V48" i="4"/>
  <c r="AC33" i="4"/>
  <c r="BB33" i="4"/>
  <c r="BC33" i="4"/>
  <c r="AV48" i="4"/>
  <c r="AW48" i="4" s="1"/>
  <c r="AU49" i="4"/>
  <c r="AH33" i="4"/>
  <c r="AI33" i="4"/>
  <c r="AV16" i="4"/>
  <c r="BD85" i="4"/>
  <c r="BB48" i="4"/>
  <c r="AA48" i="4"/>
  <c r="AA47" i="4"/>
  <c r="AW47" i="4"/>
  <c r="BB47" i="4"/>
  <c r="Q40" i="4"/>
  <c r="F10" i="10" l="1"/>
  <c r="F12" i="10" s="1"/>
  <c r="BB49" i="4"/>
  <c r="BD33" i="4"/>
  <c r="AU40" i="4"/>
  <c r="AZ40" i="4"/>
  <c r="AT40" i="4"/>
  <c r="AM40" i="4"/>
  <c r="AF40" i="4"/>
  <c r="AX40" i="4"/>
  <c r="AA49" i="4"/>
  <c r="AA53" i="4" s="1"/>
  <c r="AC47" i="4"/>
  <c r="AJ33" i="4"/>
  <c r="BD48" i="4"/>
  <c r="BD47" i="4"/>
  <c r="AC48" i="4"/>
  <c r="R28" i="4"/>
  <c r="CO482" i="4"/>
  <c r="CO481" i="4"/>
  <c r="CO480" i="4"/>
  <c r="CO479" i="4"/>
  <c r="CO478" i="4"/>
  <c r="CO477" i="4"/>
  <c r="CO476" i="4"/>
  <c r="CO475" i="4"/>
  <c r="CO474" i="4"/>
  <c r="CO473" i="4"/>
  <c r="CO472" i="4"/>
  <c r="CO471" i="4"/>
  <c r="CO470" i="4"/>
  <c r="CO469" i="4"/>
  <c r="CO468" i="4"/>
  <c r="CO467" i="4"/>
  <c r="CO466" i="4"/>
  <c r="CO465" i="4"/>
  <c r="CO464" i="4"/>
  <c r="CO463" i="4"/>
  <c r="CO462" i="4"/>
  <c r="CO461" i="4"/>
  <c r="CO460" i="4"/>
  <c r="CO459" i="4"/>
  <c r="CO458" i="4"/>
  <c r="CO457" i="4"/>
  <c r="CO456" i="4"/>
  <c r="CO455" i="4"/>
  <c r="CO454" i="4"/>
  <c r="CO453" i="4"/>
  <c r="CO452" i="4"/>
  <c r="CO451" i="4"/>
  <c r="CO450" i="4"/>
  <c r="CO449" i="4"/>
  <c r="CO448" i="4"/>
  <c r="CO447" i="4"/>
  <c r="CO446" i="4"/>
  <c r="CO445" i="4"/>
  <c r="CO444" i="4"/>
  <c r="CO443" i="4"/>
  <c r="CO442" i="4"/>
  <c r="CO441" i="4"/>
  <c r="CO440" i="4"/>
  <c r="CO439" i="4"/>
  <c r="CO438" i="4"/>
  <c r="CO437" i="4"/>
  <c r="V77" i="4" s="1"/>
  <c r="AB77" i="4" s="1"/>
  <c r="AC77" i="4" s="1"/>
  <c r="BF77" i="4" s="1"/>
  <c r="CO436" i="4"/>
  <c r="CO435" i="4"/>
  <c r="CO434" i="4"/>
  <c r="CO433" i="4"/>
  <c r="CO432" i="4"/>
  <c r="CO431" i="4"/>
  <c r="CO430" i="4"/>
  <c r="CO429" i="4"/>
  <c r="CO428" i="4"/>
  <c r="V76" i="4" s="1"/>
  <c r="AB76" i="4" s="1"/>
  <c r="AC76" i="4" s="1"/>
  <c r="CO427" i="4"/>
  <c r="CO426" i="4"/>
  <c r="CO425" i="4"/>
  <c r="CO424" i="4"/>
  <c r="CO423" i="4"/>
  <c r="CO422" i="4"/>
  <c r="CO421" i="4"/>
  <c r="CO420" i="4"/>
  <c r="CO419" i="4"/>
  <c r="CO418" i="4"/>
  <c r="CO417" i="4"/>
  <c r="CO416" i="4"/>
  <c r="CO415" i="4"/>
  <c r="CO414" i="4"/>
  <c r="CO413" i="4"/>
  <c r="CO412" i="4"/>
  <c r="CO411" i="4"/>
  <c r="CO410" i="4"/>
  <c r="CO409" i="4"/>
  <c r="CO408" i="4"/>
  <c r="CO407" i="4"/>
  <c r="CO406" i="4"/>
  <c r="CO405" i="4"/>
  <c r="CO404" i="4"/>
  <c r="CO403" i="4"/>
  <c r="CO402" i="4"/>
  <c r="CO401" i="4"/>
  <c r="CO400" i="4"/>
  <c r="CO399" i="4"/>
  <c r="CO398" i="4"/>
  <c r="CO397" i="4"/>
  <c r="CO396" i="4"/>
  <c r="CO395" i="4"/>
  <c r="CO394" i="4"/>
  <c r="CO393" i="4"/>
  <c r="CO392" i="4"/>
  <c r="CO391" i="4"/>
  <c r="CO390" i="4"/>
  <c r="CO389" i="4"/>
  <c r="CO388" i="4"/>
  <c r="CO387" i="4"/>
  <c r="CO386" i="4"/>
  <c r="CO385" i="4"/>
  <c r="CO384" i="4"/>
  <c r="CO383" i="4"/>
  <c r="CO382" i="4"/>
  <c r="CO381" i="4"/>
  <c r="CO380" i="4"/>
  <c r="CO379" i="4"/>
  <c r="CO376" i="4"/>
  <c r="CO375" i="4"/>
  <c r="CO374" i="4"/>
  <c r="CO373" i="4"/>
  <c r="CO372" i="4"/>
  <c r="CO371" i="4"/>
  <c r="CO370" i="4"/>
  <c r="CO369" i="4"/>
  <c r="CO368" i="4"/>
  <c r="CO367" i="4"/>
  <c r="CO366" i="4"/>
  <c r="CO365" i="4"/>
  <c r="CO364" i="4"/>
  <c r="CO363" i="4"/>
  <c r="CO362" i="4"/>
  <c r="CO361" i="4"/>
  <c r="CO360" i="4"/>
  <c r="CO359" i="4"/>
  <c r="CO351" i="4"/>
  <c r="CO350" i="4"/>
  <c r="CO349" i="4"/>
  <c r="CO348" i="4"/>
  <c r="CO347" i="4"/>
  <c r="CO346" i="4"/>
  <c r="CO345" i="4"/>
  <c r="CO344" i="4"/>
  <c r="CO343" i="4"/>
  <c r="CO342" i="4"/>
  <c r="CO341" i="4"/>
  <c r="CO340" i="4"/>
  <c r="CO339" i="4"/>
  <c r="CO338" i="4"/>
  <c r="CO337" i="4"/>
  <c r="CO336" i="4"/>
  <c r="CO335" i="4"/>
  <c r="CO334" i="4"/>
  <c r="CO333" i="4"/>
  <c r="CO332" i="4"/>
  <c r="CO331" i="4"/>
  <c r="CO330" i="4"/>
  <c r="CO329" i="4"/>
  <c r="CO328" i="4"/>
  <c r="CO327" i="4"/>
  <c r="CO326" i="4"/>
  <c r="CO325" i="4"/>
  <c r="CO324" i="4"/>
  <c r="CO323" i="4"/>
  <c r="CO322" i="4"/>
  <c r="CO321" i="4"/>
  <c r="CO320" i="4"/>
  <c r="CO319" i="4"/>
  <c r="CO318" i="4"/>
  <c r="CO317" i="4"/>
  <c r="CO316" i="4"/>
  <c r="CO315" i="4"/>
  <c r="CO314" i="4"/>
  <c r="CO313" i="4"/>
  <c r="CO312" i="4"/>
  <c r="CO311" i="4"/>
  <c r="CO310" i="4"/>
  <c r="CO309" i="4"/>
  <c r="CO308" i="4"/>
  <c r="CO307" i="4"/>
  <c r="CO306" i="4"/>
  <c r="CO305" i="4"/>
  <c r="CO304" i="4"/>
  <c r="CO303" i="4"/>
  <c r="CO302" i="4"/>
  <c r="CO301" i="4"/>
  <c r="CO300" i="4"/>
  <c r="CO299" i="4"/>
  <c r="CO298" i="4"/>
  <c r="CO297" i="4"/>
  <c r="CO296" i="4"/>
  <c r="CO295" i="4"/>
  <c r="CO294" i="4"/>
  <c r="CO293" i="4"/>
  <c r="CO292" i="4"/>
  <c r="CO291" i="4"/>
  <c r="CO290" i="4"/>
  <c r="CO289" i="4"/>
  <c r="CO288" i="4"/>
  <c r="CO287" i="4"/>
  <c r="CO286" i="4"/>
  <c r="CO285" i="4"/>
  <c r="CO284" i="4"/>
  <c r="CO283" i="4"/>
  <c r="CO282" i="4"/>
  <c r="CO281" i="4"/>
  <c r="CO280" i="4"/>
  <c r="CO279" i="4"/>
  <c r="CO278" i="4"/>
  <c r="CO277" i="4"/>
  <c r="CO276" i="4"/>
  <c r="CO275" i="4"/>
  <c r="CO274" i="4"/>
  <c r="CO273" i="4"/>
  <c r="CO272" i="4"/>
  <c r="CO271" i="4"/>
  <c r="CO270" i="4"/>
  <c r="CO269" i="4"/>
  <c r="CO268" i="4"/>
  <c r="CO258" i="4"/>
  <c r="CO252" i="4"/>
  <c r="CO251" i="4"/>
  <c r="CO250" i="4"/>
  <c r="CO249" i="4"/>
  <c r="CO248" i="4"/>
  <c r="CO247" i="4"/>
  <c r="CO246" i="4"/>
  <c r="CO245" i="4"/>
  <c r="CO244" i="4"/>
  <c r="CO243" i="4"/>
  <c r="CO242" i="4"/>
  <c r="CO241" i="4"/>
  <c r="CO240" i="4"/>
  <c r="CO239" i="4"/>
  <c r="CO238" i="4"/>
  <c r="CO237" i="4"/>
  <c r="CO236" i="4"/>
  <c r="CO235" i="4"/>
  <c r="CO234" i="4"/>
  <c r="CO233" i="4"/>
  <c r="CO232" i="4"/>
  <c r="CO231" i="4"/>
  <c r="CO230" i="4"/>
  <c r="CO229" i="4"/>
  <c r="CO228" i="4"/>
  <c r="CO227" i="4"/>
  <c r="CO226" i="4"/>
  <c r="CO225" i="4"/>
  <c r="CO224" i="4"/>
  <c r="CO223" i="4"/>
  <c r="CO222" i="4"/>
  <c r="CO221" i="4"/>
  <c r="V34" i="4" s="1"/>
  <c r="CO220" i="4"/>
  <c r="CO219" i="4"/>
  <c r="CO218" i="4"/>
  <c r="CO217" i="4"/>
  <c r="CO216" i="4"/>
  <c r="CO215" i="4"/>
  <c r="CO214" i="4"/>
  <c r="CO213" i="4"/>
  <c r="CO212" i="4"/>
  <c r="CO211" i="4"/>
  <c r="CO210" i="4"/>
  <c r="CO209" i="4"/>
  <c r="CO208" i="4"/>
  <c r="CO207" i="4"/>
  <c r="CO206" i="4"/>
  <c r="CO205" i="4"/>
  <c r="V33" i="4" s="1"/>
  <c r="CO204" i="4"/>
  <c r="CO203" i="4"/>
  <c r="CO202" i="4"/>
  <c r="CO201" i="4"/>
  <c r="CO200" i="4"/>
  <c r="CO199" i="4"/>
  <c r="CO198" i="4"/>
  <c r="CO197" i="4"/>
  <c r="CO196" i="4"/>
  <c r="CO195" i="4"/>
  <c r="CO194" i="4"/>
  <c r="CO193" i="4"/>
  <c r="CO192" i="4"/>
  <c r="CO191" i="4"/>
  <c r="CO190" i="4"/>
  <c r="CO189" i="4"/>
  <c r="CO188" i="4"/>
  <c r="CO187" i="4"/>
  <c r="CO186" i="4"/>
  <c r="CO185" i="4"/>
  <c r="CO184" i="4"/>
  <c r="CO183" i="4"/>
  <c r="CO182" i="4"/>
  <c r="CO181" i="4"/>
  <c r="CO180" i="4"/>
  <c r="CO179" i="4"/>
  <c r="CO178" i="4"/>
  <c r="AW285" i="4"/>
  <c r="BF284" i="4" s="1"/>
  <c r="AU277" i="4"/>
  <c r="AY285" i="4"/>
  <c r="BF286" i="4" s="1"/>
  <c r="AX285" i="4"/>
  <c r="BF285" i="4" s="1"/>
  <c r="AV285" i="4"/>
  <c r="BF283" i="4" s="1"/>
  <c r="AU285" i="4"/>
  <c r="BJ270" i="4" s="1"/>
  <c r="BW268" i="4"/>
  <c r="BM262" i="4"/>
  <c r="CO262" i="4" s="1"/>
  <c r="BE262" i="4"/>
  <c r="BM261" i="4"/>
  <c r="CO261" i="4" s="1"/>
  <c r="BL261" i="4"/>
  <c r="BE261" i="4"/>
  <c r="BM260" i="4"/>
  <c r="CO260" i="4" s="1"/>
  <c r="BL260" i="4"/>
  <c r="BF260" i="4"/>
  <c r="BE260" i="4"/>
  <c r="BM259" i="4"/>
  <c r="CO259" i="4" s="1"/>
  <c r="BE259" i="4"/>
  <c r="BJ257" i="4"/>
  <c r="BE257" i="4" s="1"/>
  <c r="BL257" i="4"/>
  <c r="BM257" i="4"/>
  <c r="CO257" i="4" s="1"/>
  <c r="BM256" i="4"/>
  <c r="CO256" i="4" s="1"/>
  <c r="BL256" i="4"/>
  <c r="BJ256" i="4"/>
  <c r="BE256" i="4" s="1"/>
  <c r="BM255" i="4"/>
  <c r="CO255" i="4" s="1"/>
  <c r="BL255" i="4"/>
  <c r="BJ255" i="4"/>
  <c r="BE255" i="4" s="1"/>
  <c r="BM254" i="4"/>
  <c r="CO254" i="4" s="1"/>
  <c r="BL254" i="4"/>
  <c r="BJ254" i="4"/>
  <c r="BE254" i="4" s="1"/>
  <c r="BF254" i="4"/>
  <c r="BM253" i="4"/>
  <c r="CO253" i="4" s="1"/>
  <c r="BL253" i="4"/>
  <c r="BJ253" i="4"/>
  <c r="BE253" i="4" s="1"/>
  <c r="BJ252" i="4"/>
  <c r="BE252" i="4" s="1"/>
  <c r="AY286" i="4"/>
  <c r="AX286" i="4"/>
  <c r="AW286" i="4"/>
  <c r="AV286" i="4"/>
  <c r="AU286" i="4"/>
  <c r="BJ275" i="4" s="1"/>
  <c r="AZ325" i="4"/>
  <c r="AZ324" i="4"/>
  <c r="AZ323" i="4"/>
  <c r="S340" i="4"/>
  <c r="T340" i="4"/>
  <c r="U340" i="4"/>
  <c r="V340" i="4"/>
  <c r="W340" i="4"/>
  <c r="X340" i="4"/>
  <c r="Y340" i="4"/>
  <c r="Z340" i="4"/>
  <c r="AA340" i="4"/>
  <c r="AB340" i="4"/>
  <c r="AC340" i="4"/>
  <c r="AD340" i="4"/>
  <c r="AF340" i="4"/>
  <c r="S341" i="4"/>
  <c r="T341" i="4"/>
  <c r="U341" i="4"/>
  <c r="V341" i="4"/>
  <c r="W341" i="4"/>
  <c r="X341" i="4"/>
  <c r="Y341" i="4"/>
  <c r="Z341" i="4"/>
  <c r="AA341" i="4"/>
  <c r="AB341" i="4"/>
  <c r="AC341" i="4"/>
  <c r="AD341" i="4"/>
  <c r="AF341" i="4"/>
  <c r="S342" i="4"/>
  <c r="T342" i="4"/>
  <c r="U342" i="4"/>
  <c r="V342" i="4"/>
  <c r="W342" i="4"/>
  <c r="X342" i="4"/>
  <c r="Y342" i="4"/>
  <c r="Z342" i="4"/>
  <c r="AA342" i="4"/>
  <c r="AB342" i="4"/>
  <c r="AC342" i="4"/>
  <c r="AD342" i="4"/>
  <c r="AF342" i="4"/>
  <c r="S343" i="4"/>
  <c r="T343" i="4"/>
  <c r="U343" i="4"/>
  <c r="V343" i="4"/>
  <c r="W343" i="4"/>
  <c r="X343" i="4"/>
  <c r="Y343" i="4"/>
  <c r="Z343" i="4"/>
  <c r="AA343" i="4"/>
  <c r="AB343" i="4"/>
  <c r="AC343" i="4"/>
  <c r="AD343" i="4"/>
  <c r="AF343" i="4"/>
  <c r="S344" i="4"/>
  <c r="T344" i="4"/>
  <c r="U344" i="4"/>
  <c r="V344" i="4"/>
  <c r="W344" i="4"/>
  <c r="X344" i="4"/>
  <c r="Y344" i="4"/>
  <c r="Z344" i="4"/>
  <c r="AA344" i="4"/>
  <c r="AB344" i="4"/>
  <c r="AC344" i="4"/>
  <c r="AD344" i="4"/>
  <c r="AF344" i="4"/>
  <c r="S345" i="4"/>
  <c r="T345" i="4"/>
  <c r="U345" i="4"/>
  <c r="V345" i="4"/>
  <c r="W345" i="4"/>
  <c r="X345" i="4"/>
  <c r="Y345" i="4"/>
  <c r="Z345" i="4"/>
  <c r="AA345" i="4"/>
  <c r="AB345" i="4"/>
  <c r="AC345" i="4"/>
  <c r="AD345" i="4"/>
  <c r="AF345" i="4"/>
  <c r="S346" i="4"/>
  <c r="T346" i="4"/>
  <c r="U346" i="4"/>
  <c r="V346" i="4"/>
  <c r="W346" i="4"/>
  <c r="X346" i="4"/>
  <c r="Y346" i="4"/>
  <c r="Z346" i="4"/>
  <c r="AA346" i="4"/>
  <c r="AB346" i="4"/>
  <c r="AC346" i="4"/>
  <c r="AD346" i="4"/>
  <c r="AF346" i="4"/>
  <c r="S347" i="4"/>
  <c r="T347" i="4"/>
  <c r="U347" i="4"/>
  <c r="V347" i="4"/>
  <c r="W347" i="4"/>
  <c r="X347" i="4"/>
  <c r="Y347" i="4"/>
  <c r="Z347" i="4"/>
  <c r="AA347" i="4"/>
  <c r="AB347" i="4"/>
  <c r="AC347" i="4"/>
  <c r="AD347" i="4"/>
  <c r="AF347" i="4"/>
  <c r="S348" i="4"/>
  <c r="T348" i="4"/>
  <c r="U348" i="4"/>
  <c r="V348" i="4"/>
  <c r="W348" i="4"/>
  <c r="X348" i="4"/>
  <c r="Y348" i="4"/>
  <c r="Z348" i="4"/>
  <c r="AA348" i="4"/>
  <c r="AB348" i="4"/>
  <c r="AC348" i="4"/>
  <c r="AD348" i="4"/>
  <c r="AF348" i="4"/>
  <c r="S349" i="4"/>
  <c r="T349" i="4"/>
  <c r="U349" i="4"/>
  <c r="V349" i="4"/>
  <c r="W349" i="4"/>
  <c r="X349" i="4"/>
  <c r="Y349" i="4"/>
  <c r="Z349" i="4"/>
  <c r="AA349" i="4"/>
  <c r="AB349" i="4"/>
  <c r="AC349" i="4"/>
  <c r="AD349" i="4"/>
  <c r="AF349" i="4"/>
  <c r="S318" i="4"/>
  <c r="T318" i="4"/>
  <c r="U318" i="4"/>
  <c r="V318" i="4"/>
  <c r="W318" i="4"/>
  <c r="X318" i="4"/>
  <c r="Y318" i="4"/>
  <c r="Z318" i="4"/>
  <c r="AA318" i="4"/>
  <c r="AB318" i="4"/>
  <c r="AC318" i="4"/>
  <c r="AD318" i="4"/>
  <c r="AF318" i="4"/>
  <c r="S319" i="4"/>
  <c r="T319" i="4"/>
  <c r="U319" i="4"/>
  <c r="V319" i="4"/>
  <c r="W319" i="4"/>
  <c r="X319" i="4"/>
  <c r="Y319" i="4"/>
  <c r="Z319" i="4"/>
  <c r="AA319" i="4"/>
  <c r="AB319" i="4"/>
  <c r="AC319" i="4"/>
  <c r="AD319" i="4"/>
  <c r="AF319" i="4"/>
  <c r="S320" i="4"/>
  <c r="T320" i="4"/>
  <c r="U320" i="4"/>
  <c r="V320" i="4"/>
  <c r="W320" i="4"/>
  <c r="X320" i="4"/>
  <c r="Y320" i="4"/>
  <c r="Z320" i="4"/>
  <c r="AA320" i="4"/>
  <c r="AB320" i="4"/>
  <c r="AC320" i="4"/>
  <c r="AD320" i="4"/>
  <c r="AF320" i="4"/>
  <c r="S321" i="4"/>
  <c r="T321" i="4"/>
  <c r="U321" i="4"/>
  <c r="V321" i="4"/>
  <c r="W321" i="4"/>
  <c r="X321" i="4"/>
  <c r="Y321" i="4"/>
  <c r="Z321" i="4"/>
  <c r="AA321" i="4"/>
  <c r="AB321" i="4"/>
  <c r="AC321" i="4"/>
  <c r="AD321" i="4"/>
  <c r="AF321" i="4"/>
  <c r="S322" i="4"/>
  <c r="T322" i="4"/>
  <c r="U322" i="4"/>
  <c r="V322" i="4"/>
  <c r="W322" i="4"/>
  <c r="X322" i="4"/>
  <c r="Y322" i="4"/>
  <c r="Z322" i="4"/>
  <c r="AA322" i="4"/>
  <c r="AB322" i="4"/>
  <c r="AC322" i="4"/>
  <c r="AD322" i="4"/>
  <c r="AF322" i="4"/>
  <c r="S323" i="4"/>
  <c r="T323" i="4"/>
  <c r="U323" i="4"/>
  <c r="V323" i="4"/>
  <c r="W323" i="4"/>
  <c r="Z323" i="4"/>
  <c r="AA323" i="4"/>
  <c r="AB323" i="4"/>
  <c r="AC323" i="4"/>
  <c r="AD323" i="4"/>
  <c r="AE323" i="4"/>
  <c r="AF323" i="4"/>
  <c r="S324" i="4"/>
  <c r="T324" i="4"/>
  <c r="U324" i="4"/>
  <c r="V324" i="4"/>
  <c r="W324" i="4"/>
  <c r="Z324" i="4"/>
  <c r="AA324" i="4"/>
  <c r="AB324" i="4"/>
  <c r="AC324" i="4"/>
  <c r="AD324" i="4"/>
  <c r="AE324" i="4"/>
  <c r="AF324" i="4"/>
  <c r="S325" i="4"/>
  <c r="T325" i="4"/>
  <c r="U325" i="4"/>
  <c r="V325" i="4"/>
  <c r="W325" i="4"/>
  <c r="Z325" i="4"/>
  <c r="AA325" i="4"/>
  <c r="AB325" i="4"/>
  <c r="AC325" i="4"/>
  <c r="AD325" i="4"/>
  <c r="AE325" i="4"/>
  <c r="AF325" i="4"/>
  <c r="S326" i="4"/>
  <c r="T326" i="4"/>
  <c r="U326" i="4"/>
  <c r="V326" i="4"/>
  <c r="W326" i="4"/>
  <c r="X326" i="4"/>
  <c r="Y326" i="4"/>
  <c r="Z326" i="4"/>
  <c r="AA326" i="4"/>
  <c r="AB326" i="4"/>
  <c r="AC326" i="4"/>
  <c r="AD326" i="4"/>
  <c r="AF326" i="4"/>
  <c r="S327" i="4"/>
  <c r="T327" i="4"/>
  <c r="U327" i="4"/>
  <c r="V327" i="4"/>
  <c r="W327" i="4"/>
  <c r="X327" i="4"/>
  <c r="Y327" i="4"/>
  <c r="Z327" i="4"/>
  <c r="AA327" i="4"/>
  <c r="AB327" i="4"/>
  <c r="AC327" i="4"/>
  <c r="AD327" i="4"/>
  <c r="AF327" i="4"/>
  <c r="S328" i="4"/>
  <c r="T328" i="4"/>
  <c r="U328" i="4"/>
  <c r="V328" i="4"/>
  <c r="W328" i="4"/>
  <c r="X328" i="4"/>
  <c r="Y328" i="4"/>
  <c r="Z328" i="4"/>
  <c r="AA328" i="4"/>
  <c r="AB328" i="4"/>
  <c r="AC328" i="4"/>
  <c r="AD328" i="4"/>
  <c r="AF328" i="4"/>
  <c r="S329" i="4"/>
  <c r="T329" i="4"/>
  <c r="U329" i="4"/>
  <c r="V329" i="4"/>
  <c r="W329" i="4"/>
  <c r="X329" i="4"/>
  <c r="Y329" i="4"/>
  <c r="Z329" i="4"/>
  <c r="AA329" i="4"/>
  <c r="AB329" i="4"/>
  <c r="AC329" i="4"/>
  <c r="AD329" i="4"/>
  <c r="AF329" i="4"/>
  <c r="S330" i="4"/>
  <c r="T330" i="4"/>
  <c r="U330" i="4"/>
  <c r="V330" i="4"/>
  <c r="W330" i="4"/>
  <c r="X330" i="4"/>
  <c r="Y330" i="4"/>
  <c r="Z330" i="4"/>
  <c r="AA330" i="4"/>
  <c r="AB330" i="4"/>
  <c r="AC330" i="4"/>
  <c r="AD330" i="4"/>
  <c r="AF330" i="4"/>
  <c r="S331" i="4"/>
  <c r="T331" i="4"/>
  <c r="U331" i="4"/>
  <c r="V331" i="4"/>
  <c r="W331" i="4"/>
  <c r="X331" i="4"/>
  <c r="Y331" i="4"/>
  <c r="Z331" i="4"/>
  <c r="AA331" i="4"/>
  <c r="AB331" i="4"/>
  <c r="AC331" i="4"/>
  <c r="AD331" i="4"/>
  <c r="AF331" i="4"/>
  <c r="S332" i="4"/>
  <c r="T332" i="4"/>
  <c r="U332" i="4"/>
  <c r="V332" i="4"/>
  <c r="W332" i="4"/>
  <c r="X332" i="4"/>
  <c r="Y332" i="4"/>
  <c r="Z332" i="4"/>
  <c r="AA332" i="4"/>
  <c r="AB332" i="4"/>
  <c r="AC332" i="4"/>
  <c r="AD332" i="4"/>
  <c r="AF332" i="4"/>
  <c r="S333" i="4"/>
  <c r="T333" i="4"/>
  <c r="U333" i="4"/>
  <c r="V333" i="4"/>
  <c r="W333" i="4"/>
  <c r="X333" i="4"/>
  <c r="Y333" i="4"/>
  <c r="Z333" i="4"/>
  <c r="AA333" i="4"/>
  <c r="AB333" i="4"/>
  <c r="AC333" i="4"/>
  <c r="AD333" i="4"/>
  <c r="AF333" i="4"/>
  <c r="S334" i="4"/>
  <c r="T334" i="4"/>
  <c r="U334" i="4"/>
  <c r="V334" i="4"/>
  <c r="W334" i="4"/>
  <c r="X334" i="4"/>
  <c r="Y334" i="4"/>
  <c r="Z334" i="4"/>
  <c r="AA334" i="4"/>
  <c r="AB334" i="4"/>
  <c r="AC334" i="4"/>
  <c r="AD334" i="4"/>
  <c r="AF334" i="4"/>
  <c r="S335" i="4"/>
  <c r="T335" i="4"/>
  <c r="U335" i="4"/>
  <c r="V335" i="4"/>
  <c r="W335" i="4"/>
  <c r="X335" i="4"/>
  <c r="Y335" i="4"/>
  <c r="Z335" i="4"/>
  <c r="AA335" i="4"/>
  <c r="AB335" i="4"/>
  <c r="AC335" i="4"/>
  <c r="AD335" i="4"/>
  <c r="AF335" i="4"/>
  <c r="S336" i="4"/>
  <c r="T336" i="4"/>
  <c r="U336" i="4"/>
  <c r="V336" i="4"/>
  <c r="W336" i="4"/>
  <c r="X336" i="4"/>
  <c r="Y336" i="4"/>
  <c r="Z336" i="4"/>
  <c r="AA336" i="4"/>
  <c r="AB336" i="4"/>
  <c r="AC336" i="4"/>
  <c r="AD336" i="4"/>
  <c r="AF336" i="4"/>
  <c r="S337" i="4"/>
  <c r="T337" i="4"/>
  <c r="U337" i="4"/>
  <c r="V337" i="4"/>
  <c r="W337" i="4"/>
  <c r="X337" i="4"/>
  <c r="Y337" i="4"/>
  <c r="Z337" i="4"/>
  <c r="AA337" i="4"/>
  <c r="AB337" i="4"/>
  <c r="AC337" i="4"/>
  <c r="AD337" i="4"/>
  <c r="AF337" i="4"/>
  <c r="S338" i="4"/>
  <c r="T338" i="4"/>
  <c r="U338" i="4"/>
  <c r="V338" i="4"/>
  <c r="W338" i="4"/>
  <c r="X338" i="4"/>
  <c r="Y338" i="4"/>
  <c r="Z338" i="4"/>
  <c r="AA338" i="4"/>
  <c r="AB338" i="4"/>
  <c r="AC338" i="4"/>
  <c r="AD338" i="4"/>
  <c r="AF338" i="4"/>
  <c r="S339" i="4"/>
  <c r="T339" i="4"/>
  <c r="U339" i="4"/>
  <c r="V339" i="4"/>
  <c r="W339" i="4"/>
  <c r="X339" i="4"/>
  <c r="Y339" i="4"/>
  <c r="Z339" i="4"/>
  <c r="AA339" i="4"/>
  <c r="AB339" i="4"/>
  <c r="AC339" i="4"/>
  <c r="AD339" i="4"/>
  <c r="AF339" i="4"/>
  <c r="T317" i="4"/>
  <c r="U317" i="4"/>
  <c r="V317" i="4"/>
  <c r="W317" i="4"/>
  <c r="X317" i="4"/>
  <c r="Y317" i="4"/>
  <c r="Z317" i="4"/>
  <c r="AA317" i="4"/>
  <c r="AB317" i="4"/>
  <c r="AC317" i="4"/>
  <c r="AD317" i="4"/>
  <c r="AF317" i="4"/>
  <c r="S317" i="4"/>
  <c r="BB352" i="4"/>
  <c r="BA352" i="4"/>
  <c r="AZ352" i="4"/>
  <c r="AY352" i="4"/>
  <c r="AX352" i="4"/>
  <c r="AV352" i="4"/>
  <c r="AU352" i="4"/>
  <c r="AT352" i="4"/>
  <c r="AS352" i="4"/>
  <c r="AR352" i="4"/>
  <c r="AP352" i="4"/>
  <c r="AO352" i="4"/>
  <c r="BB351" i="4"/>
  <c r="BA351" i="4"/>
  <c r="AZ351" i="4"/>
  <c r="AY351" i="4"/>
  <c r="AX351" i="4"/>
  <c r="AV351" i="4"/>
  <c r="AU351" i="4"/>
  <c r="AT351" i="4"/>
  <c r="AS351" i="4"/>
  <c r="AR351" i="4"/>
  <c r="AP351" i="4"/>
  <c r="AO351" i="4"/>
  <c r="BB350" i="4"/>
  <c r="BA350" i="4"/>
  <c r="AZ350" i="4"/>
  <c r="AY350" i="4"/>
  <c r="AX350" i="4"/>
  <c r="AV350" i="4"/>
  <c r="AU350" i="4"/>
  <c r="AT350" i="4"/>
  <c r="AS350" i="4"/>
  <c r="AR350" i="4"/>
  <c r="AP350" i="4"/>
  <c r="AO350" i="4"/>
  <c r="BB349" i="4"/>
  <c r="BA349" i="4"/>
  <c r="AZ349" i="4"/>
  <c r="AY349" i="4"/>
  <c r="AX349" i="4"/>
  <c r="AV349" i="4"/>
  <c r="AU349" i="4"/>
  <c r="AT349" i="4"/>
  <c r="AS349" i="4"/>
  <c r="AR349" i="4"/>
  <c r="AP349" i="4"/>
  <c r="AO349" i="4"/>
  <c r="BB348" i="4"/>
  <c r="BA348" i="4"/>
  <c r="AZ348" i="4"/>
  <c r="AY348" i="4"/>
  <c r="AX348" i="4"/>
  <c r="AV348" i="4"/>
  <c r="AU348" i="4"/>
  <c r="AT348" i="4"/>
  <c r="AS348" i="4"/>
  <c r="AR348" i="4"/>
  <c r="AP348" i="4"/>
  <c r="AO348" i="4"/>
  <c r="BB347" i="4"/>
  <c r="BA347" i="4"/>
  <c r="AZ347" i="4"/>
  <c r="AY347" i="4"/>
  <c r="AX347" i="4"/>
  <c r="AV347" i="4"/>
  <c r="AU347" i="4"/>
  <c r="AT347" i="4"/>
  <c r="AS347" i="4"/>
  <c r="AR347" i="4"/>
  <c r="AP347" i="4"/>
  <c r="AO347" i="4"/>
  <c r="BC325" i="4"/>
  <c r="BC324" i="4"/>
  <c r="BC323" i="4"/>
  <c r="BB323" i="4"/>
  <c r="BB346" i="4"/>
  <c r="BA346" i="4"/>
  <c r="AZ346" i="4"/>
  <c r="AY346" i="4"/>
  <c r="AX346" i="4"/>
  <c r="AV346" i="4"/>
  <c r="AU346" i="4"/>
  <c r="AT346" i="4"/>
  <c r="AS346" i="4"/>
  <c r="AR346" i="4"/>
  <c r="AP346" i="4"/>
  <c r="AO346" i="4"/>
  <c r="BB345" i="4"/>
  <c r="BA345" i="4"/>
  <c r="AZ345" i="4"/>
  <c r="AY345" i="4"/>
  <c r="AX345" i="4"/>
  <c r="AV345" i="4"/>
  <c r="AU345" i="4"/>
  <c r="AT345" i="4"/>
  <c r="AS345" i="4"/>
  <c r="AR345" i="4"/>
  <c r="AP345" i="4"/>
  <c r="AO345" i="4"/>
  <c r="BB344" i="4"/>
  <c r="BA344" i="4"/>
  <c r="AZ344" i="4"/>
  <c r="AY344" i="4"/>
  <c r="AX344" i="4"/>
  <c r="AV344" i="4"/>
  <c r="AU344" i="4"/>
  <c r="AT344" i="4"/>
  <c r="AS344" i="4"/>
  <c r="AR344" i="4"/>
  <c r="AP344" i="4"/>
  <c r="AO344" i="4"/>
  <c r="BB343" i="4"/>
  <c r="BA343" i="4"/>
  <c r="AZ343" i="4"/>
  <c r="AY343" i="4"/>
  <c r="AX343" i="4"/>
  <c r="AV343" i="4"/>
  <c r="AU343" i="4"/>
  <c r="AT343" i="4"/>
  <c r="AS343" i="4"/>
  <c r="AR343" i="4"/>
  <c r="AP343" i="4"/>
  <c r="AO343" i="4"/>
  <c r="BB342" i="4"/>
  <c r="BA342" i="4"/>
  <c r="AZ342" i="4"/>
  <c r="AY342" i="4"/>
  <c r="AX342" i="4"/>
  <c r="AV342" i="4"/>
  <c r="AU342" i="4"/>
  <c r="AT342" i="4"/>
  <c r="AS342" i="4"/>
  <c r="AR342" i="4"/>
  <c r="AP342" i="4"/>
  <c r="AO342" i="4"/>
  <c r="BB341" i="4"/>
  <c r="BA341" i="4"/>
  <c r="AZ341" i="4"/>
  <c r="AY341" i="4"/>
  <c r="AX341" i="4"/>
  <c r="AV341" i="4"/>
  <c r="AU341" i="4"/>
  <c r="AT341" i="4"/>
  <c r="AS341" i="4"/>
  <c r="AR341" i="4"/>
  <c r="AP341" i="4"/>
  <c r="AO341" i="4"/>
  <c r="BB340" i="4"/>
  <c r="BA340" i="4"/>
  <c r="AZ340" i="4"/>
  <c r="AY340" i="4"/>
  <c r="AX340" i="4"/>
  <c r="AV340" i="4"/>
  <c r="AU340" i="4"/>
  <c r="AT340" i="4"/>
  <c r="AS340" i="4"/>
  <c r="AR340" i="4"/>
  <c r="AP340" i="4"/>
  <c r="AO340" i="4"/>
  <c r="BB339" i="4"/>
  <c r="BA339" i="4"/>
  <c r="AZ339" i="4"/>
  <c r="AY339" i="4"/>
  <c r="AX339" i="4"/>
  <c r="AV339" i="4"/>
  <c r="AU339" i="4"/>
  <c r="AT339" i="4"/>
  <c r="AS339" i="4"/>
  <c r="AR339" i="4"/>
  <c r="AP339" i="4"/>
  <c r="AO339" i="4"/>
  <c r="BB338" i="4"/>
  <c r="BA338" i="4"/>
  <c r="AZ338" i="4"/>
  <c r="AY338" i="4"/>
  <c r="AX338" i="4"/>
  <c r="AV338" i="4"/>
  <c r="AU338" i="4"/>
  <c r="AT338" i="4"/>
  <c r="AS338" i="4"/>
  <c r="AR338" i="4"/>
  <c r="AP338" i="4"/>
  <c r="AO338" i="4"/>
  <c r="BB337" i="4"/>
  <c r="BA337" i="4"/>
  <c r="AZ337" i="4"/>
  <c r="AY337" i="4"/>
  <c r="AX337" i="4"/>
  <c r="AV337" i="4"/>
  <c r="AU337" i="4"/>
  <c r="AT337" i="4"/>
  <c r="AS337" i="4"/>
  <c r="AR337" i="4"/>
  <c r="AP337" i="4"/>
  <c r="AO337" i="4"/>
  <c r="BB336" i="4"/>
  <c r="BA336" i="4"/>
  <c r="AZ336" i="4"/>
  <c r="AY336" i="4"/>
  <c r="AX336" i="4"/>
  <c r="AV336" i="4"/>
  <c r="AU336" i="4"/>
  <c r="AT336" i="4"/>
  <c r="AS336" i="4"/>
  <c r="AR336" i="4"/>
  <c r="AP336" i="4"/>
  <c r="AO336" i="4"/>
  <c r="BB335" i="4"/>
  <c r="BA335" i="4"/>
  <c r="AZ335" i="4"/>
  <c r="AY335" i="4"/>
  <c r="AX335" i="4"/>
  <c r="AV335" i="4"/>
  <c r="AU335" i="4"/>
  <c r="AT335" i="4"/>
  <c r="AS335" i="4"/>
  <c r="AR335" i="4"/>
  <c r="AP335" i="4"/>
  <c r="AO335" i="4"/>
  <c r="BB334" i="4"/>
  <c r="BA334" i="4"/>
  <c r="AZ334" i="4"/>
  <c r="AY334" i="4"/>
  <c r="AX334" i="4"/>
  <c r="AV334" i="4"/>
  <c r="AU334" i="4"/>
  <c r="AT334" i="4"/>
  <c r="AS334" i="4"/>
  <c r="AR334" i="4"/>
  <c r="AP334" i="4"/>
  <c r="AO334" i="4"/>
  <c r="BB333" i="4"/>
  <c r="BA333" i="4"/>
  <c r="AZ333" i="4"/>
  <c r="AY333" i="4"/>
  <c r="AX333" i="4"/>
  <c r="AV333" i="4"/>
  <c r="AU333" i="4"/>
  <c r="AT333" i="4"/>
  <c r="AS333" i="4"/>
  <c r="AR333" i="4"/>
  <c r="AP333" i="4"/>
  <c r="AO333" i="4"/>
  <c r="BB332" i="4"/>
  <c r="BA332" i="4"/>
  <c r="AZ332" i="4"/>
  <c r="AY332" i="4"/>
  <c r="AX332" i="4"/>
  <c r="AV332" i="4"/>
  <c r="AU332" i="4"/>
  <c r="AT332" i="4"/>
  <c r="AS332" i="4"/>
  <c r="AR332" i="4"/>
  <c r="AP332" i="4"/>
  <c r="AO332" i="4"/>
  <c r="BB331" i="4"/>
  <c r="BA331" i="4"/>
  <c r="AZ331" i="4"/>
  <c r="AY331" i="4"/>
  <c r="AX331" i="4"/>
  <c r="AV331" i="4"/>
  <c r="AU331" i="4"/>
  <c r="AT331" i="4"/>
  <c r="AS331" i="4"/>
  <c r="AR331" i="4"/>
  <c r="AP331" i="4"/>
  <c r="AO331" i="4"/>
  <c r="BB330" i="4"/>
  <c r="BA330" i="4"/>
  <c r="AZ330" i="4"/>
  <c r="AY330" i="4"/>
  <c r="AX330" i="4"/>
  <c r="AV330" i="4"/>
  <c r="AU330" i="4"/>
  <c r="AT330" i="4"/>
  <c r="AS330" i="4"/>
  <c r="AR330" i="4"/>
  <c r="AP330" i="4"/>
  <c r="AO330" i="4"/>
  <c r="BB329" i="4"/>
  <c r="BA329" i="4"/>
  <c r="AZ329" i="4"/>
  <c r="AY329" i="4"/>
  <c r="AX329" i="4"/>
  <c r="AV329" i="4"/>
  <c r="AU329" i="4"/>
  <c r="AT329" i="4"/>
  <c r="AS329" i="4"/>
  <c r="AR329" i="4"/>
  <c r="AP329" i="4"/>
  <c r="AO329" i="4"/>
  <c r="BB328" i="4"/>
  <c r="BA328" i="4"/>
  <c r="AZ328" i="4"/>
  <c r="AY328" i="4"/>
  <c r="AX328" i="4"/>
  <c r="AV328" i="4"/>
  <c r="AU328" i="4"/>
  <c r="AT328" i="4"/>
  <c r="AS328" i="4"/>
  <c r="AR328" i="4"/>
  <c r="AP328" i="4"/>
  <c r="AO328" i="4"/>
  <c r="BB327" i="4"/>
  <c r="BA327" i="4"/>
  <c r="AZ327" i="4"/>
  <c r="AY327" i="4"/>
  <c r="AX327" i="4"/>
  <c r="AV327" i="4"/>
  <c r="AU327" i="4"/>
  <c r="AT327" i="4"/>
  <c r="AS327" i="4"/>
  <c r="AR327" i="4"/>
  <c r="AP327" i="4"/>
  <c r="AO327" i="4"/>
  <c r="BB326" i="4"/>
  <c r="BA326" i="4"/>
  <c r="AZ326" i="4"/>
  <c r="AY326" i="4"/>
  <c r="AX326" i="4"/>
  <c r="AV326" i="4"/>
  <c r="AU326" i="4"/>
  <c r="AT326" i="4"/>
  <c r="AS326" i="4"/>
  <c r="AR326" i="4"/>
  <c r="AP326" i="4"/>
  <c r="AO326" i="4"/>
  <c r="BB325" i="4"/>
  <c r="BA325" i="4"/>
  <c r="AY325" i="4"/>
  <c r="AU325" i="4"/>
  <c r="AT325" i="4"/>
  <c r="AS325" i="4"/>
  <c r="AR325" i="4"/>
  <c r="AP325" i="4"/>
  <c r="AO325" i="4"/>
  <c r="BB324" i="4"/>
  <c r="BA324" i="4"/>
  <c r="AY324" i="4"/>
  <c r="AU324" i="4"/>
  <c r="AT324" i="4"/>
  <c r="AS324" i="4"/>
  <c r="AR324" i="4"/>
  <c r="AP324" i="4"/>
  <c r="AO324" i="4"/>
  <c r="BA323" i="4"/>
  <c r="AY323" i="4"/>
  <c r="AU323" i="4"/>
  <c r="AT323" i="4"/>
  <c r="AS323" i="4"/>
  <c r="AR323" i="4"/>
  <c r="AP323" i="4"/>
  <c r="AO323" i="4"/>
  <c r="BB322" i="4"/>
  <c r="BA322" i="4"/>
  <c r="AZ322" i="4"/>
  <c r="AY322" i="4"/>
  <c r="AX322" i="4"/>
  <c r="AV322" i="4"/>
  <c r="AU322" i="4"/>
  <c r="AT322" i="4"/>
  <c r="AS322" i="4"/>
  <c r="AR322" i="4"/>
  <c r="AP322" i="4"/>
  <c r="AO322" i="4"/>
  <c r="BB321" i="4"/>
  <c r="BA321" i="4"/>
  <c r="AZ321" i="4"/>
  <c r="AY321" i="4"/>
  <c r="AX321" i="4"/>
  <c r="AV321" i="4"/>
  <c r="AU321" i="4"/>
  <c r="AT321" i="4"/>
  <c r="AS321" i="4"/>
  <c r="AR321" i="4"/>
  <c r="AP321" i="4"/>
  <c r="AO321" i="4"/>
  <c r="BB320" i="4"/>
  <c r="BA320" i="4"/>
  <c r="AZ320" i="4"/>
  <c r="AY320" i="4"/>
  <c r="AX320" i="4"/>
  <c r="AV320" i="4"/>
  <c r="AU320" i="4"/>
  <c r="AT320" i="4"/>
  <c r="AS320" i="4"/>
  <c r="AR320" i="4"/>
  <c r="AP320" i="4"/>
  <c r="AO320" i="4"/>
  <c r="BB319" i="4"/>
  <c r="BA319" i="4"/>
  <c r="AZ319" i="4"/>
  <c r="AY319" i="4"/>
  <c r="AX319" i="4"/>
  <c r="AV319" i="4"/>
  <c r="AU319" i="4"/>
  <c r="AT319" i="4"/>
  <c r="AS319" i="4"/>
  <c r="AR319" i="4"/>
  <c r="AP319" i="4"/>
  <c r="AO319" i="4"/>
  <c r="BB318" i="4"/>
  <c r="BA318" i="4"/>
  <c r="AZ318" i="4"/>
  <c r="AY318" i="4"/>
  <c r="AX318" i="4"/>
  <c r="AV318" i="4"/>
  <c r="AU318" i="4"/>
  <c r="AT318" i="4"/>
  <c r="AS318" i="4"/>
  <c r="AR318" i="4"/>
  <c r="AP318" i="4"/>
  <c r="AO318" i="4"/>
  <c r="BB317" i="4"/>
  <c r="BA317" i="4"/>
  <c r="AZ317" i="4"/>
  <c r="AY317" i="4"/>
  <c r="AX317" i="4"/>
  <c r="AV317" i="4"/>
  <c r="AU317" i="4"/>
  <c r="AT317" i="4"/>
  <c r="AS317" i="4"/>
  <c r="AR317" i="4"/>
  <c r="AP317" i="4"/>
  <c r="AO317" i="4"/>
  <c r="BC356" i="4"/>
  <c r="BJ356" i="4" s="1"/>
  <c r="BM356" i="4"/>
  <c r="CO356" i="4" s="1"/>
  <c r="BL356" i="4"/>
  <c r="AU297" i="4"/>
  <c r="AV297" i="4" s="1"/>
  <c r="AW297" i="4" s="1"/>
  <c r="AX297" i="4" s="1"/>
  <c r="AY288" i="4"/>
  <c r="AY289" i="4"/>
  <c r="AY290" i="4"/>
  <c r="AY291" i="4"/>
  <c r="AY292" i="4"/>
  <c r="AY293" i="4"/>
  <c r="AY294" i="4"/>
  <c r="AX288" i="4"/>
  <c r="AX289" i="4"/>
  <c r="AX290" i="4"/>
  <c r="AX291" i="4"/>
  <c r="AX292" i="4"/>
  <c r="AX293" i="4"/>
  <c r="AX294" i="4"/>
  <c r="AW288" i="4"/>
  <c r="AW289" i="4"/>
  <c r="AW290" i="4"/>
  <c r="AW291" i="4"/>
  <c r="AW292" i="4"/>
  <c r="AW293" i="4"/>
  <c r="AW294" i="4"/>
  <c r="AV288" i="4"/>
  <c r="AV289" i="4"/>
  <c r="AV290" i="4"/>
  <c r="AV291" i="4"/>
  <c r="AV292" i="4"/>
  <c r="AV293" i="4"/>
  <c r="AV294" i="4"/>
  <c r="AU288" i="4"/>
  <c r="AU289" i="4"/>
  <c r="BJ278" i="4" s="1"/>
  <c r="AU290" i="4"/>
  <c r="BJ279" i="4" s="1"/>
  <c r="AU291" i="4"/>
  <c r="AU292" i="4"/>
  <c r="BJ281" i="4" s="1"/>
  <c r="AU293" i="4"/>
  <c r="BJ282" i="4" s="1"/>
  <c r="AU294" i="4"/>
  <c r="BJ283" i="4" s="1"/>
  <c r="AY287" i="4"/>
  <c r="AX287" i="4"/>
  <c r="AW287" i="4"/>
  <c r="AV287" i="4"/>
  <c r="AU287" i="4"/>
  <c r="BJ277" i="4" s="1"/>
  <c r="BF264" i="4"/>
  <c r="BM355" i="4"/>
  <c r="CO355" i="4" s="1"/>
  <c r="BM354" i="4"/>
  <c r="CO354" i="4" s="1"/>
  <c r="BL355" i="4"/>
  <c r="BL354" i="4"/>
  <c r="BJ355" i="4"/>
  <c r="BJ354" i="4"/>
  <c r="BR353" i="4"/>
  <c r="BQ353" i="4"/>
  <c r="BO353" i="4"/>
  <c r="BR352" i="4"/>
  <c r="BQ352" i="4"/>
  <c r="BO352" i="4"/>
  <c r="BJ353" i="4"/>
  <c r="BJ352" i="4"/>
  <c r="BM353" i="4"/>
  <c r="CO353" i="4" s="1"/>
  <c r="BL353" i="4"/>
  <c r="BM352" i="4"/>
  <c r="CO352" i="4" s="1"/>
  <c r="BL352" i="4"/>
  <c r="BP310" i="4"/>
  <c r="BP311" i="4"/>
  <c r="BJ309" i="4"/>
  <c r="BJ251" i="4"/>
  <c r="BE258" i="4"/>
  <c r="BM266" i="4"/>
  <c r="CO266" i="4" s="1"/>
  <c r="BE266" i="4"/>
  <c r="BM267" i="4"/>
  <c r="CO267" i="4" s="1"/>
  <c r="BE267" i="4"/>
  <c r="BM265" i="4"/>
  <c r="CO265" i="4" s="1"/>
  <c r="BM264" i="4"/>
  <c r="CO264" i="4" s="1"/>
  <c r="BE265" i="4"/>
  <c r="BE264" i="4"/>
  <c r="BE263" i="4"/>
  <c r="BM263" i="4"/>
  <c r="CO263" i="4" s="1"/>
  <c r="BO358" i="4"/>
  <c r="BO357" i="4"/>
  <c r="BX358" i="4"/>
  <c r="BW358" i="4"/>
  <c r="BR358" i="4"/>
  <c r="BQ358" i="4"/>
  <c r="BM358" i="4"/>
  <c r="CO358" i="4" s="1"/>
  <c r="BL358" i="4"/>
  <c r="BJ358" i="4"/>
  <c r="BX357" i="4"/>
  <c r="BW357" i="4"/>
  <c r="BR357" i="4"/>
  <c r="BQ357" i="4"/>
  <c r="BM357" i="4"/>
  <c r="CO357" i="4" s="1"/>
  <c r="BL357" i="4"/>
  <c r="BJ357" i="4"/>
  <c r="BJ369" i="4"/>
  <c r="BJ368" i="4"/>
  <c r="BJ367" i="4"/>
  <c r="BF229" i="4"/>
  <c r="BJ229" i="4" s="1"/>
  <c r="BE229" i="4"/>
  <c r="BC229" i="4"/>
  <c r="BD229" i="4"/>
  <c r="BC228" i="4"/>
  <c r="BE228" i="4"/>
  <c r="BF228" i="4"/>
  <c r="BJ228" i="4" s="1"/>
  <c r="BD228" i="4"/>
  <c r="BP145" i="4"/>
  <c r="AS31" i="4"/>
  <c r="R31" i="4"/>
  <c r="T31" i="4" s="1"/>
  <c r="D31" i="4"/>
  <c r="BJ221" i="4"/>
  <c r="X40" i="4"/>
  <c r="BJ173" i="4"/>
  <c r="BJ193" i="4"/>
  <c r="BJ192" i="4"/>
  <c r="BJ191" i="4"/>
  <c r="BJ190" i="4"/>
  <c r="AR31" i="4" s="1"/>
  <c r="CH173" i="4"/>
  <c r="CB173" i="4"/>
  <c r="BV173" i="4"/>
  <c r="BP173" i="4"/>
  <c r="CH172" i="4"/>
  <c r="CB172" i="4"/>
  <c r="BV172" i="4"/>
  <c r="BP172" i="4"/>
  <c r="BJ249" i="4"/>
  <c r="BW269" i="4"/>
  <c r="D40" i="4"/>
  <c r="D34" i="4"/>
  <c r="D32" i="4"/>
  <c r="D28" i="4"/>
  <c r="D27" i="4"/>
  <c r="D26" i="4"/>
  <c r="D25" i="4"/>
  <c r="D24" i="4"/>
  <c r="D23" i="4"/>
  <c r="D22" i="4"/>
  <c r="D19" i="4"/>
  <c r="D18" i="4"/>
  <c r="D17" i="4"/>
  <c r="D16" i="4"/>
  <c r="AE28" i="4"/>
  <c r="AE27" i="4"/>
  <c r="AE26" i="4"/>
  <c r="AL26" i="4"/>
  <c r="AL28" i="4"/>
  <c r="AL27" i="4"/>
  <c r="AY34" i="4"/>
  <c r="X32" i="4"/>
  <c r="W32" i="4"/>
  <c r="X28" i="4"/>
  <c r="W28" i="4"/>
  <c r="X27" i="4"/>
  <c r="X26" i="4"/>
  <c r="W26" i="4"/>
  <c r="AR24" i="4"/>
  <c r="AR25" i="4"/>
  <c r="W19" i="4"/>
  <c r="W18" i="4"/>
  <c r="W17" i="4"/>
  <c r="Z17" i="4" s="1"/>
  <c r="W16" i="4"/>
  <c r="X19" i="4"/>
  <c r="X18" i="4"/>
  <c r="X17" i="4"/>
  <c r="X16" i="4"/>
  <c r="AE19" i="4"/>
  <c r="AE18" i="4"/>
  <c r="AE17" i="4"/>
  <c r="AE16" i="4"/>
  <c r="AL19" i="4"/>
  <c r="AL18" i="4"/>
  <c r="AL17" i="4"/>
  <c r="AL16" i="4"/>
  <c r="AL22" i="4"/>
  <c r="BO346" i="4"/>
  <c r="BO345" i="4"/>
  <c r="BO344" i="4"/>
  <c r="BO343" i="4"/>
  <c r="BO342" i="4"/>
  <c r="BO341" i="4"/>
  <c r="BO340" i="4"/>
  <c r="BO339" i="4"/>
  <c r="BO338" i="4"/>
  <c r="BO337" i="4"/>
  <c r="BO336" i="4"/>
  <c r="BO335" i="4"/>
  <c r="BO334" i="4"/>
  <c r="BO333" i="4"/>
  <c r="BO332" i="4"/>
  <c r="BO331" i="4"/>
  <c r="BO330" i="4"/>
  <c r="BO329" i="4"/>
  <c r="BO328" i="4"/>
  <c r="BO327" i="4"/>
  <c r="BO326" i="4"/>
  <c r="BO325" i="4"/>
  <c r="BO324" i="4"/>
  <c r="BO323" i="4"/>
  <c r="BO322" i="4"/>
  <c r="BO321" i="4"/>
  <c r="BO320" i="4"/>
  <c r="BO319" i="4"/>
  <c r="BO318" i="4"/>
  <c r="BO317" i="4"/>
  <c r="BJ346" i="4"/>
  <c r="BJ345" i="4"/>
  <c r="BJ344" i="4"/>
  <c r="BJ343" i="4"/>
  <c r="BJ342" i="4"/>
  <c r="BJ341" i="4"/>
  <c r="BJ340" i="4"/>
  <c r="BJ339" i="4"/>
  <c r="BJ338" i="4"/>
  <c r="BJ337" i="4"/>
  <c r="BJ336" i="4"/>
  <c r="BJ335" i="4"/>
  <c r="BJ334" i="4"/>
  <c r="BJ333" i="4"/>
  <c r="BJ332" i="4"/>
  <c r="BJ331" i="4"/>
  <c r="BJ330" i="4"/>
  <c r="BJ329" i="4"/>
  <c r="BJ328" i="4"/>
  <c r="BJ327" i="4"/>
  <c r="BJ326" i="4"/>
  <c r="BJ325" i="4"/>
  <c r="BJ324" i="4"/>
  <c r="BJ323" i="4"/>
  <c r="BJ322" i="4"/>
  <c r="BJ321" i="4"/>
  <c r="BJ320" i="4"/>
  <c r="BJ319" i="4"/>
  <c r="BJ318" i="4"/>
  <c r="BJ317" i="4"/>
  <c r="BJ308" i="4"/>
  <c r="U34" i="4"/>
  <c r="R32" i="4"/>
  <c r="Q32" i="4"/>
  <c r="R25" i="4"/>
  <c r="Q25" i="4"/>
  <c r="R24" i="4"/>
  <c r="R23" i="4"/>
  <c r="U23" i="4" s="1"/>
  <c r="Q23" i="4"/>
  <c r="R19" i="4"/>
  <c r="S19" i="4" s="1"/>
  <c r="AF19" i="4"/>
  <c r="R18" i="4"/>
  <c r="S18" i="4" s="1"/>
  <c r="AM18" i="4"/>
  <c r="R17" i="4"/>
  <c r="T17" i="4" s="1"/>
  <c r="BA17" i="4"/>
  <c r="BC17" i="4" s="1"/>
  <c r="Q22" i="4"/>
  <c r="AT22" i="4" s="1"/>
  <c r="R22" i="4"/>
  <c r="S22" i="4" s="1"/>
  <c r="DI372" i="4"/>
  <c r="DI371" i="4"/>
  <c r="CY371" i="4" s="1"/>
  <c r="DI362" i="4"/>
  <c r="DI360" i="4"/>
  <c r="DH351" i="4"/>
  <c r="DH349" i="4"/>
  <c r="DC346" i="4"/>
  <c r="DE346" i="4" s="1"/>
  <c r="CZ346" i="4"/>
  <c r="CY346" i="4"/>
  <c r="DC345" i="4"/>
  <c r="DE345" i="4" s="1"/>
  <c r="DG345" i="4" s="1"/>
  <c r="CZ345" i="4"/>
  <c r="CY345" i="4"/>
  <c r="DC344" i="4"/>
  <c r="DE344" i="4" s="1"/>
  <c r="CZ344" i="4"/>
  <c r="CY344" i="4"/>
  <c r="DC343" i="4"/>
  <c r="DE343" i="4" s="1"/>
  <c r="DG343" i="4" s="1"/>
  <c r="CZ343" i="4"/>
  <c r="CY343" i="4"/>
  <c r="DC342" i="4"/>
  <c r="DE342" i="4" s="1"/>
  <c r="CZ342" i="4"/>
  <c r="CY342" i="4"/>
  <c r="DC341" i="4"/>
  <c r="DE341" i="4" s="1"/>
  <c r="DG341" i="4" s="1"/>
  <c r="CZ341" i="4"/>
  <c r="CY341" i="4"/>
  <c r="DC340" i="4"/>
  <c r="DE340" i="4" s="1"/>
  <c r="DG340" i="4" s="1"/>
  <c r="CZ340" i="4"/>
  <c r="CY340" i="4"/>
  <c r="DC339" i="4"/>
  <c r="DE339" i="4" s="1"/>
  <c r="DG339" i="4" s="1"/>
  <c r="CZ339" i="4"/>
  <c r="CY339" i="4"/>
  <c r="DC338" i="4"/>
  <c r="DE338" i="4" s="1"/>
  <c r="CZ338" i="4"/>
  <c r="CY338" i="4"/>
  <c r="DC337" i="4"/>
  <c r="DE337" i="4" s="1"/>
  <c r="DG337" i="4" s="1"/>
  <c r="CZ337" i="4"/>
  <c r="CY337" i="4"/>
  <c r="DB312" i="4" s="1"/>
  <c r="DC336" i="4"/>
  <c r="DE336" i="4" s="1"/>
  <c r="CZ336" i="4"/>
  <c r="CY336" i="4"/>
  <c r="DC335" i="4"/>
  <c r="DE335" i="4" s="1"/>
  <c r="CZ335" i="4"/>
  <c r="CY335" i="4"/>
  <c r="DC334" i="4"/>
  <c r="DE334" i="4" s="1"/>
  <c r="CZ334" i="4"/>
  <c r="CY334" i="4"/>
  <c r="DC333" i="4"/>
  <c r="DE333" i="4" s="1"/>
  <c r="DG333" i="4" s="1"/>
  <c r="CZ333" i="4"/>
  <c r="CY333" i="4"/>
  <c r="DC332" i="4"/>
  <c r="DE332" i="4" s="1"/>
  <c r="DG332" i="4" s="1"/>
  <c r="CZ332" i="4"/>
  <c r="CY332" i="4"/>
  <c r="DC331" i="4"/>
  <c r="DE331" i="4" s="1"/>
  <c r="DG331" i="4" s="1"/>
  <c r="CZ331" i="4"/>
  <c r="CY331" i="4"/>
  <c r="DC330" i="4"/>
  <c r="DE330" i="4" s="1"/>
  <c r="DG330" i="4" s="1"/>
  <c r="CZ330" i="4"/>
  <c r="CY330" i="4"/>
  <c r="DC329" i="4"/>
  <c r="DE329" i="4" s="1"/>
  <c r="DG329" i="4" s="1"/>
  <c r="CZ329" i="4"/>
  <c r="CY329" i="4"/>
  <c r="DC328" i="4"/>
  <c r="DE328" i="4" s="1"/>
  <c r="DG328" i="4" s="1"/>
  <c r="CZ328" i="4"/>
  <c r="CY328" i="4"/>
  <c r="DC327" i="4"/>
  <c r="DE327" i="4" s="1"/>
  <c r="DG327" i="4" s="1"/>
  <c r="CZ327" i="4"/>
  <c r="CY327" i="4"/>
  <c r="DC326" i="4"/>
  <c r="DE326" i="4" s="1"/>
  <c r="CZ326" i="4"/>
  <c r="CY326" i="4"/>
  <c r="DC325" i="4"/>
  <c r="DE325" i="4" s="1"/>
  <c r="DG325" i="4" s="1"/>
  <c r="CZ325" i="4"/>
  <c r="CY325" i="4"/>
  <c r="DC324" i="4"/>
  <c r="DE324" i="4" s="1"/>
  <c r="CZ324" i="4"/>
  <c r="CY324" i="4"/>
  <c r="DC323" i="4"/>
  <c r="DE323" i="4" s="1"/>
  <c r="DG323" i="4" s="1"/>
  <c r="CZ323" i="4"/>
  <c r="CY323" i="4"/>
  <c r="DC322" i="4"/>
  <c r="DE322" i="4" s="1"/>
  <c r="CZ322" i="4"/>
  <c r="CY322" i="4"/>
  <c r="DC321" i="4"/>
  <c r="DE321" i="4" s="1"/>
  <c r="DG321" i="4" s="1"/>
  <c r="CZ321" i="4"/>
  <c r="CY321" i="4"/>
  <c r="DC320" i="4"/>
  <c r="DE320" i="4" s="1"/>
  <c r="CZ320" i="4"/>
  <c r="CY320" i="4"/>
  <c r="DC319" i="4"/>
  <c r="DE319" i="4" s="1"/>
  <c r="CZ319" i="4"/>
  <c r="CY319" i="4"/>
  <c r="DC318" i="4"/>
  <c r="DE318" i="4" s="1"/>
  <c r="CZ318" i="4"/>
  <c r="CY318" i="4"/>
  <c r="DC317" i="4"/>
  <c r="DE317" i="4" s="1"/>
  <c r="DG317" i="4" s="1"/>
  <c r="CZ317" i="4"/>
  <c r="CY317" i="4"/>
  <c r="DB311" i="4"/>
  <c r="CZ311" i="4"/>
  <c r="DB308" i="4"/>
  <c r="CZ308" i="4"/>
  <c r="DB307" i="4"/>
  <c r="CZ307" i="4"/>
  <c r="DB306" i="4"/>
  <c r="CZ306" i="4"/>
  <c r="DB305" i="4"/>
  <c r="CZ305" i="4"/>
  <c r="DB304" i="4"/>
  <c r="CZ304" i="4"/>
  <c r="DB303" i="4"/>
  <c r="CZ303" i="4"/>
  <c r="DB295" i="4"/>
  <c r="CZ295" i="4"/>
  <c r="CH174" i="4"/>
  <c r="CH171" i="4"/>
  <c r="CH170" i="4"/>
  <c r="CH169" i="4"/>
  <c r="CH168" i="4"/>
  <c r="CH167" i="4"/>
  <c r="CH159" i="4"/>
  <c r="CH166" i="4"/>
  <c r="CH165" i="4"/>
  <c r="CH164" i="4"/>
  <c r="CH163" i="4"/>
  <c r="CH162" i="4"/>
  <c r="CH161" i="4"/>
  <c r="CH160" i="4"/>
  <c r="CH158" i="4"/>
  <c r="CH157" i="4"/>
  <c r="CB174" i="4"/>
  <c r="CB171" i="4"/>
  <c r="CB170" i="4"/>
  <c r="CB169" i="4"/>
  <c r="CB168" i="4"/>
  <c r="CB167" i="4"/>
  <c r="CB159" i="4"/>
  <c r="CB166" i="4"/>
  <c r="CB165" i="4"/>
  <c r="CB164" i="4"/>
  <c r="CB163" i="4"/>
  <c r="CB162" i="4"/>
  <c r="CB161" i="4"/>
  <c r="CB160" i="4"/>
  <c r="CB158" i="4"/>
  <c r="CB157" i="4"/>
  <c r="BV174" i="4"/>
  <c r="AK28" i="4" s="1"/>
  <c r="BV171" i="4"/>
  <c r="BV170" i="4"/>
  <c r="BV169" i="4"/>
  <c r="BV168" i="4"/>
  <c r="BV167" i="4"/>
  <c r="BV159" i="4"/>
  <c r="AK27" i="4" s="1"/>
  <c r="BV166" i="4"/>
  <c r="BV165" i="4"/>
  <c r="BV164" i="4"/>
  <c r="BV163" i="4"/>
  <c r="BV162" i="4"/>
  <c r="BV161" i="4"/>
  <c r="BV160" i="4"/>
  <c r="BV158" i="4"/>
  <c r="BV157" i="4"/>
  <c r="AK26" i="4" s="1"/>
  <c r="BP174" i="4"/>
  <c r="AD28" i="4" s="1"/>
  <c r="BP171" i="4"/>
  <c r="BP170" i="4"/>
  <c r="BP169" i="4"/>
  <c r="BP168" i="4"/>
  <c r="BP167" i="4"/>
  <c r="BP159" i="4"/>
  <c r="AD27" i="4" s="1"/>
  <c r="BP166" i="4"/>
  <c r="BP165" i="4"/>
  <c r="BP164" i="4"/>
  <c r="BP163" i="4"/>
  <c r="BP162" i="4"/>
  <c r="BP161" i="4"/>
  <c r="BP160" i="4"/>
  <c r="BP158" i="4"/>
  <c r="BP157" i="4"/>
  <c r="AD26" i="4" s="1"/>
  <c r="CH152" i="4"/>
  <c r="CH140" i="4"/>
  <c r="AK47" i="4" s="1"/>
  <c r="CH150" i="4"/>
  <c r="CH141" i="4"/>
  <c r="CH149" i="4"/>
  <c r="CH148" i="4"/>
  <c r="CH147" i="4"/>
  <c r="CH151" i="4"/>
  <c r="CH146" i="4"/>
  <c r="CH145" i="4"/>
  <c r="CH144" i="4"/>
  <c r="CH143" i="4"/>
  <c r="CH142" i="4"/>
  <c r="CB152" i="4"/>
  <c r="CB140" i="4"/>
  <c r="CB150" i="4"/>
  <c r="CB141" i="4"/>
  <c r="CB149" i="4"/>
  <c r="CB148" i="4"/>
  <c r="CB147" i="4"/>
  <c r="AD48" i="4" s="1"/>
  <c r="CB151" i="4"/>
  <c r="CB146" i="4"/>
  <c r="CB145" i="4"/>
  <c r="CB144" i="4"/>
  <c r="CB143" i="4"/>
  <c r="CB142" i="4"/>
  <c r="BV152" i="4"/>
  <c r="BV140" i="4"/>
  <c r="BV150" i="4"/>
  <c r="BV141" i="4"/>
  <c r="BV149" i="4"/>
  <c r="BV148" i="4"/>
  <c r="BV147" i="4"/>
  <c r="BV151" i="4"/>
  <c r="BV146" i="4"/>
  <c r="BV145" i="4"/>
  <c r="BV144" i="4"/>
  <c r="BV143" i="4"/>
  <c r="BV142" i="4"/>
  <c r="BP152" i="4"/>
  <c r="BP140" i="4"/>
  <c r="BP150" i="4"/>
  <c r="BP141" i="4"/>
  <c r="BP149" i="4"/>
  <c r="BP148" i="4"/>
  <c r="BP147" i="4"/>
  <c r="BP151" i="4"/>
  <c r="BP146" i="4"/>
  <c r="BP144" i="4"/>
  <c r="BP143" i="4"/>
  <c r="BP142" i="4"/>
  <c r="CH135" i="4"/>
  <c r="CH134" i="4"/>
  <c r="CH133" i="4"/>
  <c r="CH132" i="4"/>
  <c r="CH131" i="4"/>
  <c r="CH130" i="4"/>
  <c r="CH129" i="4"/>
  <c r="CH128" i="4"/>
  <c r="CH127" i="4"/>
  <c r="CH126" i="4"/>
  <c r="CH125" i="4"/>
  <c r="CH124" i="4"/>
  <c r="CH123" i="4"/>
  <c r="CH122" i="4"/>
  <c r="CH121" i="4"/>
  <c r="CH120" i="4"/>
  <c r="CH119" i="4"/>
  <c r="CH118" i="4"/>
  <c r="CH117" i="4"/>
  <c r="CH116" i="4"/>
  <c r="CH115" i="4"/>
  <c r="CH114" i="4"/>
  <c r="CH113" i="4"/>
  <c r="CH112" i="4"/>
  <c r="CH111" i="4"/>
  <c r="CB135" i="4"/>
  <c r="CB134" i="4"/>
  <c r="CB133" i="4"/>
  <c r="CB132" i="4"/>
  <c r="CB131" i="4"/>
  <c r="CB130" i="4"/>
  <c r="CB129" i="4"/>
  <c r="CB128" i="4"/>
  <c r="CB127" i="4"/>
  <c r="CB126" i="4"/>
  <c r="CB125" i="4"/>
  <c r="CB124" i="4"/>
  <c r="CB123" i="4"/>
  <c r="CB122" i="4"/>
  <c r="CB121" i="4"/>
  <c r="CB120" i="4"/>
  <c r="CB119" i="4"/>
  <c r="CB118" i="4"/>
  <c r="CB117" i="4"/>
  <c r="CB116" i="4"/>
  <c r="CB115" i="4"/>
  <c r="CB114" i="4"/>
  <c r="CB113" i="4"/>
  <c r="CB112" i="4"/>
  <c r="CB111" i="4"/>
  <c r="BV135" i="4"/>
  <c r="BV134" i="4"/>
  <c r="BV133" i="4"/>
  <c r="BV132" i="4"/>
  <c r="BV131" i="4"/>
  <c r="BV130" i="4"/>
  <c r="BV129" i="4"/>
  <c r="BV128" i="4"/>
  <c r="BV127" i="4"/>
  <c r="BV126" i="4"/>
  <c r="BV125" i="4"/>
  <c r="BV124" i="4"/>
  <c r="BV123" i="4"/>
  <c r="BV122" i="4"/>
  <c r="BV121" i="4"/>
  <c r="BV120" i="4"/>
  <c r="BV119" i="4"/>
  <c r="BV118" i="4"/>
  <c r="BV117" i="4"/>
  <c r="BV116" i="4"/>
  <c r="BV115" i="4"/>
  <c r="BV114" i="4"/>
  <c r="BV113" i="4"/>
  <c r="BV112" i="4"/>
  <c r="BV111" i="4"/>
  <c r="BP135" i="4"/>
  <c r="BP134" i="4"/>
  <c r="BP133" i="4"/>
  <c r="BP132" i="4"/>
  <c r="BP131" i="4"/>
  <c r="BP130" i="4"/>
  <c r="BP129" i="4"/>
  <c r="BP128" i="4"/>
  <c r="BP127" i="4"/>
  <c r="BP126" i="4"/>
  <c r="BP125" i="4"/>
  <c r="BP124" i="4"/>
  <c r="BP123" i="4"/>
  <c r="BP122" i="4"/>
  <c r="BP121" i="4"/>
  <c r="BP120" i="4"/>
  <c r="BP119" i="4"/>
  <c r="BP118" i="4"/>
  <c r="BP117" i="4"/>
  <c r="BP116" i="4"/>
  <c r="BP115" i="4"/>
  <c r="BP114" i="4"/>
  <c r="BP113" i="4"/>
  <c r="BP112" i="4"/>
  <c r="BP111" i="4"/>
  <c r="G7" i="6"/>
  <c r="I7" i="6" s="1"/>
  <c r="C7" i="6"/>
  <c r="G8" i="6"/>
  <c r="I8" i="6" s="1"/>
  <c r="G9" i="6"/>
  <c r="I9" i="6" s="1"/>
  <c r="G10" i="6"/>
  <c r="I10" i="6"/>
  <c r="J10" i="6" s="1"/>
  <c r="K10" i="6"/>
  <c r="G11" i="6"/>
  <c r="I11" i="6" s="1"/>
  <c r="G12" i="6"/>
  <c r="I12" i="6"/>
  <c r="J12" i="6" s="1"/>
  <c r="G13" i="6"/>
  <c r="I13" i="6" s="1"/>
  <c r="G14" i="6"/>
  <c r="I14" i="6"/>
  <c r="K14" i="6" s="1"/>
  <c r="G15" i="6"/>
  <c r="I15" i="6" s="1"/>
  <c r="C15" i="6"/>
  <c r="G16" i="6"/>
  <c r="I16" i="6" s="1"/>
  <c r="J16" i="6" s="1"/>
  <c r="G17" i="6"/>
  <c r="I17" i="6"/>
  <c r="J17" i="6" s="1"/>
  <c r="G18" i="6"/>
  <c r="I18" i="6" s="1"/>
  <c r="G19" i="6"/>
  <c r="I19" i="6" s="1"/>
  <c r="G20" i="6"/>
  <c r="I20" i="6" s="1"/>
  <c r="G21" i="6"/>
  <c r="I21" i="6" s="1"/>
  <c r="G22" i="6"/>
  <c r="I22" i="6" s="1"/>
  <c r="J22" i="6" s="1"/>
  <c r="G23" i="6"/>
  <c r="I23" i="6" s="1"/>
  <c r="C23" i="6"/>
  <c r="G24" i="6"/>
  <c r="I24" i="6" s="1"/>
  <c r="G25" i="6"/>
  <c r="I25" i="6" s="1"/>
  <c r="J25" i="6" s="1"/>
  <c r="G26" i="6"/>
  <c r="I26" i="6"/>
  <c r="J26" i="6" s="1"/>
  <c r="G27" i="6"/>
  <c r="I27" i="6" s="1"/>
  <c r="G28" i="6"/>
  <c r="I28" i="6" s="1"/>
  <c r="G29" i="6"/>
  <c r="I29" i="6"/>
  <c r="K29" i="6" s="1"/>
  <c r="G30" i="6"/>
  <c r="I30" i="6" s="1"/>
  <c r="G31" i="6"/>
  <c r="I31" i="6"/>
  <c r="J31" i="6"/>
  <c r="C31" i="6"/>
  <c r="G32" i="6"/>
  <c r="I32" i="6"/>
  <c r="K32" i="6" s="1"/>
  <c r="J32" i="6"/>
  <c r="G33" i="6"/>
  <c r="I33" i="6" s="1"/>
  <c r="G34" i="6"/>
  <c r="I34" i="6" s="1"/>
  <c r="J34" i="6" s="1"/>
  <c r="G35" i="6"/>
  <c r="I35" i="6" s="1"/>
  <c r="K35" i="6" s="1"/>
  <c r="G6" i="6"/>
  <c r="I6" i="6"/>
  <c r="J6" i="6" s="1"/>
  <c r="D7" i="6"/>
  <c r="C8" i="6"/>
  <c r="D8" i="6"/>
  <c r="C9" i="6"/>
  <c r="D9" i="6"/>
  <c r="C10" i="6"/>
  <c r="D10" i="6"/>
  <c r="C11" i="6"/>
  <c r="D11" i="6"/>
  <c r="C12" i="6"/>
  <c r="D12" i="6"/>
  <c r="C13" i="6"/>
  <c r="D13" i="6"/>
  <c r="C14" i="6"/>
  <c r="D14" i="6"/>
  <c r="M14" i="6" s="1"/>
  <c r="D15" i="6"/>
  <c r="C16" i="6"/>
  <c r="D16" i="6"/>
  <c r="C17" i="6"/>
  <c r="D17" i="6"/>
  <c r="C18" i="6"/>
  <c r="D18" i="6"/>
  <c r="C19" i="6"/>
  <c r="D19" i="6"/>
  <c r="C20" i="6"/>
  <c r="D20" i="6"/>
  <c r="C21" i="6"/>
  <c r="D21" i="6"/>
  <c r="C22" i="6"/>
  <c r="D22" i="6"/>
  <c r="D23" i="6"/>
  <c r="C24" i="6"/>
  <c r="D24" i="6"/>
  <c r="C25" i="6"/>
  <c r="D25" i="6"/>
  <c r="C26" i="6"/>
  <c r="D26" i="6"/>
  <c r="C27" i="6"/>
  <c r="D27" i="6"/>
  <c r="C28" i="6"/>
  <c r="D28" i="6"/>
  <c r="C29" i="6"/>
  <c r="D29" i="6"/>
  <c r="C30" i="6"/>
  <c r="D30" i="6"/>
  <c r="D31" i="6"/>
  <c r="C32" i="6"/>
  <c r="D32" i="6"/>
  <c r="M32" i="6" s="1"/>
  <c r="C33" i="6"/>
  <c r="D33" i="6"/>
  <c r="C34" i="6"/>
  <c r="D34" i="6"/>
  <c r="C35" i="6"/>
  <c r="D35" i="6"/>
  <c r="D6" i="6"/>
  <c r="C6" i="6"/>
  <c r="K31" i="6"/>
  <c r="M31" i="6" s="1"/>
  <c r="R16" i="4"/>
  <c r="T16" i="4" s="1"/>
  <c r="AB78" i="4" l="1"/>
  <c r="AD71" i="4"/>
  <c r="AG71" i="4" s="1"/>
  <c r="AI71" i="4" s="1"/>
  <c r="Z71" i="4"/>
  <c r="BG77" i="4"/>
  <c r="C10" i="10"/>
  <c r="C12" i="10" s="1"/>
  <c r="BC49" i="4"/>
  <c r="BD49" i="4" s="1"/>
  <c r="G10" i="10"/>
  <c r="G12" i="10" s="1"/>
  <c r="BF76" i="4"/>
  <c r="BB53" i="4"/>
  <c r="BC53" i="4" s="1"/>
  <c r="BD53" i="4" s="1"/>
  <c r="BJ272" i="4"/>
  <c r="AD22" i="4"/>
  <c r="AG22" i="4" s="1"/>
  <c r="AH22" i="4" s="1"/>
  <c r="AD47" i="4"/>
  <c r="AG47" i="4" s="1"/>
  <c r="AH47" i="4" s="1"/>
  <c r="AK24" i="4"/>
  <c r="AN24" i="4" s="1"/>
  <c r="AK48" i="4"/>
  <c r="AN48" i="4" s="1"/>
  <c r="AP48" i="4" s="1"/>
  <c r="AX34" i="4"/>
  <c r="BA34" i="4" s="1"/>
  <c r="AR34" i="4"/>
  <c r="AU34" i="4" s="1"/>
  <c r="BA31" i="4"/>
  <c r="AF31" i="4"/>
  <c r="Y31" i="4"/>
  <c r="AM31" i="4"/>
  <c r="AT32" i="4"/>
  <c r="AM32" i="4"/>
  <c r="AF32" i="4"/>
  <c r="Y32" i="4"/>
  <c r="AU41" i="4"/>
  <c r="AV40" i="4"/>
  <c r="AW40" i="4" s="1"/>
  <c r="AY40" i="4" s="1"/>
  <c r="AB49" i="4"/>
  <c r="AC49" i="4" s="1"/>
  <c r="AN33" i="4"/>
  <c r="AP33" i="4" s="1"/>
  <c r="AV33" i="4"/>
  <c r="AW33" i="4" s="1"/>
  <c r="AD24" i="4"/>
  <c r="AG24" i="4" s="1"/>
  <c r="AH24" i="4" s="1"/>
  <c r="AD18" i="4"/>
  <c r="AG18" i="4" s="1"/>
  <c r="AK17" i="4"/>
  <c r="AN17" i="4" s="1"/>
  <c r="AK23" i="4"/>
  <c r="AN23" i="4" s="1"/>
  <c r="Y23" i="4"/>
  <c r="AM23" i="4"/>
  <c r="AF23" i="4"/>
  <c r="AT25" i="4"/>
  <c r="AM25" i="4"/>
  <c r="AF25" i="4"/>
  <c r="Y25" i="4"/>
  <c r="BA32" i="4"/>
  <c r="AD19" i="4"/>
  <c r="AG19" i="4" s="1"/>
  <c r="AD25" i="4"/>
  <c r="AG25" i="4" s="1"/>
  <c r="AH25" i="4" s="1"/>
  <c r="AM22" i="4"/>
  <c r="Y22" i="4"/>
  <c r="AF22" i="4"/>
  <c r="AA17" i="4"/>
  <c r="AD17" i="4"/>
  <c r="AG17" i="4" s="1"/>
  <c r="AH17" i="4" s="1"/>
  <c r="AD23" i="4"/>
  <c r="AG23" i="4" s="1"/>
  <c r="AK19" i="4"/>
  <c r="AN19" i="4" s="1"/>
  <c r="AK25" i="4"/>
  <c r="AN25" i="4" s="1"/>
  <c r="AN47" i="4"/>
  <c r="AK22" i="4"/>
  <c r="AN22" i="4" s="1"/>
  <c r="AO22" i="4" s="1"/>
  <c r="Z24" i="4"/>
  <c r="AB24" i="4" s="1"/>
  <c r="Y24" i="4"/>
  <c r="AM24" i="4"/>
  <c r="AF24" i="4"/>
  <c r="AK16" i="4"/>
  <c r="AN16" i="4" s="1"/>
  <c r="AO16" i="4" s="1"/>
  <c r="AK18" i="4"/>
  <c r="BJ276" i="4"/>
  <c r="AD16" i="4"/>
  <c r="AG16" i="4" s="1"/>
  <c r="AG48" i="4"/>
  <c r="AI48" i="4" s="1"/>
  <c r="AZ291" i="4"/>
  <c r="DI323" i="4"/>
  <c r="DF325" i="4"/>
  <c r="DH325" i="4" s="1"/>
  <c r="DI325" i="4"/>
  <c r="DF332" i="4"/>
  <c r="DH332" i="4" s="1"/>
  <c r="DF328" i="4"/>
  <c r="DH328" i="4" s="1"/>
  <c r="DF331" i="4"/>
  <c r="DH331" i="4" s="1"/>
  <c r="DF345" i="4"/>
  <c r="DH345" i="4" s="1"/>
  <c r="DF340" i="4"/>
  <c r="DH340" i="4" s="1"/>
  <c r="AZ290" i="4"/>
  <c r="DF339" i="4"/>
  <c r="DH339" i="4" s="1"/>
  <c r="DI332" i="4"/>
  <c r="BJ271" i="4"/>
  <c r="DF333" i="4"/>
  <c r="DH333" i="4" s="1"/>
  <c r="AW296" i="4"/>
  <c r="DG344" i="4"/>
  <c r="DI344" i="4" s="1"/>
  <c r="DF344" i="4"/>
  <c r="DH344" i="4" s="1"/>
  <c r="K6" i="6"/>
  <c r="DF323" i="4"/>
  <c r="DH323" i="4" s="1"/>
  <c r="DG336" i="4"/>
  <c r="DI336" i="4" s="1"/>
  <c r="DF336" i="4"/>
  <c r="DH336" i="4" s="1"/>
  <c r="T25" i="4"/>
  <c r="U25" i="4"/>
  <c r="T32" i="4"/>
  <c r="S32" i="4"/>
  <c r="L22" i="6"/>
  <c r="AX295" i="4"/>
  <c r="BJ280" i="4"/>
  <c r="DI321" i="4"/>
  <c r="DI341" i="4"/>
  <c r="BJ273" i="4"/>
  <c r="M6" i="6"/>
  <c r="M35" i="6"/>
  <c r="L12" i="6"/>
  <c r="BA292" i="4"/>
  <c r="AX296" i="4"/>
  <c r="AY296" i="4"/>
  <c r="Z19" i="4"/>
  <c r="Y19" i="4"/>
  <c r="J13" i="6"/>
  <c r="L13" i="6" s="1"/>
  <c r="K13" i="6"/>
  <c r="K15" i="6"/>
  <c r="M15" i="6" s="1"/>
  <c r="J15" i="6"/>
  <c r="L15" i="6" s="1"/>
  <c r="DG322" i="4"/>
  <c r="DI322" i="4" s="1"/>
  <c r="DF322" i="4"/>
  <c r="DH322" i="4" s="1"/>
  <c r="DG342" i="4"/>
  <c r="DI342" i="4" s="1"/>
  <c r="DF342" i="4"/>
  <c r="DH342" i="4" s="1"/>
  <c r="K11" i="6"/>
  <c r="J11" i="6"/>
  <c r="L11" i="6" s="1"/>
  <c r="J33" i="6"/>
  <c r="L33" i="6" s="1"/>
  <c r="K33" i="6"/>
  <c r="M33" i="6" s="1"/>
  <c r="J27" i="6"/>
  <c r="L27" i="6" s="1"/>
  <c r="K27" i="6"/>
  <c r="M27" i="6" s="1"/>
  <c r="J20" i="6"/>
  <c r="K20" i="6"/>
  <c r="M20" i="6" s="1"/>
  <c r="DG320" i="4"/>
  <c r="DI320" i="4" s="1"/>
  <c r="DF320" i="4"/>
  <c r="DH320" i="4" s="1"/>
  <c r="DG324" i="4"/>
  <c r="DI324" i="4" s="1"/>
  <c r="DF324" i="4"/>
  <c r="DH324" i="4" s="1"/>
  <c r="DG335" i="4"/>
  <c r="DI335" i="4" s="1"/>
  <c r="DF335" i="4"/>
  <c r="DH335" i="4" s="1"/>
  <c r="L25" i="6"/>
  <c r="L10" i="6"/>
  <c r="DF343" i="4"/>
  <c r="DH343" i="4" s="1"/>
  <c r="DF327" i="4"/>
  <c r="DH327" i="4" s="1"/>
  <c r="DF317" i="4"/>
  <c r="DH317" i="4" s="1"/>
  <c r="S25" i="4"/>
  <c r="BA24" i="4"/>
  <c r="T34" i="4"/>
  <c r="T22" i="4"/>
  <c r="K22" i="6"/>
  <c r="J29" i="6"/>
  <c r="K17" i="6"/>
  <c r="M17" i="6" s="1"/>
  <c r="DF330" i="4"/>
  <c r="DH330" i="4" s="1"/>
  <c r="DF321" i="4"/>
  <c r="DH321" i="4" s="1"/>
  <c r="AU24" i="4"/>
  <c r="S34" i="4"/>
  <c r="Z22" i="4"/>
  <c r="DI330" i="4"/>
  <c r="DF341" i="4"/>
  <c r="DH341" i="4" s="1"/>
  <c r="DF329" i="4"/>
  <c r="DH329" i="4" s="1"/>
  <c r="BA22" i="4"/>
  <c r="DI329" i="4"/>
  <c r="AT24" i="4"/>
  <c r="DG319" i="4"/>
  <c r="DI319" i="4" s="1"/>
  <c r="DF319" i="4"/>
  <c r="DH319" i="4" s="1"/>
  <c r="AZ285" i="4"/>
  <c r="DI343" i="4"/>
  <c r="DI345" i="4"/>
  <c r="AZ286" i="4"/>
  <c r="L6" i="6"/>
  <c r="L29" i="6"/>
  <c r="M22" i="6"/>
  <c r="L34" i="6"/>
  <c r="L32" i="6"/>
  <c r="M29" i="6"/>
  <c r="L26" i="6"/>
  <c r="L17" i="6"/>
  <c r="L16" i="6"/>
  <c r="M10" i="6"/>
  <c r="DI317" i="4"/>
  <c r="DI327" i="4"/>
  <c r="DI328" i="4"/>
  <c r="DI331" i="4"/>
  <c r="DI333" i="4"/>
  <c r="DI337" i="4"/>
  <c r="DI339" i="4"/>
  <c r="DI340" i="4"/>
  <c r="DJ349" i="4"/>
  <c r="CY349" i="4" s="1"/>
  <c r="BA287" i="4"/>
  <c r="BA293" i="4"/>
  <c r="AV295" i="4"/>
  <c r="BA288" i="4"/>
  <c r="BA291" i="4"/>
  <c r="AY295" i="4"/>
  <c r="BA286" i="4"/>
  <c r="AU296" i="4"/>
  <c r="U22" i="4"/>
  <c r="T23" i="4"/>
  <c r="S23" i="4"/>
  <c r="Z25" i="4"/>
  <c r="AB25" i="4" s="1"/>
  <c r="BA25" i="4"/>
  <c r="AF18" i="4"/>
  <c r="U32" i="4"/>
  <c r="AG32" i="4"/>
  <c r="BA18" i="4"/>
  <c r="K21" i="6"/>
  <c r="M21" i="6" s="1"/>
  <c r="J21" i="6"/>
  <c r="L21" i="6" s="1"/>
  <c r="J23" i="6"/>
  <c r="L23" i="6" s="1"/>
  <c r="K23" i="6"/>
  <c r="M23" i="6" s="1"/>
  <c r="J28" i="6"/>
  <c r="L28" i="6" s="1"/>
  <c r="K28" i="6"/>
  <c r="M28" i="6" s="1"/>
  <c r="J30" i="6"/>
  <c r="L30" i="6" s="1"/>
  <c r="K30" i="6"/>
  <c r="M30" i="6" s="1"/>
  <c r="J9" i="6"/>
  <c r="L9" i="6" s="1"/>
  <c r="K9" i="6"/>
  <c r="M9" i="6" s="1"/>
  <c r="K19" i="6"/>
  <c r="M19" i="6" s="1"/>
  <c r="J19" i="6"/>
  <c r="L19" i="6" s="1"/>
  <c r="J24" i="6"/>
  <c r="L24" i="6" s="1"/>
  <c r="K24" i="6"/>
  <c r="M24" i="6" s="1"/>
  <c r="K34" i="6"/>
  <c r="M34" i="6" s="1"/>
  <c r="K26" i="6"/>
  <c r="M26" i="6" s="1"/>
  <c r="K12" i="6"/>
  <c r="M12" i="6" s="1"/>
  <c r="J18" i="6"/>
  <c r="L18" i="6" s="1"/>
  <c r="K18" i="6"/>
  <c r="M18" i="6" s="1"/>
  <c r="K16" i="6"/>
  <c r="J8" i="6"/>
  <c r="L8" i="6" s="1"/>
  <c r="K8" i="6"/>
  <c r="M8" i="6" s="1"/>
  <c r="AZ34" i="4"/>
  <c r="Z34" i="4"/>
  <c r="AG34" i="4"/>
  <c r="AN34" i="4"/>
  <c r="AP34" i="4" s="1"/>
  <c r="J7" i="6"/>
  <c r="L7" i="6" s="1"/>
  <c r="K7" i="6"/>
  <c r="M7" i="6" s="1"/>
  <c r="DG334" i="4"/>
  <c r="DI334" i="4" s="1"/>
  <c r="DF334" i="4"/>
  <c r="DH334" i="4" s="1"/>
  <c r="M16" i="6"/>
  <c r="DG318" i="4"/>
  <c r="DI318" i="4" s="1"/>
  <c r="DF318" i="4"/>
  <c r="DH318" i="4" s="1"/>
  <c r="DG326" i="4"/>
  <c r="DI326" i="4" s="1"/>
  <c r="DF326" i="4"/>
  <c r="DH326" i="4" s="1"/>
  <c r="DG346" i="4"/>
  <c r="DI346" i="4" s="1"/>
  <c r="DF346" i="4"/>
  <c r="DH346" i="4" s="1"/>
  <c r="AT23" i="4"/>
  <c r="Z23" i="4"/>
  <c r="BA23" i="4"/>
  <c r="AU23" i="4"/>
  <c r="AV23" i="4" s="1"/>
  <c r="T24" i="4"/>
  <c r="S24" i="4"/>
  <c r="U24" i="4"/>
  <c r="K25" i="6"/>
  <c r="M25" i="6" s="1"/>
  <c r="J35" i="6"/>
  <c r="L35" i="6" s="1"/>
  <c r="J14" i="6"/>
  <c r="L14" i="6" s="1"/>
  <c r="L20" i="6"/>
  <c r="M13" i="6"/>
  <c r="M11" i="6"/>
  <c r="L31" i="6"/>
  <c r="DF337" i="4"/>
  <c r="DH337" i="4" s="1"/>
  <c r="DG338" i="4"/>
  <c r="DI338" i="4" s="1"/>
  <c r="DF338" i="4"/>
  <c r="DH338" i="4" s="1"/>
  <c r="AU22" i="4"/>
  <c r="DJ351" i="4"/>
  <c r="AU25" i="4"/>
  <c r="AY297" i="4"/>
  <c r="BF270" i="4"/>
  <c r="AZ293" i="4"/>
  <c r="AZ287" i="4"/>
  <c r="AZ288" i="4"/>
  <c r="AV296" i="4"/>
  <c r="BA285" i="4"/>
  <c r="AU295" i="4"/>
  <c r="BA290" i="4"/>
  <c r="AZ289" i="4"/>
  <c r="AW295" i="4"/>
  <c r="BA289" i="4"/>
  <c r="BJ274" i="4"/>
  <c r="AZ292" i="4"/>
  <c r="BA294" i="4"/>
  <c r="AZ294" i="4"/>
  <c r="Q27" i="4"/>
  <c r="R26" i="4"/>
  <c r="T26" i="4" s="1"/>
  <c r="U18" i="4"/>
  <c r="T18" i="4"/>
  <c r="R40" i="4"/>
  <c r="U40" i="4" s="1"/>
  <c r="R27" i="4"/>
  <c r="S27" i="4" s="1"/>
  <c r="U28" i="4"/>
  <c r="T28" i="4"/>
  <c r="S28" i="4"/>
  <c r="Q26" i="4"/>
  <c r="Z18" i="4"/>
  <c r="AB18" i="4" s="1"/>
  <c r="AU18" i="4"/>
  <c r="AU32" i="4"/>
  <c r="BA19" i="4"/>
  <c r="BC19" i="4" s="1"/>
  <c r="AU19" i="4"/>
  <c r="AU17" i="4"/>
  <c r="AM19" i="4"/>
  <c r="Y17" i="4"/>
  <c r="AG31" i="4"/>
  <c r="AH31" i="4" s="1"/>
  <c r="U19" i="4"/>
  <c r="BA16" i="4"/>
  <c r="S16" i="4"/>
  <c r="Y16" i="4"/>
  <c r="U17" i="4"/>
  <c r="T19" i="4"/>
  <c r="S17" i="4"/>
  <c r="BB17" i="4"/>
  <c r="U16" i="4"/>
  <c r="Z16" i="4"/>
  <c r="Z32" i="4"/>
  <c r="AA32" i="4" s="1"/>
  <c r="AM17" i="4"/>
  <c r="S31" i="4"/>
  <c r="AT31" i="4"/>
  <c r="U31" i="4"/>
  <c r="AU31" i="4"/>
  <c r="Z31" i="4"/>
  <c r="AB31" i="4" s="1"/>
  <c r="F8" i="10" l="1"/>
  <c r="F9" i="10" s="1"/>
  <c r="AC78" i="4"/>
  <c r="AH71" i="4"/>
  <c r="AH74" i="4" s="1"/>
  <c r="D14" i="10" s="1"/>
  <c r="D16" i="10" s="1"/>
  <c r="AA71" i="4"/>
  <c r="AB71" i="4"/>
  <c r="J15" i="10"/>
  <c r="BG76" i="4"/>
  <c r="BF78" i="4" s="1"/>
  <c r="BG78" i="4" s="1"/>
  <c r="AA24" i="4"/>
  <c r="AU36" i="4"/>
  <c r="AU95" i="4" s="1"/>
  <c r="AI34" i="4"/>
  <c r="AH34" i="4"/>
  <c r="V25" i="4"/>
  <c r="AP25" i="4" s="1"/>
  <c r="AI47" i="4"/>
  <c r="AO33" i="4"/>
  <c r="BE33" i="4" s="1"/>
  <c r="BB22" i="4"/>
  <c r="BC22" i="4"/>
  <c r="BB24" i="4"/>
  <c r="BC24" i="4"/>
  <c r="BB23" i="4"/>
  <c r="BC23" i="4"/>
  <c r="BB25" i="4"/>
  <c r="BC25" i="4"/>
  <c r="BB32" i="4"/>
  <c r="BC32" i="4"/>
  <c r="BB31" i="4"/>
  <c r="BC31" i="4"/>
  <c r="AB53" i="4"/>
  <c r="AC53" i="4" s="1"/>
  <c r="AP47" i="4"/>
  <c r="AO47" i="4"/>
  <c r="BB34" i="4"/>
  <c r="BC34" i="4"/>
  <c r="BB16" i="4"/>
  <c r="BC16" i="4"/>
  <c r="Y28" i="4"/>
  <c r="AN28" i="4"/>
  <c r="AP28" i="4" s="1"/>
  <c r="AV24" i="4"/>
  <c r="AW24" i="4" s="1"/>
  <c r="AH18" i="4"/>
  <c r="AH32" i="4"/>
  <c r="AI32" i="4"/>
  <c r="AI31" i="4"/>
  <c r="AJ31" i="4" s="1"/>
  <c r="AF27" i="4"/>
  <c r="AN27" i="4"/>
  <c r="AA34" i="4"/>
  <c r="AB34" i="4"/>
  <c r="Z26" i="4"/>
  <c r="AB26" i="4" s="1"/>
  <c r="AN26" i="4"/>
  <c r="AO26" i="4" s="1"/>
  <c r="AV25" i="4"/>
  <c r="AW25" i="4" s="1"/>
  <c r="AV34" i="4"/>
  <c r="AW34" i="4" s="1"/>
  <c r="BB18" i="4"/>
  <c r="BC18" i="4"/>
  <c r="AN18" i="4"/>
  <c r="AO19" i="4"/>
  <c r="AH19" i="4"/>
  <c r="AA19" i="4"/>
  <c r="AB19" i="4"/>
  <c r="AH16" i="4"/>
  <c r="AV17" i="4"/>
  <c r="AW17" i="4" s="1"/>
  <c r="AU20" i="4"/>
  <c r="F4" i="10" s="1"/>
  <c r="AO17" i="4"/>
  <c r="BE17" i="4" s="1"/>
  <c r="AV19" i="4"/>
  <c r="AW19" i="4" s="1"/>
  <c r="AV18" i="4"/>
  <c r="AW18" i="4" s="1"/>
  <c r="AV22" i="4"/>
  <c r="AO25" i="4"/>
  <c r="V24" i="4"/>
  <c r="AP24" i="4" s="1"/>
  <c r="V22" i="4"/>
  <c r="AI22" i="4" s="1"/>
  <c r="AJ22" i="4" s="1"/>
  <c r="V23" i="4"/>
  <c r="AI23" i="4" s="1"/>
  <c r="AO48" i="4"/>
  <c r="AH48" i="4"/>
  <c r="AH49" i="4" s="1"/>
  <c r="BB291" i="4"/>
  <c r="V18" i="4"/>
  <c r="AI18" i="4" s="1"/>
  <c r="AX298" i="4"/>
  <c r="BB290" i="4"/>
  <c r="AU298" i="4"/>
  <c r="BB285" i="4"/>
  <c r="AY298" i="4"/>
  <c r="AV298" i="4"/>
  <c r="BB288" i="4"/>
  <c r="BB292" i="4"/>
  <c r="BB293" i="4"/>
  <c r="BB286" i="4"/>
  <c r="AW298" i="4"/>
  <c r="BB287" i="4"/>
  <c r="V31" i="4"/>
  <c r="AN31" i="4" s="1"/>
  <c r="AP31" i="4" s="1"/>
  <c r="BB294" i="4"/>
  <c r="V32" i="4"/>
  <c r="AV32" i="4" s="1"/>
  <c r="AW32" i="4" s="1"/>
  <c r="AC24" i="4"/>
  <c r="AA22" i="4"/>
  <c r="T40" i="4"/>
  <c r="BB289" i="4"/>
  <c r="AA25" i="4"/>
  <c r="BA28" i="4"/>
  <c r="BC28" i="4" s="1"/>
  <c r="V28" i="4"/>
  <c r="AG28" i="4"/>
  <c r="Z28" i="4"/>
  <c r="AF28" i="4"/>
  <c r="U26" i="4"/>
  <c r="S26" i="4"/>
  <c r="U27" i="4"/>
  <c r="BA27" i="4"/>
  <c r="BC27" i="4" s="1"/>
  <c r="AA23" i="4"/>
  <c r="Z27" i="4"/>
  <c r="Y27" i="4"/>
  <c r="T27" i="4"/>
  <c r="AM27" i="4"/>
  <c r="AH23" i="4"/>
  <c r="AW22" i="4"/>
  <c r="AG27" i="4"/>
  <c r="AH27" i="4" s="1"/>
  <c r="AU27" i="4"/>
  <c r="AO34" i="4"/>
  <c r="AG26" i="4"/>
  <c r="AF26" i="4"/>
  <c r="AU26" i="4"/>
  <c r="AV26" i="4" s="1"/>
  <c r="AM26" i="4"/>
  <c r="S40" i="4"/>
  <c r="AA18" i="4"/>
  <c r="AU28" i="4"/>
  <c r="AM28" i="4"/>
  <c r="BA26" i="4"/>
  <c r="BC26" i="4" s="1"/>
  <c r="Y26" i="4"/>
  <c r="Y40" i="4"/>
  <c r="AG40" i="4"/>
  <c r="BA40" i="4"/>
  <c r="Z40" i="4"/>
  <c r="AA40" i="4" s="1"/>
  <c r="BB19" i="4"/>
  <c r="V19" i="4"/>
  <c r="AI19" i="4" s="1"/>
  <c r="V17" i="4"/>
  <c r="V16" i="4"/>
  <c r="AP16" i="4" s="1"/>
  <c r="AW16" i="4"/>
  <c r="BD17" i="4"/>
  <c r="AA16" i="4"/>
  <c r="AA31" i="4"/>
  <c r="AA36" i="4" s="1"/>
  <c r="C6" i="10" s="1"/>
  <c r="AJ71" i="4" l="1"/>
  <c r="BE71" i="4"/>
  <c r="BE74" i="4" s="1"/>
  <c r="H14" i="10" s="1"/>
  <c r="AA74" i="4"/>
  <c r="C14" i="10" s="1"/>
  <c r="AI74" i="4"/>
  <c r="AI79" i="4" s="1"/>
  <c r="AH79" i="4"/>
  <c r="AH85" i="4"/>
  <c r="AI85" i="4" s="1"/>
  <c r="AJ85" i="4" s="1"/>
  <c r="AC71" i="4"/>
  <c r="AH36" i="4"/>
  <c r="BD22" i="4"/>
  <c r="AI25" i="4"/>
  <c r="AJ25" i="4" s="1"/>
  <c r="BD34" i="4"/>
  <c r="BB36" i="4"/>
  <c r="BC36" i="4" s="1"/>
  <c r="F6" i="10"/>
  <c r="AA20" i="4"/>
  <c r="AQ33" i="4"/>
  <c r="BF33" i="4" s="1"/>
  <c r="BG33" i="4" s="1"/>
  <c r="AA41" i="4"/>
  <c r="AV20" i="4"/>
  <c r="AW20" i="4" s="1"/>
  <c r="AQ47" i="4"/>
  <c r="BD31" i="4"/>
  <c r="BD18" i="4"/>
  <c r="BD25" i="4"/>
  <c r="BD24" i="4"/>
  <c r="BD23" i="4"/>
  <c r="BD32" i="4"/>
  <c r="AA26" i="4"/>
  <c r="AC26" i="4" s="1"/>
  <c r="BB40" i="4"/>
  <c r="BB41" i="4" s="1"/>
  <c r="BA41" i="4"/>
  <c r="G8" i="10" s="1"/>
  <c r="G9" i="10" s="1"/>
  <c r="BC40" i="4"/>
  <c r="AO49" i="4"/>
  <c r="E10" i="10" s="1"/>
  <c r="AC19" i="4"/>
  <c r="AH40" i="4"/>
  <c r="AH41" i="4" s="1"/>
  <c r="AI40" i="4"/>
  <c r="AJ32" i="4"/>
  <c r="AN32" i="4"/>
  <c r="AB22" i="4"/>
  <c r="AC22" i="4" s="1"/>
  <c r="AI17" i="4"/>
  <c r="AJ17" i="4" s="1"/>
  <c r="AB17" i="4"/>
  <c r="AC17" i="4" s="1"/>
  <c r="AV28" i="4"/>
  <c r="AW28" i="4" s="1"/>
  <c r="AV27" i="4"/>
  <c r="AW27" i="4" s="1"/>
  <c r="AA28" i="4"/>
  <c r="AB28" i="4"/>
  <c r="BE22" i="4"/>
  <c r="AV31" i="4"/>
  <c r="AW31" i="4" s="1"/>
  <c r="AB32" i="4"/>
  <c r="AC32" i="4" s="1"/>
  <c r="BB20" i="4"/>
  <c r="BC20" i="4" s="1"/>
  <c r="BD16" i="4"/>
  <c r="AH28" i="4"/>
  <c r="AI28" i="4"/>
  <c r="AI24" i="4"/>
  <c r="AJ24" i="4" s="1"/>
  <c r="AB23" i="4"/>
  <c r="AC23" i="4" s="1"/>
  <c r="AU29" i="4"/>
  <c r="AJ18" i="4"/>
  <c r="AH26" i="4"/>
  <c r="AP19" i="4"/>
  <c r="AQ19" i="4" s="1"/>
  <c r="AI16" i="4"/>
  <c r="AJ16" i="4" s="1"/>
  <c r="AP18" i="4"/>
  <c r="AO18" i="4"/>
  <c r="AO20" i="4" s="1"/>
  <c r="AP17" i="4"/>
  <c r="AQ17" i="4" s="1"/>
  <c r="AB16" i="4"/>
  <c r="AC16" i="4" s="1"/>
  <c r="AO24" i="4"/>
  <c r="BE25" i="4"/>
  <c r="AO27" i="4"/>
  <c r="AQ25" i="4"/>
  <c r="AO23" i="4"/>
  <c r="AP23" i="4"/>
  <c r="AP22" i="4"/>
  <c r="AQ22" i="4" s="1"/>
  <c r="AW23" i="4"/>
  <c r="AA27" i="4"/>
  <c r="AJ48" i="4"/>
  <c r="BE48" i="4"/>
  <c r="AJ47" i="4"/>
  <c r="BE47" i="4"/>
  <c r="AQ48" i="4"/>
  <c r="AV41" i="4"/>
  <c r="AO31" i="4"/>
  <c r="BB28" i="4"/>
  <c r="BD28" i="4" s="1"/>
  <c r="AH20" i="4"/>
  <c r="D4" i="10" s="1"/>
  <c r="AJ34" i="4"/>
  <c r="V40" i="4"/>
  <c r="AQ34" i="4"/>
  <c r="AC25" i="4"/>
  <c r="BB27" i="4"/>
  <c r="BE34" i="4"/>
  <c r="V26" i="4"/>
  <c r="AI26" i="4" s="1"/>
  <c r="V27" i="4"/>
  <c r="AP27" i="4" s="1"/>
  <c r="AW26" i="4"/>
  <c r="AJ23" i="4"/>
  <c r="AC34" i="4"/>
  <c r="BB26" i="4"/>
  <c r="AO28" i="4"/>
  <c r="AC18" i="4"/>
  <c r="BD19" i="4"/>
  <c r="BE19" i="4"/>
  <c r="AQ16" i="4"/>
  <c r="AJ19" i="4"/>
  <c r="AC31" i="4"/>
  <c r="BE16" i="4"/>
  <c r="AJ79" i="4" l="1"/>
  <c r="C8" i="10"/>
  <c r="C9" i="10" s="1"/>
  <c r="AW41" i="4"/>
  <c r="BC41" i="4"/>
  <c r="BB93" i="4"/>
  <c r="BF71" i="4"/>
  <c r="J14" i="10" s="1"/>
  <c r="AA79" i="4"/>
  <c r="AA93" i="4" s="1"/>
  <c r="AB74" i="4"/>
  <c r="AB79" i="4" s="1"/>
  <c r="AA85" i="4"/>
  <c r="AB85" i="4" s="1"/>
  <c r="AC85" i="4" s="1"/>
  <c r="AC74" i="4"/>
  <c r="AC79" i="4" s="1"/>
  <c r="BE79" i="4"/>
  <c r="AQ24" i="4"/>
  <c r="BE24" i="4"/>
  <c r="BF24" i="4" s="1"/>
  <c r="BG24" i="4" s="1"/>
  <c r="C16" i="10"/>
  <c r="AJ74" i="4"/>
  <c r="BE85" i="4"/>
  <c r="BF85" i="4" s="1"/>
  <c r="BG71" i="4"/>
  <c r="BF74" i="4" s="1"/>
  <c r="BG74" i="4" s="1"/>
  <c r="AV36" i="4"/>
  <c r="AW36" i="4" s="1"/>
  <c r="AH53" i="4"/>
  <c r="AH93" i="4" s="1"/>
  <c r="D10" i="10"/>
  <c r="D12" i="10" s="1"/>
  <c r="AB36" i="4"/>
  <c r="AC36" i="4" s="1"/>
  <c r="BE31" i="4"/>
  <c r="BF47" i="4"/>
  <c r="BG47" i="4" s="1"/>
  <c r="BD40" i="4"/>
  <c r="AI49" i="4"/>
  <c r="AJ49" i="4" s="1"/>
  <c r="D6" i="10"/>
  <c r="BB95" i="4"/>
  <c r="BF48" i="4"/>
  <c r="BG48" i="4" s="1"/>
  <c r="BB91" i="4"/>
  <c r="BC91" i="4" s="1"/>
  <c r="BD91" i="4" s="1"/>
  <c r="AU91" i="4"/>
  <c r="AV91" i="4" s="1"/>
  <c r="AW91" i="4" s="1"/>
  <c r="BF25" i="4"/>
  <c r="BG25" i="4" s="1"/>
  <c r="BF22" i="4"/>
  <c r="BG22" i="4" s="1"/>
  <c r="BB29" i="4"/>
  <c r="AH29" i="4"/>
  <c r="D5" i="10" s="1"/>
  <c r="AJ28" i="4"/>
  <c r="G6" i="10"/>
  <c r="G7" i="10" s="1"/>
  <c r="G21" i="10" s="1"/>
  <c r="AJ40" i="4"/>
  <c r="BE49" i="4"/>
  <c r="AC28" i="4"/>
  <c r="D8" i="10"/>
  <c r="D9" i="10" s="1"/>
  <c r="AI41" i="4"/>
  <c r="AO53" i="4"/>
  <c r="E12" i="10"/>
  <c r="AP49" i="4"/>
  <c r="AP53" i="4" s="1"/>
  <c r="AP26" i="4"/>
  <c r="AQ26" i="4" s="1"/>
  <c r="AA29" i="4"/>
  <c r="AB40" i="4"/>
  <c r="AN40" i="4"/>
  <c r="AO40" i="4" s="1"/>
  <c r="BE40" i="4" s="1"/>
  <c r="BE41" i="4" s="1"/>
  <c r="AB27" i="4"/>
  <c r="AC27" i="4" s="1"/>
  <c r="AW29" i="4"/>
  <c r="BE23" i="4"/>
  <c r="AO29" i="4"/>
  <c r="C4" i="10"/>
  <c r="E4" i="10"/>
  <c r="AJ26" i="4"/>
  <c r="AQ18" i="4"/>
  <c r="AP20" i="4" s="1"/>
  <c r="AQ20" i="4" s="1"/>
  <c r="AI27" i="4"/>
  <c r="AJ27" i="4" s="1"/>
  <c r="AP32" i="4"/>
  <c r="AO32" i="4"/>
  <c r="AO36" i="4" s="1"/>
  <c r="AI36" i="4"/>
  <c r="F5" i="10"/>
  <c r="F7" i="10" s="1"/>
  <c r="F21" i="10" s="1"/>
  <c r="AV29" i="4"/>
  <c r="AI20" i="4"/>
  <c r="AJ20" i="4" s="1"/>
  <c r="BE18" i="4"/>
  <c r="AB20" i="4"/>
  <c r="BE27" i="4"/>
  <c r="BE26" i="4"/>
  <c r="AQ23" i="4"/>
  <c r="AV49" i="4"/>
  <c r="AW49" i="4" s="1"/>
  <c r="AU53" i="4"/>
  <c r="AU93" i="4" s="1"/>
  <c r="AQ31" i="4"/>
  <c r="BE28" i="4"/>
  <c r="BD27" i="4"/>
  <c r="AU37" i="4"/>
  <c r="BF34" i="4"/>
  <c r="BG34" i="4" s="1"/>
  <c r="AQ27" i="4"/>
  <c r="BF17" i="4"/>
  <c r="BG17" i="4" s="1"/>
  <c r="BF19" i="4"/>
  <c r="BG19" i="4" s="1"/>
  <c r="BD26" i="4"/>
  <c r="AQ28" i="4"/>
  <c r="BD20" i="4"/>
  <c r="BF16" i="4"/>
  <c r="BG16" i="4" s="1"/>
  <c r="AJ41" i="4" l="1"/>
  <c r="BD41" i="4"/>
  <c r="BD93" i="4" s="1"/>
  <c r="BC93" i="4"/>
  <c r="BF31" i="4"/>
  <c r="BG31" i="4" s="1"/>
  <c r="AQ53" i="4"/>
  <c r="BC29" i="4"/>
  <c r="BD29" i="4" s="1"/>
  <c r="H16" i="10"/>
  <c r="BF18" i="4"/>
  <c r="BG18" i="4" s="1"/>
  <c r="AI53" i="4"/>
  <c r="AJ53" i="4" s="1"/>
  <c r="BE53" i="4"/>
  <c r="BE93" i="4" s="1"/>
  <c r="BF49" i="4"/>
  <c r="AP36" i="4"/>
  <c r="AQ36" i="4" s="1"/>
  <c r="D7" i="10"/>
  <c r="D21" i="10" s="1"/>
  <c r="BC95" i="4"/>
  <c r="BD95" i="4" s="1"/>
  <c r="AH91" i="4"/>
  <c r="AI91" i="4" s="1"/>
  <c r="AJ91" i="4" s="1"/>
  <c r="AJ36" i="4"/>
  <c r="BD36" i="4"/>
  <c r="AV37" i="4"/>
  <c r="AW37" i="4" s="1"/>
  <c r="AV95" i="4"/>
  <c r="AW95" i="4" s="1"/>
  <c r="AO91" i="4"/>
  <c r="AP91" i="4" s="1"/>
  <c r="AQ91" i="4" s="1"/>
  <c r="AB29" i="4"/>
  <c r="AC29" i="4" s="1"/>
  <c r="AI29" i="4"/>
  <c r="AJ29" i="4" s="1"/>
  <c r="C5" i="10"/>
  <c r="C7" i="10" s="1"/>
  <c r="C21" i="10" s="1"/>
  <c r="AA37" i="4"/>
  <c r="AH37" i="4"/>
  <c r="H10" i="10"/>
  <c r="AO41" i="4"/>
  <c r="AP40" i="4"/>
  <c r="AQ40" i="4" s="1"/>
  <c r="AA91" i="4"/>
  <c r="AB91" i="4" s="1"/>
  <c r="AC91" i="4" s="1"/>
  <c r="BF23" i="4"/>
  <c r="BG23" i="4" s="1"/>
  <c r="J10" i="10"/>
  <c r="AQ49" i="4"/>
  <c r="AV53" i="4"/>
  <c r="BE29" i="4"/>
  <c r="H5" i="10" s="1"/>
  <c r="AQ32" i="4"/>
  <c r="BE32" i="4"/>
  <c r="BE36" i="4" s="1"/>
  <c r="BE20" i="4"/>
  <c r="E5" i="10"/>
  <c r="AP29" i="4"/>
  <c r="AQ29" i="4" s="1"/>
  <c r="AC20" i="4"/>
  <c r="BG69" i="4"/>
  <c r="BF79" i="4" s="1"/>
  <c r="BG79" i="4" s="1"/>
  <c r="BF28" i="4"/>
  <c r="BG28" i="4" s="1"/>
  <c r="AC40" i="4"/>
  <c r="AB41" i="4" s="1"/>
  <c r="BF26" i="4"/>
  <c r="BG26" i="4" s="1"/>
  <c r="BF27" i="4"/>
  <c r="BG27" i="4" s="1"/>
  <c r="BB37" i="4"/>
  <c r="AI93" i="4" l="1"/>
  <c r="AW53" i="4"/>
  <c r="AW93" i="4" s="1"/>
  <c r="AV93" i="4"/>
  <c r="AC41" i="4"/>
  <c r="AC93" i="4" s="1"/>
  <c r="AB93" i="4"/>
  <c r="E8" i="10"/>
  <c r="E9" i="10" s="1"/>
  <c r="AO93" i="4"/>
  <c r="AJ93" i="4"/>
  <c r="J16" i="10"/>
  <c r="H12" i="10"/>
  <c r="AH95" i="4"/>
  <c r="AA95" i="4"/>
  <c r="C40" i="10"/>
  <c r="BF32" i="4"/>
  <c r="BG32" i="4" s="1"/>
  <c r="BF36" i="4" s="1"/>
  <c r="AI95" i="4"/>
  <c r="BE91" i="4"/>
  <c r="BF91" i="4" s="1"/>
  <c r="BF90" i="4"/>
  <c r="BG90" i="4" s="1"/>
  <c r="AB37" i="4"/>
  <c r="AI37" i="4"/>
  <c r="AJ37" i="4" s="1"/>
  <c r="AP41" i="4"/>
  <c r="H8" i="10"/>
  <c r="H4" i="10"/>
  <c r="BF20" i="4"/>
  <c r="J4" i="10" s="1"/>
  <c r="E6" i="10"/>
  <c r="E7" i="10" s="1"/>
  <c r="E21" i="10" s="1"/>
  <c r="AP37" i="4"/>
  <c r="AO37" i="4"/>
  <c r="BF29" i="4"/>
  <c r="BF40" i="4"/>
  <c r="BC37" i="4"/>
  <c r="BD37" i="4" s="1"/>
  <c r="AQ41" i="4" l="1"/>
  <c r="AQ93" i="4" s="1"/>
  <c r="AP93" i="4"/>
  <c r="AO95" i="4"/>
  <c r="AQ37" i="4"/>
  <c r="AB95" i="4"/>
  <c r="AC95" i="4" s="1"/>
  <c r="AC37" i="4"/>
  <c r="AJ95" i="4"/>
  <c r="C39" i="10"/>
  <c r="BE37" i="4"/>
  <c r="AP95" i="4"/>
  <c r="H6" i="10"/>
  <c r="H7" i="10" s="1"/>
  <c r="C37" i="10" s="1"/>
  <c r="BG40" i="4"/>
  <c r="BF41" i="4" s="1"/>
  <c r="BG41" i="4" s="1"/>
  <c r="J8" i="10"/>
  <c r="J9" i="10" s="1"/>
  <c r="H9" i="10"/>
  <c r="BG20" i="4"/>
  <c r="BG29" i="4"/>
  <c r="J5" i="10"/>
  <c r="C38" i="10" l="1"/>
  <c r="C43" i="10" s="1"/>
  <c r="AQ95" i="4"/>
  <c r="BE95" i="4"/>
  <c r="J6" i="10"/>
  <c r="H21" i="10"/>
  <c r="BG36" i="4"/>
  <c r="BF37" i="4" s="1"/>
  <c r="BG49" i="4"/>
  <c r="I17" i="10" l="1"/>
  <c r="I13" i="10"/>
  <c r="I15" i="10"/>
  <c r="I11" i="10"/>
  <c r="I18" i="10"/>
  <c r="I14" i="10"/>
  <c r="I10" i="10"/>
  <c r="I16" i="10"/>
  <c r="I8" i="10"/>
  <c r="I12" i="10"/>
  <c r="I9" i="10"/>
  <c r="I7" i="10"/>
  <c r="J7" i="10"/>
  <c r="I5" i="10"/>
  <c r="H22" i="10"/>
  <c r="I4" i="10"/>
  <c r="I6" i="10"/>
  <c r="BG51" i="4"/>
  <c r="BF52" i="4" s="1"/>
  <c r="I21" i="10" l="1"/>
  <c r="BG37" i="4"/>
  <c r="BG52" i="4"/>
  <c r="BF53" i="4" s="1"/>
  <c r="J12" i="10" s="1"/>
  <c r="J21" i="10" s="1"/>
  <c r="BG53" i="4" l="1"/>
  <c r="BF93" i="4" s="1"/>
  <c r="BG93" i="4" s="1"/>
  <c r="BF95" i="4" l="1"/>
  <c r="BG95" i="4" s="1"/>
  <c r="AW69" i="4"/>
</calcChain>
</file>

<file path=xl/sharedStrings.xml><?xml version="1.0" encoding="utf-8"?>
<sst xmlns="http://schemas.openxmlformats.org/spreadsheetml/2006/main" count="3695" uniqueCount="1027">
  <si>
    <t>INICIO</t>
  </si>
  <si>
    <t>Empresa de Acueducto y Alcantarillado de Bogotá</t>
  </si>
  <si>
    <t>INSTRUCCIONES PARA EL DILIGENCIAMIENTO DE LA HERRAMIENTA</t>
  </si>
  <si>
    <t>HERRAMIENTA DE GESTIÓN DE LA INFORMACIÓN SOBRE LOS GASES DE EFECTO INVERNADERO (GEI)</t>
  </si>
  <si>
    <t xml:space="preserve">Previo al diligenciamiento de la herramienta es importante que la empresa identifique la forma como se realizan algunos procesos al interior de la organización, procesos relacionados con el flujo de la información desde su origen hasta su consignación en el reporte de huella de carbono. En el siguiente esquema, se establecen los procesos mínimos que debe realizar el encargado de la elaboración del reporte de huella de carbono, con el fin de identificar el entorno en el que se genera la información, lo que le permitirá velar por el cumplimiento del literal 3 de la NTC-14064-1, el cual es compatible con los principios de contabilidad y reporte de GEI establecidos en el Protocolo GHG.  </t>
  </si>
  <si>
    <t xml:space="preserve">Con el fin de contribuir a la construcción de un sistema básico para la gestión de la información asociada a los gases de efecto invernadero, se desarrolló un formato que pretende dar a las empresas un lineamiento de los requisitos mínimos con los que este debe contar, teniendo como base el literal 6.1.1 de la NTC-14064-1 y algunos aspectos relacionados con el Protocolo GHG. De acuerdo a lo anterior, se elaboró un instructivo para la implementación de la herramienta de gestión de la información sobre los GEI, la cual consta de los siguientes aspectos:   </t>
  </si>
  <si>
    <t>IDENTIFICACIÓN DE FUENTES DE EMISIÓN</t>
  </si>
  <si>
    <t>Categoría</t>
  </si>
  <si>
    <t>Esta casilla facilitara al diligenciador la escogencia de la cargas ambientales, ya que las agrupa de acuerdo a características comunes.</t>
  </si>
  <si>
    <t>Para efectos del diligenciamiento del formato, se debe seleccionar de la lista desplegable la categoría acorde a la carga ambiental identificada, para que de esta forma se habilite la selección automáticamente en la siguiente casilla. Para llenar esta casilla el diligenciador podrá encontrar opciones como:
- Combustible Solido                     -  Combustible Liquido
- Combustible Gaseoso                 -  Gas refrigerante
- Tratamiento de residuos           -  Procesos Agrícolas
- Energía Eléctrica Adquirida       -  Otras</t>
  </si>
  <si>
    <t>Carga Ambiental</t>
  </si>
  <si>
    <t xml:space="preserve">Posterior al proceso de identificación de aspectos ambientales asociados con la generación directa o indirecta de GEI al interior de la organización, es importante proceder a delimitar aquellas cargas ambientales a trabajar las cuales están relacionadas con consumos, recargas de extintores, tratamiento de residuos, procesos pecuarios, consumo de energía eléctrica adquirida, papel, etc. </t>
  </si>
  <si>
    <t>Para efectos del diligenciamiento del formato, se debe seleccionar la carga ambiental en la lista desplegable, la cual consta de opciones como:
-  Consumo de carbón, bagazo y madera para combustibles sólidos. 
-  Consumo de ACPM y gasolina para combustibles líquidos.
-  Consumo de gas natural y propano para combustibles gaseosos.</t>
  </si>
  <si>
    <t>Alcance</t>
  </si>
  <si>
    <r>
      <t xml:space="preserve">De acuerdo al protocolo GHG, la delimitación del alcance permite a las organizaciones facilitar el proceso de identificación de fuentes de emisión directas e indirectas y mejorar la transparencia. Para efectos de la presentación de los inventarios de GEI, el alcance se divide en:
- </t>
    </r>
    <r>
      <rPr>
        <b/>
        <sz val="11"/>
        <color theme="1"/>
        <rFont val="Calibri"/>
        <family val="2"/>
        <scheme val="minor"/>
      </rPr>
      <t>ALCANCE 1</t>
    </r>
    <r>
      <rPr>
        <sz val="11"/>
        <color theme="1"/>
        <rFont val="Calibri"/>
        <family val="2"/>
        <scheme val="minor"/>
      </rPr>
      <t xml:space="preserve">: Se refiere a las emisiones de GEI directas generadas por fuentes fijas ; procesos físicos o químicos; combustión en fuentes móviles; emisiones fugitivas, producción de metano por manejo de residuos orgánicos, y extracción, procesamiento y distribución de combustibles.
- </t>
    </r>
    <r>
      <rPr>
        <b/>
        <sz val="11"/>
        <color theme="1"/>
        <rFont val="Calibri"/>
        <family val="2"/>
        <scheme val="minor"/>
      </rPr>
      <t>ALCANCE 2</t>
    </r>
    <r>
      <rPr>
        <sz val="11"/>
        <color theme="1"/>
        <rFont val="Calibri"/>
        <family val="2"/>
        <scheme val="minor"/>
      </rPr>
      <t xml:space="preserve">: Se refiere a las emisiones indirectas debido a la generación de electricidad consumida y comprada por la empresa.
- </t>
    </r>
    <r>
      <rPr>
        <b/>
        <sz val="11"/>
        <color theme="1"/>
        <rFont val="Calibri"/>
        <family val="2"/>
        <scheme val="minor"/>
      </rPr>
      <t>ALCANCE 3</t>
    </r>
    <r>
      <rPr>
        <sz val="11"/>
        <color theme="1"/>
        <rFont val="Calibri"/>
        <family val="2"/>
        <scheme val="minor"/>
      </rPr>
      <t xml:space="preserve">: son otras emisiones indirectas no contempladas en el Alcance 2  como la extracción y producción de materiales y combustibles adquiridos; actividades de transporte, activos o servicios prestados por terceros, el uso de los productos y servicios de la empresa; y disposición de residuos. 
Es importante tener en cuenta que para efectos del informe de huella de carbono y el manejo de los inventarios GEI, el alcance 1 y 2 es de reporte obligatorio por parte de las organizaciones, mientras que el alcance 3 es opcional. </t>
    </r>
  </si>
  <si>
    <r>
      <t xml:space="preserve">En la casilla "Alcance" el diligenciador podrá seleccionar entre las siguientes opciones la que sea mas acorde al ejercicio realizado al interior de la empresa: 
- 1
- 2
- 3
</t>
    </r>
    <r>
      <rPr>
        <b/>
        <sz val="11"/>
        <color theme="1"/>
        <rFont val="Calibri"/>
        <family val="2"/>
        <scheme val="minor"/>
      </rPr>
      <t>Fuente:</t>
    </r>
    <r>
      <rPr>
        <sz val="11"/>
        <color theme="1"/>
        <rFont val="Calibri"/>
        <family val="2"/>
        <scheme val="minor"/>
      </rPr>
      <t xml:space="preserve"> Protocolo de Gases Efecto Invernadero, Estándar de Contabilidad y Reporte
</t>
    </r>
  </si>
  <si>
    <t xml:space="preserve">Fuentes </t>
  </si>
  <si>
    <r>
      <t xml:space="preserve">Hace referencia a las fuentes asociadas a las cargas ambientales identificadas y enmarcadas dentro de los alcances definidos por la empresa, en el caso de los consumos estará relacionado con la maquinaria, equipos o vehículos que hacen uso de los combustibles.
</t>
    </r>
    <r>
      <rPr>
        <b/>
        <sz val="11"/>
        <color theme="1"/>
        <rFont val="Calibri"/>
        <family val="2"/>
        <scheme val="minor"/>
      </rPr>
      <t xml:space="preserve">Nota: </t>
    </r>
    <r>
      <rPr>
        <sz val="11"/>
        <color theme="1"/>
        <rFont val="Calibri"/>
        <family val="2"/>
        <scheme val="minor"/>
      </rPr>
      <t xml:space="preserve">Es importante que la organización contemple la posibilidad de enumerar las fuentes identificadas, de tal forma que se puedan sustentar mejor los datos asociados y las actualizaciones realizadas.  </t>
    </r>
  </si>
  <si>
    <t>A continuación se presentan algunas opciones que pueden contribuir y facilitar el diligenciamiento del campo de fuentes asociadas:
- Fuentes fijas: Calderas, hornos, turbinas
- Fuentes móviles: vehículos terrestres (Motos, automóviles, camionetas, montacargas, buses, furgones etc.), aéreo (Helicópteros, aviones), marítimo (lanchas, barcos).
- Procesos físicos o químicos: procesamiento de materiales y químicos.
- Procesos agrícolas: cabezas de ganado vacuno, porcino, agroquímicos (tipo). 
- Gases refrigerantes: equipos asociados cuartos fríos, neveras, aires acondicionados, etc. 
- Tratamiento de residuos: plantas de tratamiento</t>
  </si>
  <si>
    <t>Cobertura</t>
  </si>
  <si>
    <t>Establecer el porcentaje de inclusión de la información asociada a las fuentes. Con el fin de dar cumplimiento al principio de cobertura total (Numeral 3.3 de la NTC-ISO 14064-1), es importante tener en cuenta que la información asociada al sistema de gestión debe relacionar el 100% de las fuentes identificadas en el alcance delimitado por la organización.</t>
  </si>
  <si>
    <t>Esta casilla se debe diligenciar con un porcentaje entre el 0 y 100% que hace referencia al porcentaje de cobertura de la información asociada al total de las fuentes identificadas. De esta forma se tiene que:
- Si se identificaron 10 vehículos relacionados con el consumo de ACPM, sin embargo por problemas del área solo se pudo incluir la información asociada a 5 vehículos entonces la casilla de cobertura se deberá diligenciar con el 50% que es la relación porcentual equivalente por la no inclusión total.</t>
  </si>
  <si>
    <t>PROCESO DE REGISTRO DE LA INFORMACIÓN</t>
  </si>
  <si>
    <t>Origen de la información</t>
  </si>
  <si>
    <t xml:space="preserve">Hace referencia al área, departamento o procesos donde se origina la información inicial utilizada para el calculo de la huella de carbono. Es importante que el encargado de la elaboración del reporte de GEI identifique como es el flujo de información al interior de la organización para efectos de garantizar la trazabilidad de la misma.  </t>
  </si>
  <si>
    <t xml:space="preserve">Diligenciar la casilla con el área y los procesos de donde se origina la información para el reporte de huella de carbono. </t>
  </si>
  <si>
    <t xml:space="preserve">Forma de registro de la información </t>
  </si>
  <si>
    <t>Hace referencia a la manera como se registra la información desde su origen, si está se realiza de forma manual o sistematizada; si esta asociada a un equipo o a un sistema de información empresarial. 
Nota: Es importante relacionar el orden lógico establecido por las áreas para la realización de los reportes y consolidados, ya que este aspecto permitirá tener insumos para establecer el nivel de incertidumbre asociado a los datos.</t>
  </si>
  <si>
    <t>Diligenciar esta casilla relacionando si el registro de la información se realiza de forma:
- Manual
- Sistematizada
o si esta asociado a:
- Un equipo de medición
- Sistema de información empresarial</t>
  </si>
  <si>
    <t>Responsable del registro de la información</t>
  </si>
  <si>
    <t xml:space="preserve">Con el fin de tener una mejor trazabilidad de la información, es importante que se identifique el nombre y el cargo de la persona encargada del registro de datos. </t>
  </si>
  <si>
    <t>Nombre y cargo.</t>
  </si>
  <si>
    <t>Soportes asociados a la información</t>
  </si>
  <si>
    <t xml:space="preserve">Se puede considerar como soporte cualquier clase de documento, manual o digital que tenga referenciada, cuantificada o asociada la información origen, que se utiliza para generar los reportes de huella de carbono. </t>
  </si>
  <si>
    <t xml:space="preserve">Se podrá diligenciar este campo con información como: Facturas, recibos, tirillas, informes, correos, formatos específicos asociados a otros sistemas de gestión. </t>
  </si>
  <si>
    <t>Periodicidad de registro</t>
  </si>
  <si>
    <t>Hace referencia a la frecuencia con la que se realiza el registro de la información.</t>
  </si>
  <si>
    <t>Se podrá diligenciar este campo con frecuencias temporales como: diario, semanal mensual, bimensual trimestral, semestral o anual.</t>
  </si>
  <si>
    <t>Unidad registrada</t>
  </si>
  <si>
    <t>Hace referencia a la unidad original asociada a la carga ambiental.</t>
  </si>
  <si>
    <t>De acuerdo a la carga ambiental estará asociada a unidades de volumen, peso o unidades cuantificables como numero de individuos.</t>
  </si>
  <si>
    <t>PROCESO DE CONSOLIDACIÓN Y REPORTE DE LA INFORMACIÓN PARA HUELLA DE CARBONO</t>
  </si>
  <si>
    <t xml:space="preserve">Periodicidad de reporte </t>
  </si>
  <si>
    <t xml:space="preserve">Hace referencia a la frecuencia con la que se realiza el registro de huella de carbono, por lo general las empresas realizan su reporte anualmente aunque realizan un proceso de consolidación de la información de huella mensualmente, en este caso la empresa debe se clara con estos aspectos. </t>
  </si>
  <si>
    <t>Encargado de la consolidación</t>
  </si>
  <si>
    <t xml:space="preserve">Se refiere a la persona encargada de consolidar la información en las condiciones en las que lo requiere el inventario y el reporte de huella de carbono, por lo general esta asociado a tratamientos especiales que se le realice a la información, estimaciones entre otros aspectos que difieren de la información original. </t>
  </si>
  <si>
    <t>Unidad reportada</t>
  </si>
  <si>
    <t xml:space="preserve">Hace referencia a la unidad final en la que se consigna la información en el reporte de huella de carbono. </t>
  </si>
  <si>
    <t>PROCESO DE REVISION Y SEGUIMIENTO</t>
  </si>
  <si>
    <t>Verificación de los datos reportados</t>
  </si>
  <si>
    <r>
      <t xml:space="preserve">Corresponde a la frecuencia con la que se realizan verificaciones de la información original, identificando posibles errores y causas de esos errores para la formulación de acciones preventivas y correctivas </t>
    </r>
    <r>
      <rPr>
        <b/>
        <sz val="11"/>
        <color theme="1"/>
        <rFont val="Calibri"/>
        <family val="2"/>
        <scheme val="minor"/>
      </rPr>
      <t>a fin de garantizar el principio de Exactitud contemplado en el numeral 3.5 así como el literal c) del numeral 6.1.1 de la NTC-ISO 14064-1.</t>
    </r>
  </si>
  <si>
    <t>Encargado de la revisión de la información y de las acciones correctivas</t>
  </si>
  <si>
    <t xml:space="preserve">Se refiere a la persona encargada de la revisión, formulación y ejecución de acciones correctivas tendientes a garantizar la calidad del inventario de GEI. </t>
  </si>
  <si>
    <t>Acciones Correctivas</t>
  </si>
  <si>
    <r>
      <t xml:space="preserve">Corresponde a las ultimas acciones correctivas que se hayan ejecutado para garantizar la calidad del inventario de GEI y/o reporte de huella de carbono. </t>
    </r>
    <r>
      <rPr>
        <b/>
        <sz val="11"/>
        <color theme="1"/>
        <rFont val="Calibri"/>
        <family val="2"/>
        <scheme val="minor"/>
      </rPr>
      <t>La ejecución de las acciones correctivas permitirán dar cumplimiento al literal d) del numeral 6.1.1 de la NTC-ISO 14064.</t>
    </r>
  </si>
  <si>
    <t>Campo abierto</t>
  </si>
  <si>
    <t>VERSIÓN</t>
  </si>
  <si>
    <t>Fecha de actualización</t>
  </si>
  <si>
    <t xml:space="preserve">Corresponde a la ultima fecha en la que se haya realizado algún tipo de modificación a la información consignada en el formato, independiente que este ligado o no a una categoría o carga ambiental, este es un registro sucesivo de actualizaciones realizadas. </t>
  </si>
  <si>
    <t>Diligenciar en el siguiente formato de fecha: DD/MM/AA</t>
  </si>
  <si>
    <t>Observaciones</t>
  </si>
  <si>
    <t xml:space="preserve">En este campo se podrán justificar el motivo por el cual fue necesaria la actualización de la versión anterior, por lo general esta asociada a la inclusión de nuevas fuentes, cambios en el personal o modificaciones en los flujos de información. </t>
  </si>
  <si>
    <t>DIRECCIONES</t>
  </si>
  <si>
    <t>PERIODICIDAD REGISTRO</t>
  </si>
  <si>
    <t>PERIODICIDAD REPORTE</t>
  </si>
  <si>
    <t>DIRECCIÓN ABASTECIMIENTO</t>
  </si>
  <si>
    <t>Mensual</t>
  </si>
  <si>
    <t>DIRECCIÓN ADMINISTRACIÓN ACTIVOS FIJOS</t>
  </si>
  <si>
    <t>Bimestral</t>
  </si>
  <si>
    <t>Bimensual</t>
  </si>
  <si>
    <t>DIRECCIÓN ANÁLISIS DE RIESGOS FINANCIEROS</t>
  </si>
  <si>
    <t>Trimestral</t>
  </si>
  <si>
    <t>DIRECCIÓN APOYO COMERCIAL</t>
  </si>
  <si>
    <t>Semestral</t>
  </si>
  <si>
    <t>DIRECCIÓN APOYO TÉCNICO</t>
  </si>
  <si>
    <t>Anual</t>
  </si>
  <si>
    <t>DIRECCIÓN BIENS RAÍCES</t>
  </si>
  <si>
    <t>DIRECCIÓN CONTABILIDAD</t>
  </si>
  <si>
    <t>DIRECCIÓN DESARROLLO ORGANIZACIONAL</t>
  </si>
  <si>
    <t>DIRECCIÓN GESTIÓN AMBIENTAL DEL SISTEMA HÍDRICO</t>
  </si>
  <si>
    <t>DIRECCIÓN GESTIÓN COMUNITARIA</t>
  </si>
  <si>
    <t>DIRECCIÓN GESTIÓN DE CALIDAD Y PROCESOS</t>
  </si>
  <si>
    <t>DIRECCIÓN GESTIÓN DE COMPENSACIONES</t>
  </si>
  <si>
    <t>DIRECCIÓN INFORMACIÓN TÉCNICA Y GEOGRÁFICA</t>
  </si>
  <si>
    <t>DIRECCIÓN INGENIERÍA ESPECIALIZADA</t>
  </si>
  <si>
    <t>DIRECCIÓN JURISDICCIÓN COACTIVA</t>
  </si>
  <si>
    <t>DIRECCIÓN MEJORAMIENTO CALIDAD DE VIDA</t>
  </si>
  <si>
    <t>DIRECCIÓN PLANE. Y CONTROL DE RESULTADOS CORP.</t>
  </si>
  <si>
    <t>DIRECCIÓN PLANE. Y CONTROL RENT. GASTOS Y COSTOS</t>
  </si>
  <si>
    <t>DIRECCIÓN PLANEACIÓN Y CONTROL DE INVERSIONES</t>
  </si>
  <si>
    <t>DIRECCIÓN PRESUPUESTO</t>
  </si>
  <si>
    <t>DIRECCIÓN RED MATRIZ ACUEDUCTO</t>
  </si>
  <si>
    <t>DIRECCIÓN RED TRONCAL ALCANTARILLADO</t>
  </si>
  <si>
    <t>DIRECCIÓN SALUD</t>
  </si>
  <si>
    <t>DIRECCIÓN SANEAMIENTO AMBIENTAL</t>
  </si>
  <si>
    <t>DIRECCIÓN SERVICIOS ADMINISTRATIVOS</t>
  </si>
  <si>
    <t>DIRECCIÓN SERVICIOS DE ELECTROMECÁNICA</t>
  </si>
  <si>
    <t>DIRECCIÓN SERVICIOS DE INFORMÁTICA</t>
  </si>
  <si>
    <t>DIRECCIÓN SERVICIOS TÉCNICOS</t>
  </si>
  <si>
    <t>DIRECCIÓN SISTEMA DE INFORM. EMPRESARIAL</t>
  </si>
  <si>
    <t>DIRECCIÓN TESORERÍA</t>
  </si>
  <si>
    <t>DIRECCIÓN TRIBUTARIA</t>
  </si>
  <si>
    <t>Espacio para el logo de la empresa</t>
  </si>
  <si>
    <t>HERRAMIENTA PARA LA ESTIMACION DE LA INCERTIDUMBRE</t>
  </si>
  <si>
    <t>Una vez se ha consolidado la información que va a ser usada para el calculo del inventario de gases de efecto invernadero en la organización, dichos datos deben ser incluidos en la herramienta de calculo de la Huella de Carbono Corporativa, la cual le permitirá además conocer el nivel de incertidumbre asociado al inventario realizado.</t>
  </si>
  <si>
    <t xml:space="preserve">Con el fin de estimar la incertidumbre asociada al inventario de gases de efecto invernadero, se desarrolló una herramienta de calculo que integra la cuantificacion del inventario y la estimacion de la incertidumbre, y que cumple con los requisitos de la NTC-14064-1 y el Protocolo GHG. De acuerdo a lo anterior, se elaboró un instructivo para el diligenciamiento de la herramienta de gestión de la información sobre los GEI, la cual consta de los siguientes aspectos:   </t>
  </si>
  <si>
    <t>DATOS GENERALES</t>
  </si>
  <si>
    <t>Datos Generales</t>
  </si>
  <si>
    <t>Diligencie los datos generales de la organización a la que se le realiza el calculo de la Huella de carbono</t>
  </si>
  <si>
    <t xml:space="preserve">Se deben diligenciar los datos asociados a la empresa:
- Nombre de la empresa. Nombre de la empresa donde se realiza el inventario.
- Dirección. Dirección de contacto de la persona que diligencio la herramienta.
- Persona que elabora el reporte. Nombre de la persona que diligencia la herramienta.
- Cargo. Cargo de la persona que diligencio la herramienta
- e-mail. e-mail de contacto de la persona que diligencio la herramienta.
- Teléfono. Teléfono de contacto de la persona que diligencio la herramienta.
- Municipio. Donde esta ubicada la empresa. 
- Año Base. Año al cual se asocian todos los datos consignados en el inventario. Debe ser el mismo año para todos los datos consignados en la herramienta.
- Fecha de diligenciamiento. Fecha en la que se realizo el diligenciamiento de la herramienta.
</t>
  </si>
  <si>
    <t xml:space="preserve">FUENTE DE EMISIÓN </t>
  </si>
  <si>
    <t xml:space="preserve">Fuente de Emisión </t>
  </si>
  <si>
    <t>Identifique la fuente de emisión asociada a los consumos organizacionales en su empresa</t>
  </si>
  <si>
    <t>Se debe identificar cuales de las fuentes de emisión propuestas en la herramienta corresponden a las actividades de la organización. Si la fuente de emisión no esta asociada a las actividades de la organización no continúe diligenciando la fila</t>
  </si>
  <si>
    <t>Carga ambiental</t>
  </si>
  <si>
    <t>Identifique la carga ambiental asociada a la fuente de emisión que corresponda</t>
  </si>
  <si>
    <t>Se debe seleccionar de la lista desplegable la categoría acorde a la carga ambiental identificada en la empresa, que pueda generar emisiones de GEI</t>
  </si>
  <si>
    <t>CONSUMO</t>
  </si>
  <si>
    <t>Unidad</t>
  </si>
  <si>
    <t>La herramienta indica la unidad en la que deben ser consignados los datos, según la variable que ha sido elegida en las celdas de fuente de emisión.</t>
  </si>
  <si>
    <t>Esta celda no debe ser modificada.
La unidad dada por la herramienta para cada carga ambiental guarda relación directa con los factores de emisión. 
Si no se cuenta con estas unidades en la información de la empresa, se deben hacer conversiones para ajustar las unidades antes de consignar los datos en la herramienta.</t>
  </si>
  <si>
    <t>Dato 1 al 12</t>
  </si>
  <si>
    <t>Debe consignar los valores cuantitativos asociados a la carga ambiental que ha sido elegida</t>
  </si>
  <si>
    <t xml:space="preserve">Deben ser incluidos todos los valores cuantitativos asociados al numero de datos con los que cuente la organización en el año base (entre 1 y 12) para estimar las emisiones de cada carga ambiental. 
Los valores deben ser incluidos en las unidades descritas en la celda "Unidad". Si es necesario, se deben hacer conversiones para ajustar las unidades a las que son indicadas en la celda "Unidad". 
De esta forma, si la organización cuenta con un solo dato para el año, deberá diligenciar solamente las celda "DATO 1", pero si cuenta con 12 datos de la variable en el año, diligenciará todas las celdas entre "DATO 1" y "DATO 12". 
Si la organización cuenta con un numero de datos superior a 12, tiene varias opciones para ingresar los datos:
- Hacer una agregación de datos de tipo mensual (sumar todos los datos fechados en el mismo mes) y consignar los valores sumados en cada celda entre "DATO 1" y "DATO 12". 
- Insertar las celdas necesarias para consignar todos los datos con los que se cuente, teniendo precaución de no modificar la formulación de la herramienta (consulte al equipo de la CAEM antes de realizar esta acción).
No se deben registrar ceros en las celdas que no sean usadas, o la herramienta asumirá el cero como un dato mas. </t>
  </si>
  <si>
    <t>Total</t>
  </si>
  <si>
    <t>La herramienta hace la suma de todos los datos consignados en las celdas anteriores, para conocer el total anual de la variable asociada a la carga ambiental.</t>
  </si>
  <si>
    <t>Esta celda no debe ser modificada.</t>
  </si>
  <si>
    <t>No. Datos</t>
  </si>
  <si>
    <t>La herramienta  muestra el numero de datos que han sido usados para el calculo de las emisiones de GEI y de la incertidumbre asociada</t>
  </si>
  <si>
    <t>Promedio</t>
  </si>
  <si>
    <t>La herramienta determina el promedio de los datos incluidos, para usarlo en el calculo de la incertidumbre asociada</t>
  </si>
  <si>
    <t>Desviación Estándar</t>
  </si>
  <si>
    <t>La herramienta determina la desviación estándar de los datos incluidos, para usarlo en el calculo de la incertidumbre asociada</t>
  </si>
  <si>
    <t>Factor T</t>
  </si>
  <si>
    <t>La herramienta determina el factor T de los datos incluidos, para usarlo en el calculo de la incertidumbre asociada</t>
  </si>
  <si>
    <t>Esta celda no debe ser modificada.
El factor T es una variable estadística que depende del numero de muestras usadas para un calculo.
Los datos del "factor T"  presentados en la herramienta son los que  han sido propuestos por el anexo 1 de la "Guía corta para el calculo de la medición y estimación de la incertidumbre para emisiones de GHG", disponible en : http://www.ghgprotocol.org/files/ghgp/tools/ghg-uncertainty.pdf</t>
  </si>
  <si>
    <t>Incertidumbre</t>
  </si>
  <si>
    <t>La herramienta determina el porcentaje de incertidumbre asociada a los datos usados.</t>
  </si>
  <si>
    <t>Esta celda no debe ser modificada.
La incertidumbre es estimada o calculada según la cantidad de datos con los que se cuente para hacer la medición: 
- Si solamente se cuenta con un dato para el calculo de las emisiones de GEI, la incertidumbre de la variable será estimada y corresponderá al dato propuesto por el panel de expertos del IPCC, descrito en el documento: "Orientación del IPCC sobre las buenas prácticas y la gestión de la incertidumbre en los inventarios nacionales de gases de efecto invernadero", disponible en: http://www.ipcc-nggip.iges.or.jp/public/gp/spanish/gpgaum_es.html
- Si se cuenta con dos o mas datos para el calculo de las emisiones de GEI, el resultado de la incertidumbre de la variable será calculado según la metodología propuesta por el IPCC y adoptada por el GHG  Protocol, descrita en el documento:  "Guía corta para el calculo de la medición y estimación de la incertidumbre para emisiones de GHG", disponible en : http://www.ghgprotocol.org/files/ghgp/tools/ghg-uncertainty.pdf</t>
  </si>
  <si>
    <t>FACTOR DE EMISIÓN</t>
  </si>
  <si>
    <t>Cantidad</t>
  </si>
  <si>
    <t>Indica el valor del factor de emisión asociado a la carga ambiental seleccionada</t>
  </si>
  <si>
    <t>Esta celda no debe ser modificada.
Los datos de los factores de emisión han sido obtenidos de fuentes confiables; y toda la información con respecto a su origen puede ser consultada en el documento "Factores de emisión considerados en la herramienta de calculo de la huella de carbono corporativa" de la CAEM. Este documento esta disponible en la Web de la CAEM o puede ser solicitado al equipo de trabajo de la CAEM.</t>
  </si>
  <si>
    <t>Indica la unidad del factor de emisión asociado a la carga ambiental seleccionada</t>
  </si>
  <si>
    <t>La herramienta determina el porcentaje de incertidumbre asociada al factor de emisión usado.</t>
  </si>
  <si>
    <t>Esta celda no debe ser modificada.
La incertidumbre asociada a los factores de emisión empleados para el calculo de las emisiones de GEI es estimada y corresponde a los datos propuestos por el IPCC en el documento: "Orientación del IPCC sobre las buenas prácticas y la gestión de la incertidumbre en los inventarios nacionales de gases de efecto invernadero", disponible en: http://www.ipcc-nggip.iges.or.jp/public/gp/spanish/gpgaum_es.html</t>
  </si>
  <si>
    <t xml:space="preserve">HUELLA DE CARBONO CORPORATIVA </t>
  </si>
  <si>
    <t xml:space="preserve">Huella de Carbono  </t>
  </si>
  <si>
    <t>La herramienta indica el valor de las emisiones asociadas a cada una de las cargas ambientales, los valores totales agregados para cada tipo de fuente y alcance, y el valor total de las emisiones de gases de efecto invernadero de la organización.</t>
  </si>
  <si>
    <t>INCERTIDUMBRE DE LA FUENTE</t>
  </si>
  <si>
    <t xml:space="preserve">Incertidumbre de la fuente </t>
  </si>
  <si>
    <t>La herramienta indica el valor de la incertidumbre asociada a cada una de las cargas ambientales, los valores totales de incertidumbre agregados para cada tipo de fuente y alcance, y el valor total de la incertidumbre del inventario de emisiones de gases de efecto invernadero de la organización.</t>
  </si>
  <si>
    <t>Esta celda no debe ser modificada.
La agregación de las incertidumbres ha sido calculada basándose en la metodología propuesta por   el IPCC y adoptada por el GHG  Protocol, descrita en el documento:  "Guía corta para el calculo de la medición y estimación de la incertidumbre para emisiones de GHG", disponible en : http://www.ghgprotocol.org/files/ghgp/tools/ghg-uncertainty.pdf</t>
  </si>
  <si>
    <t>HERRAMIENTA DE CALCULO PARA ELABORACION DEL INVENTARIO DE GEI 
(CON ESTIMACIÓN DE LA INCERTIDUMBRE)</t>
  </si>
  <si>
    <t>DATOS GENERALES  DE LA EMPRESA</t>
  </si>
  <si>
    <t>NOMBRE DE LA EMPRESA:</t>
  </si>
  <si>
    <t>EMPRESA DE ACUEDUCTO Y ALCANTARILLADO DE BOGOTÁ - EAB-ESP</t>
  </si>
  <si>
    <t>TELEFONO:</t>
  </si>
  <si>
    <t>60 (1) 3447061</t>
  </si>
  <si>
    <t>DIRECCIÓN:</t>
  </si>
  <si>
    <t>AC 24 37 15</t>
  </si>
  <si>
    <t>MUNICIPIO:</t>
  </si>
  <si>
    <t>BOGOTÁ D.C.</t>
  </si>
  <si>
    <t>PERSONA QUE ELABORÓ:</t>
  </si>
  <si>
    <t>MARTHA PATRICIA CRUZ MORENO</t>
  </si>
  <si>
    <t>CELULAR:</t>
  </si>
  <si>
    <t>CARGO:</t>
  </si>
  <si>
    <t>PROFESIONAL ESPECIALIZADO NIVEL 020</t>
  </si>
  <si>
    <t>AÑO BASE:</t>
  </si>
  <si>
    <t>CORREO ELECTRÓNICO:</t>
  </si>
  <si>
    <t>mpcruz@acueducto.com.co</t>
  </si>
  <si>
    <t>FECHA:</t>
  </si>
  <si>
    <t>01/01/2020 - 31/12/2020</t>
  </si>
  <si>
    <t>CATEGORIA 1. EMISIONES DIRECTAS DE GEI</t>
  </si>
  <si>
    <t>FUENTE DE EMISIÓN DE GEI</t>
  </si>
  <si>
    <t>DATOS DE ACTIVIDAD
(Seleccione de la lista)</t>
  </si>
  <si>
    <t>INCERTIDUMBRE DATOS</t>
  </si>
  <si>
    <t>EMISIONES CO2</t>
  </si>
  <si>
    <t>EMISIONES CH4</t>
  </si>
  <si>
    <t>EMISIONES N2O</t>
  </si>
  <si>
    <t>EMISIONES Compuestos Fluorados</t>
  </si>
  <si>
    <t>EMISIONES SF6</t>
  </si>
  <si>
    <t>HUELLA DE CARBONO
(tCO2e)</t>
  </si>
  <si>
    <t>UNIDAD</t>
  </si>
  <si>
    <t>DATO 1</t>
  </si>
  <si>
    <t>DATO 2</t>
  </si>
  <si>
    <t>DATO 3</t>
  </si>
  <si>
    <t>DATO 4</t>
  </si>
  <si>
    <t>DATO 5</t>
  </si>
  <si>
    <t>DATO 6</t>
  </si>
  <si>
    <t>DATO 7</t>
  </si>
  <si>
    <t>DATO 8</t>
  </si>
  <si>
    <t>DATO 9</t>
  </si>
  <si>
    <t>DATO 10</t>
  </si>
  <si>
    <t>DATO 11</t>
  </si>
  <si>
    <t>DATO 12</t>
  </si>
  <si>
    <t>TOTAL</t>
  </si>
  <si>
    <t>No. DATOS</t>
  </si>
  <si>
    <t>PROMEDIO</t>
  </si>
  <si>
    <t>DESVIACION ESTÁNDAR</t>
  </si>
  <si>
    <t>FACTOR T</t>
  </si>
  <si>
    <t>FACTOR DE EMISIÓN CO2</t>
  </si>
  <si>
    <t>INCERTIDUMBRE FACTOR EMISIÓN CO2</t>
  </si>
  <si>
    <t>EMISIONES CO2 (tCO2)</t>
  </si>
  <si>
    <t>EMISIONES CO2 (tCO2e)</t>
  </si>
  <si>
    <t>INCERTIDUMBRE EMISIONES CO2</t>
  </si>
  <si>
    <t xml:space="preserve">Columna Auxiliar </t>
  </si>
  <si>
    <t>FACTOR DE EMISIÓN CH4</t>
  </si>
  <si>
    <t>INCERTIDUMBRE FACTOR EMISIÓN CH4</t>
  </si>
  <si>
    <t>EMISIONES CH4 (tCH4)</t>
  </si>
  <si>
    <t>EMISIONES CH4 (tCO2e)</t>
  </si>
  <si>
    <t>INCERTIDUMBRE EMISIONES CH4</t>
  </si>
  <si>
    <t>FACTOR DE EMISIÓN N2O</t>
  </si>
  <si>
    <t>INCERTIDUMBRE FACTOR EMISIÓN N2O</t>
  </si>
  <si>
    <t>EMISIONES N2O (tN2O)</t>
  </si>
  <si>
    <t>EMISIONES N2O (tCO2e)</t>
  </si>
  <si>
    <t>INCERTIDUMBRE EMISIONES N2O</t>
  </si>
  <si>
    <t>FACTOR DE EMISIÓN 
Compuestos Fluorados</t>
  </si>
  <si>
    <t>INCERTIDUMBRE FACTOR EMISIÓN Compuestos Fluorados</t>
  </si>
  <si>
    <t>EMISIONES Compuestos Fluorados (tCO2e)</t>
  </si>
  <si>
    <t>INCERTIDUMBRE EMISIONES Compuestos Fluorados</t>
  </si>
  <si>
    <t>FACTOR DE EMISIÓN SF6</t>
  </si>
  <si>
    <t>INCERTIDUMBRE FACTOR EMISIÓN SF6</t>
  </si>
  <si>
    <t>EMISIONES SF6 (tSF6)</t>
  </si>
  <si>
    <t>EMISIONES SF6 (tCO2e)</t>
  </si>
  <si>
    <t>INCERTIDUMBRE EMISIONES SF6</t>
  </si>
  <si>
    <t xml:space="preserve">Variable Auxiliar = (Huella de carbono x Incertidumbre de la fuente)^2 </t>
  </si>
  <si>
    <t>SUBCATEGORIA 1.1. EMISIONES DIRECTAS A PARTIR DE COMBUSTIÓN MÓVIL.</t>
  </si>
  <si>
    <t>Flota de vehículos y equipos.</t>
  </si>
  <si>
    <t>Diésel o ACPM (sin mezcla biodiesel)</t>
  </si>
  <si>
    <t>Gasolina Motor (sin mezcla bioetanol)</t>
  </si>
  <si>
    <t>Biodiesel palma</t>
  </si>
  <si>
    <t>Bioetanol Anhidro</t>
  </si>
  <si>
    <t>SUBTOTAL</t>
  </si>
  <si>
    <t>SUBCATEGORIA 1.2. EMISIONES DIRECTAS A PARTIR DE COMBUSTIÓN ESTACIONARIA.</t>
  </si>
  <si>
    <t>Plantas de emergencia de generación eléctrica.</t>
  </si>
  <si>
    <t>Digestión de lodos en la PTAR El Salitre</t>
  </si>
  <si>
    <t>Biogás Genérico</t>
  </si>
  <si>
    <t>Casino en la Central de Operaciones Centro cariño (COCN) y calefacción en el Centro Operativo del Agua (COA).</t>
  </si>
  <si>
    <t>Gas Natural Genérico</t>
  </si>
  <si>
    <t>Procesos de soldadura en talleres y de absorción atómica en laboratorios.</t>
  </si>
  <si>
    <t>Acetileno</t>
  </si>
  <si>
    <t xml:space="preserve">SUBTOTAL </t>
  </si>
  <si>
    <t>SUBCATEGORIA 1.3. EMISIONES FUGITIVAS DIRECTAS CAUSADAS POR LA LIBERACIÓN DE GEI EN SISTEMAS ANTROPOGÉNICOS</t>
  </si>
  <si>
    <t>Equipos de refrigeración.</t>
  </si>
  <si>
    <t>HFC-404A / R-404A</t>
  </si>
  <si>
    <t>Extintores CO2.</t>
  </si>
  <si>
    <t>CO2</t>
  </si>
  <si>
    <t>Extintores Solkaflam.</t>
  </si>
  <si>
    <t>HCFC-123</t>
  </si>
  <si>
    <t>Subestaciones eléctricas.</t>
  </si>
  <si>
    <t>SF6</t>
  </si>
  <si>
    <t>Embalses de agua cruda y lagunas para el tratamiento de lodos de PTAPs.</t>
  </si>
  <si>
    <t>Áreas inundadas</t>
  </si>
  <si>
    <t>Ha</t>
  </si>
  <si>
    <t>SUBTOTAL CATEGORIA 1.</t>
  </si>
  <si>
    <t>CATEGORIA 2. EMISIONES INDIRECTAS DE GEI CAUSADAS POR ENERGIA IMPORTADA</t>
  </si>
  <si>
    <t>Sistemas de iluminación  y equipos eléctricos.</t>
  </si>
  <si>
    <t>Energía eléctrica adquirida (Factor emisión UPME-FECOC 2019)</t>
  </si>
  <si>
    <t>SUBTOTAL CATEGORIA 2.</t>
  </si>
  <si>
    <t>CATEGORIA 3. EMISIONES INDIRECTAS DE GEI CAUSADAS POR EL TRANSPORTE</t>
  </si>
  <si>
    <t>FUENTE DE EMISIÓN DE GEI
(Seleccione de la lista)</t>
  </si>
  <si>
    <t>FACTOR DE EMISIÓN Compuestos Fluorados</t>
  </si>
  <si>
    <t>SUBCATEGORIA 3.1. EMISIONES CAUSADAS POR EL TRANSPORTE DIARIO DE LOS EMPLEADOS.</t>
  </si>
  <si>
    <t>Transporte diario de los empleados.</t>
  </si>
  <si>
    <t>SUBCATEGORIA 3.2. EMISIONES CAUSADAS POR VIAJES DE NEGOCIOS.</t>
  </si>
  <si>
    <t>Viajes aéreos por comisiones de servicio.</t>
  </si>
  <si>
    <t>SUBTOTAL CATEGORIA 3.</t>
  </si>
  <si>
    <t xml:space="preserve">CATEGORIA 4. EMISIONES INDIRECTAS DE GEI CAUSADAS POR PRODUCTOS/SERVICIOS QUE UTILIZA LA ORGANIZACION </t>
  </si>
  <si>
    <t>SUBCATEGORIA 4.1. EMISIONES PROVENIENTES DE LOS PRODUCTOS COMPRADOS, LAS CUALES ESTÁN ASOCIADAS CON LA FABRICACIÓN DEL PRODUCTO.</t>
  </si>
  <si>
    <t>Plantas de tratamiento de agua potable (PTAPs).</t>
  </si>
  <si>
    <t>Cloro</t>
  </si>
  <si>
    <t>kg</t>
  </si>
  <si>
    <t>Cloruro férrico</t>
  </si>
  <si>
    <t>Sulfato de aluminio</t>
  </si>
  <si>
    <t>Cloruro de sodio</t>
  </si>
  <si>
    <t>Dioxido de cloro</t>
  </si>
  <si>
    <t>Hipoclorito de sodio</t>
  </si>
  <si>
    <t>Bicarbonato de sodio</t>
  </si>
  <si>
    <t>Cal viva</t>
  </si>
  <si>
    <t>Soda caústica</t>
  </si>
  <si>
    <t>Planta de tratamiento de agua residual (PTAR).</t>
  </si>
  <si>
    <t xml:space="preserve">SUBCATEGORIA 4.2. EMISIONES PROVENIENTES DE LA DISPOSICIÓN DE RESIDUOS SÓLIDOS </t>
  </si>
  <si>
    <t>Actividades administrativas y operativas que generan residuos ordinarios no aprovechables en las sedes.</t>
  </si>
  <si>
    <t xml:space="preserve">Residuos solidos a relleno sanitario anaeróbico </t>
  </si>
  <si>
    <t>Actividades administrativas y operativas que generan RESPEL en las sedes.</t>
  </si>
  <si>
    <t>Respel para incineración</t>
  </si>
  <si>
    <t>Respel para relleno de seguridad</t>
  </si>
  <si>
    <t>SUBCATEGORIA 4.3. EMISIONES INDIRECTAS CAUSADAS POR BIENES/SERVICIOS QUE UTILIZA LA ORGANIZACIÓN</t>
  </si>
  <si>
    <t>Impresión de facturas para suscriptores.</t>
  </si>
  <si>
    <t>Papel bond blanco</t>
  </si>
  <si>
    <t>Impresión de documentos por las áreas.</t>
  </si>
  <si>
    <t>Papel natural</t>
  </si>
  <si>
    <t>SUBTOTAL CATEGORIA 4.</t>
  </si>
  <si>
    <t>CATEGORIA 5. EMISIONES INDIRECTAS DE GEI ASOCIADAS CON EL USO DE PRODUCTOS DE LA ORGANIZACIÓN</t>
  </si>
  <si>
    <t>Tratamiento y eliminacion de las aguas residuales domésticas de Bogotá D.C.</t>
  </si>
  <si>
    <t>SUBTOTAL CATEGORIA 5.</t>
  </si>
  <si>
    <t>CATEGORIA 6. EMISIONES INDIRECTAS DE GEI PROVENIENTES DE OTRAS FUENTES</t>
  </si>
  <si>
    <t>SUBTOTAL CATEGORIA 6.</t>
  </si>
  <si>
    <t>TOTAL HUELLA DE CARBONO CORPORATIVA - EMISIONES INDIRECTAS</t>
  </si>
  <si>
    <t>TOTAL HUELLA DE CARBONO CORPORATIVA</t>
  </si>
  <si>
    <t>Factor Emisión CO2 (kg CO2/t)</t>
  </si>
  <si>
    <t>Incertidumbre (+/- %)</t>
  </si>
  <si>
    <t>Fuente Bibliográfica</t>
  </si>
  <si>
    <t>Fuentes Fijas</t>
  </si>
  <si>
    <t>Fuentes Móviles</t>
  </si>
  <si>
    <t>Incertidumbre Juicio expertos IPCC</t>
  </si>
  <si>
    <t>Combustible_Sólido</t>
  </si>
  <si>
    <t>Unidad Consumo</t>
  </si>
  <si>
    <t>Unidad FE</t>
  </si>
  <si>
    <t>Factor Emisión CH4 (g CH4/t)</t>
  </si>
  <si>
    <t>Factor Emisión CH4 (kg CH4/t)</t>
  </si>
  <si>
    <t>Factor Emisión N2O (g N2O/m3)</t>
  </si>
  <si>
    <t>Factor Emisión N2O (kg N2O/t)</t>
  </si>
  <si>
    <t>Factor Emisión CH4 (g CH4/m3)</t>
  </si>
  <si>
    <t xml:space="preserve">% Rango menor </t>
  </si>
  <si>
    <t>% Rango mayor</t>
  </si>
  <si>
    <t>Carbón Genérico</t>
  </si>
  <si>
    <t xml:space="preserve">t </t>
  </si>
  <si>
    <r>
      <t>kg CO</t>
    </r>
    <r>
      <rPr>
        <vertAlign val="subscript"/>
        <sz val="11"/>
        <rFont val="Century Gothic"/>
        <family val="2"/>
      </rPr>
      <t>2</t>
    </r>
    <r>
      <rPr>
        <sz val="11"/>
        <rFont val="Century Gothic"/>
        <family val="2"/>
      </rPr>
      <t>/t</t>
    </r>
  </si>
  <si>
    <t>FECOC, 2015</t>
  </si>
  <si>
    <r>
      <t>kg CH</t>
    </r>
    <r>
      <rPr>
        <vertAlign val="subscript"/>
        <sz val="11"/>
        <rFont val="Century Gothic"/>
        <family val="2"/>
      </rPr>
      <t>4</t>
    </r>
    <r>
      <rPr>
        <sz val="11"/>
        <rFont val="Century Gothic"/>
        <family val="2"/>
      </rPr>
      <t>/t</t>
    </r>
  </si>
  <si>
    <t>IPCC, 2006</t>
  </si>
  <si>
    <r>
      <t>kg N</t>
    </r>
    <r>
      <rPr>
        <vertAlign val="subscript"/>
        <sz val="11"/>
        <rFont val="Century Gothic"/>
        <family val="2"/>
      </rPr>
      <t>2</t>
    </r>
    <r>
      <rPr>
        <sz val="11"/>
        <rFont val="Century Gothic"/>
        <family val="2"/>
      </rPr>
      <t>O/t</t>
    </r>
  </si>
  <si>
    <t>Carbón Guajira - Cesar</t>
  </si>
  <si>
    <t>t</t>
  </si>
  <si>
    <r>
      <t>kg CH</t>
    </r>
    <r>
      <rPr>
        <vertAlign val="subscript"/>
        <sz val="11"/>
        <rFont val="Century Gothic"/>
        <family val="2"/>
      </rPr>
      <t>4</t>
    </r>
    <r>
      <rPr>
        <sz val="11"/>
        <rFont val="Century Gothic"/>
        <family val="2"/>
      </rPr>
      <t>/t+</t>
    </r>
  </si>
  <si>
    <t>Carbón Guajira</t>
  </si>
  <si>
    <t>Carbón Cundinamarca</t>
  </si>
  <si>
    <t>Carbón Cauca - Valle del Cauca</t>
  </si>
  <si>
    <t>Carbón Norte de Santander</t>
  </si>
  <si>
    <t>Carbón Córdoba-Norte de Antioquia</t>
  </si>
  <si>
    <t>Carbón Santander</t>
  </si>
  <si>
    <t>Carbón Santander Sogamoso</t>
  </si>
  <si>
    <t>Carbón Boyacá</t>
  </si>
  <si>
    <t>Carbón Antioquia</t>
  </si>
  <si>
    <t>Bagazo</t>
  </si>
  <si>
    <t>Fibra de palma</t>
  </si>
  <si>
    <t>Cuesco de palma</t>
  </si>
  <si>
    <t>Raquis de palma</t>
  </si>
  <si>
    <t>Cascarilla de Arroz</t>
  </si>
  <si>
    <t>Borra de Café</t>
  </si>
  <si>
    <t>Cisco de Café</t>
  </si>
  <si>
    <t>Leña</t>
  </si>
  <si>
    <t>Madera Genérico</t>
  </si>
  <si>
    <t>Madera Eucalipto</t>
  </si>
  <si>
    <t>Madera Pino</t>
  </si>
  <si>
    <t>Madera Acacia</t>
  </si>
  <si>
    <t>Madera Melina</t>
  </si>
  <si>
    <t>Residuos para coprocesamiento</t>
  </si>
  <si>
    <t>Combustible</t>
  </si>
  <si>
    <t>Factor Emisión CO2 (kg CO2/gal)</t>
  </si>
  <si>
    <t>Factor Emisión CH4 (g CH4/gal)</t>
  </si>
  <si>
    <t>Factor Emisión CH4 (kg CH4/gal)</t>
  </si>
  <si>
    <t>Factor Emisión N2O (g N2O/gal)</t>
  </si>
  <si>
    <t>Factor Emisión N2O (kg N2O/gal)</t>
  </si>
  <si>
    <t>Gal</t>
  </si>
  <si>
    <r>
      <t>kg CO</t>
    </r>
    <r>
      <rPr>
        <vertAlign val="subscript"/>
        <sz val="11"/>
        <rFont val="Century Gothic"/>
        <family val="2"/>
      </rPr>
      <t>2</t>
    </r>
    <r>
      <rPr>
        <sz val="11"/>
        <rFont val="Century Gothic"/>
        <family val="2"/>
      </rPr>
      <t>/gal</t>
    </r>
  </si>
  <si>
    <r>
      <t>kg CH</t>
    </r>
    <r>
      <rPr>
        <vertAlign val="subscript"/>
        <sz val="11"/>
        <rFont val="Century Gothic"/>
        <family val="2"/>
      </rPr>
      <t>4</t>
    </r>
    <r>
      <rPr>
        <sz val="11"/>
        <rFont val="Century Gothic"/>
        <family val="2"/>
      </rPr>
      <t>/gal</t>
    </r>
  </si>
  <si>
    <r>
      <t>kg N</t>
    </r>
    <r>
      <rPr>
        <vertAlign val="subscript"/>
        <sz val="11"/>
        <rFont val="Century Gothic"/>
        <family val="2"/>
      </rPr>
      <t>2</t>
    </r>
    <r>
      <rPr>
        <sz val="11"/>
        <rFont val="Century Gothic"/>
        <family val="2"/>
      </rPr>
      <t>O/gal</t>
    </r>
  </si>
  <si>
    <t>Kerosene</t>
  </si>
  <si>
    <t>Combustóleo</t>
  </si>
  <si>
    <t>Crudo de Castilla</t>
  </si>
  <si>
    <t>Avigas</t>
  </si>
  <si>
    <t>Jet A1</t>
  </si>
  <si>
    <t>Fuel Oil # 4 - Ecopetrol</t>
  </si>
  <si>
    <t>Diésel Marino</t>
  </si>
  <si>
    <t>Diésel B10 (Mezcla comercial)</t>
  </si>
  <si>
    <t>Gasolina E10 (Mezcla comercial)</t>
  </si>
  <si>
    <r>
      <t>m</t>
    </r>
    <r>
      <rPr>
        <vertAlign val="superscript"/>
        <sz val="11"/>
        <rFont val="Century Gothic"/>
        <family val="2"/>
      </rPr>
      <t>3</t>
    </r>
  </si>
  <si>
    <r>
      <t>kg CO</t>
    </r>
    <r>
      <rPr>
        <vertAlign val="subscript"/>
        <sz val="11"/>
        <rFont val="Century Gothic"/>
        <family val="2"/>
      </rPr>
      <t>2</t>
    </r>
    <r>
      <rPr>
        <sz val="11"/>
        <rFont val="Century Gothic"/>
        <family val="2"/>
      </rPr>
      <t>/m</t>
    </r>
    <r>
      <rPr>
        <vertAlign val="superscript"/>
        <sz val="11"/>
        <rFont val="Century Gothic"/>
        <family val="2"/>
      </rPr>
      <t>3</t>
    </r>
  </si>
  <si>
    <r>
      <t>kg CH</t>
    </r>
    <r>
      <rPr>
        <vertAlign val="subscript"/>
        <sz val="11"/>
        <rFont val="Century Gothic"/>
        <family val="2"/>
      </rPr>
      <t>4</t>
    </r>
    <r>
      <rPr>
        <sz val="11"/>
        <rFont val="Century Gothic"/>
        <family val="2"/>
      </rPr>
      <t>/m</t>
    </r>
    <r>
      <rPr>
        <vertAlign val="superscript"/>
        <sz val="11"/>
        <rFont val="Century Gothic"/>
        <family val="2"/>
      </rPr>
      <t>3</t>
    </r>
  </si>
  <si>
    <r>
      <t>kg N</t>
    </r>
    <r>
      <rPr>
        <vertAlign val="subscript"/>
        <sz val="11"/>
        <rFont val="Century Gothic"/>
        <family val="2"/>
      </rPr>
      <t>2</t>
    </r>
    <r>
      <rPr>
        <sz val="11"/>
        <rFont val="Century Gothic"/>
        <family val="2"/>
      </rPr>
      <t>O/m</t>
    </r>
    <r>
      <rPr>
        <vertAlign val="superscript"/>
        <sz val="11"/>
        <rFont val="Century Gothic"/>
        <family val="2"/>
      </rPr>
      <t>3</t>
    </r>
  </si>
  <si>
    <t>Coke Gas Genérico</t>
  </si>
  <si>
    <t>Gas Natural Cusiana</t>
  </si>
  <si>
    <t>Gas Natural Guajira</t>
  </si>
  <si>
    <t>Gas Natural Guepaje</t>
  </si>
  <si>
    <t>Gas Natural Neiva - Huila</t>
  </si>
  <si>
    <t>Gas Opon Payoa</t>
  </si>
  <si>
    <t>Gas Cupiagua</t>
  </si>
  <si>
    <t>Gas La Creciente</t>
  </si>
  <si>
    <t>GLP Genérico</t>
  </si>
  <si>
    <t>LPG Propano</t>
  </si>
  <si>
    <t>Gas de Pozo cupiagua</t>
  </si>
  <si>
    <t>Gas Natural Mezcla Sebastopol</t>
  </si>
  <si>
    <t>Gas Natural Mezcla Usme</t>
  </si>
  <si>
    <t>Gas Natural Mezcla Mariquita</t>
  </si>
  <si>
    <t>Gas MAPP</t>
  </si>
  <si>
    <r>
      <t>kgCO</t>
    </r>
    <r>
      <rPr>
        <vertAlign val="subscript"/>
        <sz val="11"/>
        <rFont val="Century Gothic"/>
        <family val="2"/>
      </rPr>
      <t>2</t>
    </r>
    <r>
      <rPr>
        <sz val="11"/>
        <rFont val="Century Gothic"/>
        <family val="2"/>
      </rPr>
      <t>/kg</t>
    </r>
  </si>
  <si>
    <t>Cálculos realizados por Propilco</t>
  </si>
  <si>
    <r>
      <t>kg CO</t>
    </r>
    <r>
      <rPr>
        <vertAlign val="subscript"/>
        <sz val="11"/>
        <rFont val="Century Gothic"/>
        <family val="2"/>
      </rPr>
      <t>2</t>
    </r>
    <r>
      <rPr>
        <sz val="11"/>
        <rFont val="Century Gothic"/>
        <family val="2"/>
      </rPr>
      <t>/kg</t>
    </r>
  </si>
  <si>
    <t xml:space="preserve">Calculo estequiométrico </t>
  </si>
  <si>
    <t>Refrigerante</t>
  </si>
  <si>
    <t>Factor Emisión CO2e (kg CO2e/kg)</t>
  </si>
  <si>
    <t>CFC-11 / R-11</t>
  </si>
  <si>
    <r>
      <t>kgCO</t>
    </r>
    <r>
      <rPr>
        <vertAlign val="subscript"/>
        <sz val="11"/>
        <rFont val="Century Gothic"/>
        <family val="2"/>
      </rPr>
      <t>2</t>
    </r>
    <r>
      <rPr>
        <sz val="11"/>
        <rFont val="Century Gothic"/>
        <family val="2"/>
      </rPr>
      <t>e/kg</t>
    </r>
  </si>
  <si>
    <t>GWP-AR5-IPCC</t>
  </si>
  <si>
    <t>GWP-AR4-IPCC</t>
  </si>
  <si>
    <t>CFC-12 / R-12</t>
  </si>
  <si>
    <t>HCFC-22 / R-22</t>
  </si>
  <si>
    <t>HCFC-141B / R-141B</t>
  </si>
  <si>
    <t>HFC-23 / R-23</t>
  </si>
  <si>
    <t>HFC-32 / R-32</t>
  </si>
  <si>
    <t>HFC-125 / R-125</t>
  </si>
  <si>
    <t>HFC-134 / R-134</t>
  </si>
  <si>
    <t>HFC-134a / R-134a</t>
  </si>
  <si>
    <t>HFC-143 / R-143</t>
  </si>
  <si>
    <t>HFC-143a / R-143a</t>
  </si>
  <si>
    <t>HFC-227ea / FM-200</t>
  </si>
  <si>
    <t>Calculado a partir de la composición porcentual con los valores del AR5 - IPCC. R134A=4%; R125=44%; R143A=52%</t>
  </si>
  <si>
    <t>http://www.gas-servei.com/images/Ficha-tecnica-R404A.pdf</t>
  </si>
  <si>
    <t>HFC-407C / R-407C</t>
  </si>
  <si>
    <t>Calculado a partir de la composición porcentual con los valores del AR5 - IPCC. R134A=52%; R125=25%; R32=23%. Datos de porcentajes obtenidos de: IPCC    http://www.ipcc.ch/ipccreports/tar/wg3/index.php?idp=144</t>
  </si>
  <si>
    <t>HFC-410a / R-410A</t>
  </si>
  <si>
    <t>Calculado a partir de la composición porcentual con los valores del AR5 - IPCC. R125=50%; R32=50%. Datos de porcentajes obtenidos de: IPCC    http://www.ipcc.ch/ipccreports/tar/wg3/index.php?idp=144</t>
  </si>
  <si>
    <t>HFC-422D / R-422D</t>
  </si>
  <si>
    <t>Calculado a partir de la composición porcentual con los valores del AR5 - IPCC. R125=65,1%; R134A=31,5%; R600A=3,4%. Datos de porcentajes obtenidos de: http://www.gas-servei.com/images/Ficha-tecnica-R422D--I29-.pdf</t>
  </si>
  <si>
    <t xml:space="preserve">PFC-14 / R-14 </t>
  </si>
  <si>
    <t>FE-36 / 1,1,1,3,3,3 - Hexafluoropropano</t>
  </si>
  <si>
    <t>Propano Alta Calidad / R-290</t>
  </si>
  <si>
    <t>http://www.lindeus.com/internet.lg.lg.usa/en/images/Linde%20R290%20Refrigerant%20Grade%20Propane138_11493.pdf</t>
  </si>
  <si>
    <t xml:space="preserve">Isobutano / R-600A </t>
  </si>
  <si>
    <t>Halon 1301 / CBrF3</t>
  </si>
  <si>
    <t>Extintores</t>
  </si>
  <si>
    <t>Lubricantes</t>
  </si>
  <si>
    <t>Factor Emisión CO2e (kg CO2e/gal)</t>
  </si>
  <si>
    <t>Aceites lubricantes</t>
  </si>
  <si>
    <t>gal</t>
  </si>
  <si>
    <t>kg CO2/galón</t>
  </si>
  <si>
    <t>IPCC 2006</t>
  </si>
  <si>
    <t>Grasa Lubricante</t>
  </si>
  <si>
    <t>kg CO2/kg</t>
  </si>
  <si>
    <t>Fugas de CO2 en proceso</t>
  </si>
  <si>
    <t xml:space="preserve">Aislamiento </t>
  </si>
  <si>
    <t>Emisiones de procesos</t>
  </si>
  <si>
    <t>Minería</t>
  </si>
  <si>
    <t>Extracción de Carbón - Subterráneo</t>
  </si>
  <si>
    <r>
      <t>kgCH</t>
    </r>
    <r>
      <rPr>
        <vertAlign val="subscript"/>
        <sz val="11"/>
        <rFont val="Century Gothic"/>
        <family val="2"/>
      </rPr>
      <t>4</t>
    </r>
    <r>
      <rPr>
        <sz val="11"/>
        <rFont val="Century Gothic"/>
        <family val="2"/>
      </rPr>
      <t>/t</t>
    </r>
  </si>
  <si>
    <t xml:space="preserve">IPCC 2006. Corresponde a la sumatoria de las emisiones de minería y postextracción. Paginas 4.11 y 4.12; Se toma el valor mayor para ser conservador. </t>
  </si>
  <si>
    <t>kgCO2 e/t</t>
  </si>
  <si>
    <t>Extracción de Carbón - Cielo Abierto</t>
  </si>
  <si>
    <t xml:space="preserve">IPCC 2006. Corresponde a la sumatoria de las emisiones de minería y postextracción. Paginas 4.18 y 4.19; Se toma el valor mayor para ser conservador. </t>
  </si>
  <si>
    <t>Manejo Embalses</t>
  </si>
  <si>
    <r>
      <t>kgCH</t>
    </r>
    <r>
      <rPr>
        <vertAlign val="subscript"/>
        <sz val="11"/>
        <rFont val="Century Gothic"/>
        <family val="2"/>
      </rPr>
      <t>4</t>
    </r>
    <r>
      <rPr>
        <sz val="11"/>
        <rFont val="Century Gothic"/>
        <family val="2"/>
      </rPr>
      <t>/Ha</t>
    </r>
  </si>
  <si>
    <t xml:space="preserve">US Environmental Protecction Agency, “Methane and Nitrous Oxide Emissions From Natural Sources”3, de abril de 2010. http://www.epa.gov/outreach/pdfs/Methane-and-Nitrous-Oxide-Emissions-From-Natural-Sources.pdf </t>
  </si>
  <si>
    <t>Industrial</t>
  </si>
  <si>
    <t>Producción de coque</t>
  </si>
  <si>
    <t>kgCH4/t</t>
  </si>
  <si>
    <r>
      <t>kgCO</t>
    </r>
    <r>
      <rPr>
        <vertAlign val="subscript"/>
        <sz val="11"/>
        <rFont val="Century Gothic"/>
        <family val="2"/>
      </rPr>
      <t>2</t>
    </r>
    <r>
      <rPr>
        <sz val="11"/>
        <rFont val="Century Gothic"/>
        <family val="2"/>
      </rPr>
      <t>/t</t>
    </r>
  </si>
  <si>
    <t>Transporte de Gas Natural (Fugas CH4)</t>
  </si>
  <si>
    <t>Cálculos realizados por Promigas</t>
  </si>
  <si>
    <t>Producción de cemento (Clinker)</t>
  </si>
  <si>
    <t>t Clinker</t>
  </si>
  <si>
    <r>
      <t>kgCO</t>
    </r>
    <r>
      <rPr>
        <vertAlign val="subscript"/>
        <sz val="11"/>
        <rFont val="Century Gothic"/>
        <family val="2"/>
      </rPr>
      <t>2</t>
    </r>
    <r>
      <rPr>
        <sz val="11"/>
        <rFont val="Century Gothic"/>
        <family val="2"/>
      </rPr>
      <t>/t Clinker</t>
    </r>
  </si>
  <si>
    <t>Producción de Cal Viva</t>
  </si>
  <si>
    <t>Producción de Cal Dolomítica</t>
  </si>
  <si>
    <t>Calcinación de Calcita (CaCO3)</t>
  </si>
  <si>
    <t>Calcinación de Magnesita (MgCO3)</t>
  </si>
  <si>
    <t>Calcinación de Dolomita (CaMg(CO3)2)</t>
  </si>
  <si>
    <t>Calcinación de Siderita (FeCO3)</t>
  </si>
  <si>
    <t>Calcinación de Rhodochrosita (MnCO3)</t>
  </si>
  <si>
    <t>Calcinación de Carbonato de sodio (Na2CO3)</t>
  </si>
  <si>
    <t>Calcinación de Ankerita (Ca(Fe,Mg,Mn)(CO3)2)</t>
  </si>
  <si>
    <t>Producción de vidrio plano y recipientes</t>
  </si>
  <si>
    <t>Producción de fibra de vidrio</t>
  </si>
  <si>
    <t>Producción de vidrio especial (vajillas)</t>
  </si>
  <si>
    <t>Producción de vidrio especial (iluminación)</t>
  </si>
  <si>
    <t>Producción de vidrio especial (laboratorio y/o farmacia)</t>
  </si>
  <si>
    <t>Producción de Amoniaco</t>
  </si>
  <si>
    <t>t NH3</t>
  </si>
  <si>
    <t>kgCO2/ t NH3</t>
  </si>
  <si>
    <t>Producción Polipropileno (Gases quemados TEA)</t>
  </si>
  <si>
    <t>Producción de Acido Nítrico</t>
  </si>
  <si>
    <r>
      <t>kgN</t>
    </r>
    <r>
      <rPr>
        <vertAlign val="subscript"/>
        <sz val="11"/>
        <rFont val="Century Gothic"/>
        <family val="2"/>
      </rPr>
      <t>2</t>
    </r>
    <r>
      <rPr>
        <sz val="11"/>
        <rFont val="Century Gothic"/>
        <family val="2"/>
      </rPr>
      <t>O/t</t>
    </r>
  </si>
  <si>
    <t>Residuos</t>
  </si>
  <si>
    <t>Vertimientos industriales no tratados (solo para alcance 3)</t>
  </si>
  <si>
    <t>kg DQO</t>
  </si>
  <si>
    <r>
      <t>kgCH</t>
    </r>
    <r>
      <rPr>
        <vertAlign val="subscript"/>
        <sz val="11"/>
        <rFont val="Century Gothic"/>
        <family val="2"/>
      </rPr>
      <t>4</t>
    </r>
    <r>
      <rPr>
        <sz val="11"/>
        <rFont val="Century Gothic"/>
        <family val="2"/>
      </rPr>
      <t>/kg DQO</t>
    </r>
  </si>
  <si>
    <t>kgCH4/kg DQO</t>
  </si>
  <si>
    <t xml:space="preserve">Vertimientos industriales tratados (PTAR aeróbica) </t>
  </si>
  <si>
    <t xml:space="preserve">Vertimientos industriales tratados (PTAR aeróbica sobrecargada) </t>
  </si>
  <si>
    <t xml:space="preserve">Vertimientos industriales tratados (Digestor anaeróbico) </t>
  </si>
  <si>
    <t xml:space="preserve">Vertimientos industriales tratados (Reactor anaeróbico) </t>
  </si>
  <si>
    <t xml:space="preserve">Vertimientos industriales tratados (Laguna anaeróbica &lt; 2 mts) </t>
  </si>
  <si>
    <t xml:space="preserve">Vertimientos industriales tratados (Laguna anaeróbica &gt; 2 mts) </t>
  </si>
  <si>
    <t>Vertimientos domésticos no tratados (solo para alcance 3)</t>
  </si>
  <si>
    <t>kg DBO</t>
  </si>
  <si>
    <r>
      <t>kgCH</t>
    </r>
    <r>
      <rPr>
        <vertAlign val="subscript"/>
        <sz val="11"/>
        <rFont val="Century Gothic"/>
        <family val="2"/>
      </rPr>
      <t>4</t>
    </r>
    <r>
      <rPr>
        <sz val="11"/>
        <rFont val="Century Gothic"/>
        <family val="2"/>
      </rPr>
      <t>/kg DBO</t>
    </r>
  </si>
  <si>
    <t>Vertimientos domésticos a cloaca o alcantarilla estancada</t>
  </si>
  <si>
    <t>Vertimientos domésticos a cloaca o alcantarilla en movimiento (abierta o cerrada)</t>
  </si>
  <si>
    <t xml:space="preserve">Vertimientos domésticos tratados (PTAR aeróbica) </t>
  </si>
  <si>
    <t xml:space="preserve">Vertimientos domésticos tratados (PTAR aeróbica sobrecargada) </t>
  </si>
  <si>
    <t xml:space="preserve">Vertimientos domésticos tratados (Digestor anaeróbico) </t>
  </si>
  <si>
    <t xml:space="preserve">Vertimientos domésticos tratados (Reactor anaeróbico) </t>
  </si>
  <si>
    <t xml:space="preserve">Vertimientos domésticos tratados (Laguna anaeróbica &lt; 2 mts) </t>
  </si>
  <si>
    <t xml:space="preserve">Vertimientos domésticos tratados (Laguna anaeróbica &gt; 2 mts) </t>
  </si>
  <si>
    <t xml:space="preserve">Vertimientos domésticos tratados (Sistema séptico) </t>
  </si>
  <si>
    <t xml:space="preserve">Residuos </t>
  </si>
  <si>
    <t>Tratamiento de lodos orgánicos industriales</t>
  </si>
  <si>
    <t>Tratamiento de lodos orgánicos domésticos</t>
  </si>
  <si>
    <t xml:space="preserve">Domiciliarios - Rellenos sanitario anaeróbico </t>
  </si>
  <si>
    <t>kg húmedo</t>
  </si>
  <si>
    <r>
      <t>kgCH</t>
    </r>
    <r>
      <rPr>
        <vertAlign val="subscript"/>
        <sz val="11"/>
        <rFont val="Century Gothic"/>
        <family val="2"/>
      </rPr>
      <t>4</t>
    </r>
    <r>
      <rPr>
        <sz val="11"/>
        <rFont val="Century Gothic"/>
        <family val="2"/>
      </rPr>
      <t>/kg húmedo</t>
    </r>
  </si>
  <si>
    <t xml:space="preserve">Residuos solidos a relleno sanitario semiaerobico </t>
  </si>
  <si>
    <t>Residuos solidos a botadero &gt;5mts profundidad</t>
  </si>
  <si>
    <t>Residuos solidos a botadero &lt;5mts profundidad</t>
  </si>
  <si>
    <t>Residuos solidos a disposición sin categorizar</t>
  </si>
  <si>
    <t xml:space="preserve">Lodos aguas residuales a relleno sanitario anaeróbico </t>
  </si>
  <si>
    <t>Residuos solidos hospital a relleno sanitario anaeróbico</t>
  </si>
  <si>
    <t>Residuos solidos alimentos a relleno sanitario anaeróbico</t>
  </si>
  <si>
    <t>Residuos solidos textil a relleno sanitario anaeróbico</t>
  </si>
  <si>
    <t>Residuos solidos madera a relleno sanitario anaeróbico</t>
  </si>
  <si>
    <t>Residuos solidos pulpa y papel a relleno sanitario anaeróbico</t>
  </si>
  <si>
    <t>Residuos solidos caucho a relleno sanitario anaeróbico</t>
  </si>
  <si>
    <t>Residuos solidos construcción a relleno sanitario anaeróbico</t>
  </si>
  <si>
    <t>Emisiones CH4 (kgCH4/kg res. húmedo)</t>
  </si>
  <si>
    <t xml:space="preserve">Domiciliarios - Rellenos sanitario semi-aerobico </t>
  </si>
  <si>
    <t>Residuos solidos otras industrias a relleno sanitario anaeróbico</t>
  </si>
  <si>
    <t>COD</t>
  </si>
  <si>
    <t>Relleno Sanitario Anaeróbico</t>
  </si>
  <si>
    <t>Relleno Sanitario Semi-aerobico</t>
  </si>
  <si>
    <t>Botadero &gt;=5mts profundidad</t>
  </si>
  <si>
    <t>Botadero &gt;5mts profundidad</t>
  </si>
  <si>
    <t>No clasificado</t>
  </si>
  <si>
    <t>Desviacion estandar</t>
  </si>
  <si>
    <t>Domiciliarios - Botadero &gt; 5mts prof.</t>
  </si>
  <si>
    <t>Quema a cielo abierto residuos solidos ordinarios</t>
  </si>
  <si>
    <t>kg res. húmedo</t>
  </si>
  <si>
    <r>
      <t>kgN</t>
    </r>
    <r>
      <rPr>
        <vertAlign val="subscript"/>
        <sz val="11"/>
        <rFont val="Century Gothic"/>
        <family val="2"/>
      </rPr>
      <t>2</t>
    </r>
    <r>
      <rPr>
        <sz val="11"/>
        <rFont val="Century Gothic"/>
        <family val="2"/>
      </rPr>
      <t>O/kg húmedo</t>
    </r>
  </si>
  <si>
    <r>
      <t>kgCO</t>
    </r>
    <r>
      <rPr>
        <vertAlign val="subscript"/>
        <sz val="11"/>
        <rFont val="Century Gothic"/>
        <family val="2"/>
      </rPr>
      <t>2</t>
    </r>
    <r>
      <rPr>
        <sz val="11"/>
        <rFont val="Century Gothic"/>
        <family val="2"/>
      </rPr>
      <t>/kg húmedo</t>
    </r>
  </si>
  <si>
    <t>Domiciliarios</t>
  </si>
  <si>
    <t xml:space="preserve">Calculado con las fracciones para Latinoamérica </t>
  </si>
  <si>
    <t>Domiciliarios - Botadero &lt; 5mts prof.</t>
  </si>
  <si>
    <t xml:space="preserve">Incineración controlada residuos solidos ordinarios </t>
  </si>
  <si>
    <t>Lodos aguas residuales</t>
  </si>
  <si>
    <t>Domiciliarios - No clasificado</t>
  </si>
  <si>
    <t xml:space="preserve">Incineración controlada residuos solidos industriales </t>
  </si>
  <si>
    <t>Hospitalarios</t>
  </si>
  <si>
    <t xml:space="preserve">Incineración controlada residuos solidos hospitalarios  </t>
  </si>
  <si>
    <t>Industrias alimentos, bebidas y tabaco</t>
  </si>
  <si>
    <t>Incineración controlada residuos líquidos domésticos</t>
  </si>
  <si>
    <t>Industrias textiles</t>
  </si>
  <si>
    <t>Incineración controlada residuos líquidos industriales</t>
  </si>
  <si>
    <t>Industrias de la Madera y Productos de Madera</t>
  </si>
  <si>
    <t>Incineración controlada residuos liquidos fósiles</t>
  </si>
  <si>
    <t xml:space="preserve">Industrias de Pulpa y Papel (o relacionadas) </t>
  </si>
  <si>
    <t xml:space="preserve">Industrias del caucho (o relacionadas) </t>
  </si>
  <si>
    <r>
      <t>CH</t>
    </r>
    <r>
      <rPr>
        <vertAlign val="subscript"/>
        <sz val="11"/>
        <color theme="0"/>
        <rFont val="Century Gothic"/>
        <family val="2"/>
      </rPr>
      <t>4</t>
    </r>
  </si>
  <si>
    <r>
      <t>CO</t>
    </r>
    <r>
      <rPr>
        <vertAlign val="subscript"/>
        <sz val="11"/>
        <color theme="0"/>
        <rFont val="Century Gothic"/>
        <family val="2"/>
      </rPr>
      <t>2</t>
    </r>
    <r>
      <rPr>
        <sz val="11"/>
        <color theme="0"/>
        <rFont val="Century Gothic"/>
        <family val="2"/>
      </rPr>
      <t xml:space="preserve"> e (21)</t>
    </r>
  </si>
  <si>
    <r>
      <t>CO</t>
    </r>
    <r>
      <rPr>
        <vertAlign val="subscript"/>
        <sz val="11"/>
        <color theme="0"/>
        <rFont val="Century Gothic"/>
        <family val="2"/>
      </rPr>
      <t>2</t>
    </r>
    <r>
      <rPr>
        <sz val="11"/>
        <color theme="0"/>
        <rFont val="Century Gothic"/>
        <family val="2"/>
      </rPr>
      <t xml:space="preserve"> e (25)</t>
    </r>
  </si>
  <si>
    <t xml:space="preserve">Industrias de construcción y demolición </t>
  </si>
  <si>
    <t xml:space="preserve">Fermentación Entérica </t>
  </si>
  <si>
    <t>Factor Emisión CH4 (kg CO2e/kg)</t>
  </si>
  <si>
    <t>kgCH4/cabeza/año</t>
  </si>
  <si>
    <t>kgCO2 e/cabeza</t>
  </si>
  <si>
    <t>Otras industrias (incluye manufactureras)</t>
  </si>
  <si>
    <t>Fermentación Entérica</t>
  </si>
  <si>
    <t>Vacas de alta producción lechera (Holstein, Jersey, Ayrshire) - Peso Promedio 520kg - Producción Promedio 11,7 kg leche/día</t>
  </si>
  <si>
    <t>Cabezas</t>
  </si>
  <si>
    <r>
      <t>kgCH</t>
    </r>
    <r>
      <rPr>
        <vertAlign val="subscript"/>
        <sz val="11"/>
        <rFont val="Century Gothic"/>
        <family val="2"/>
      </rPr>
      <t>4</t>
    </r>
    <r>
      <rPr>
        <sz val="11"/>
        <rFont val="Century Gothic"/>
        <family val="2"/>
      </rPr>
      <t>/cabeza</t>
    </r>
  </si>
  <si>
    <t>BUR Colombia 2015</t>
  </si>
  <si>
    <r>
      <t>kgCO</t>
    </r>
    <r>
      <rPr>
        <vertAlign val="subscript"/>
        <sz val="11"/>
        <rFont val="Century Gothic"/>
        <family val="2"/>
      </rPr>
      <t>2</t>
    </r>
    <r>
      <rPr>
        <sz val="11"/>
        <rFont val="Century Gothic"/>
        <family val="2"/>
      </rPr>
      <t xml:space="preserve"> e/cabeza</t>
    </r>
  </si>
  <si>
    <t>Ganado vacuno lechero</t>
  </si>
  <si>
    <r>
      <t>kgCO</t>
    </r>
    <r>
      <rPr>
        <vertAlign val="subscript"/>
        <sz val="11"/>
        <color theme="0"/>
        <rFont val="Century Gothic"/>
        <family val="2"/>
      </rPr>
      <t>2</t>
    </r>
    <r>
      <rPr>
        <sz val="11"/>
        <color theme="0"/>
        <rFont val="Century Gothic"/>
        <family val="2"/>
      </rPr>
      <t xml:space="preserve"> e/cabeza</t>
    </r>
  </si>
  <si>
    <t>Vacas de baja producción lechera (Doble Propósito) - Peso Promedio 395 kg - Producción Promedio 3,5 kg leche/día</t>
  </si>
  <si>
    <t>Vacas de baja producción lechera (Doble Propósito con corte Cebuino) - Peso Promedio 380 kg - Producción Promedio 1,9 kg leche/día</t>
  </si>
  <si>
    <t>Toros reproductores (tipo Cebuino) - Peso Promedio 530 kg</t>
  </si>
  <si>
    <t>Terneros pre-destetos</t>
  </si>
  <si>
    <t>Terneras de reemplazo</t>
  </si>
  <si>
    <t xml:space="preserve">Ganado de engorde </t>
  </si>
  <si>
    <t>Ganado vacuno no lechero</t>
  </si>
  <si>
    <t>Búfalos</t>
  </si>
  <si>
    <t>Ovejas</t>
  </si>
  <si>
    <t>Cabras</t>
  </si>
  <si>
    <t>Caballos</t>
  </si>
  <si>
    <t>Mulas y Asnos</t>
  </si>
  <si>
    <t>Cerdos</t>
  </si>
  <si>
    <t>Conejos</t>
  </si>
  <si>
    <t>Pollos de engorde</t>
  </si>
  <si>
    <t>Wang SY; Huang DJ</t>
  </si>
  <si>
    <t>Emisiones de N2O según tipo de Gestión (kg N2O/cabeza*año)</t>
  </si>
  <si>
    <t>Emisiones de CH4 según tipo de Gestión (kg CH4/cabeza*año)</t>
  </si>
  <si>
    <t>CH4</t>
  </si>
  <si>
    <t>N2O</t>
  </si>
  <si>
    <t>TIPO DE ANIMAL</t>
  </si>
  <si>
    <r>
      <t>FACTOR  DE EMISIÓN CH</t>
    </r>
    <r>
      <rPr>
        <vertAlign val="subscript"/>
        <sz val="11"/>
        <color theme="0"/>
        <rFont val="Century Gothic"/>
        <family val="2"/>
      </rPr>
      <t>4</t>
    </r>
  </si>
  <si>
    <r>
      <t>FACTOR EMISIÓN CO</t>
    </r>
    <r>
      <rPr>
        <vertAlign val="subscript"/>
        <sz val="11"/>
        <color theme="0"/>
        <rFont val="Century Gothic"/>
        <family val="2"/>
      </rPr>
      <t>2</t>
    </r>
    <r>
      <rPr>
        <sz val="11"/>
        <color theme="0"/>
        <rFont val="Century Gothic"/>
        <family val="2"/>
      </rPr>
      <t xml:space="preserve"> e</t>
    </r>
  </si>
  <si>
    <t>N Excretado</t>
  </si>
  <si>
    <t>% N según Sistema de Manejo</t>
  </si>
  <si>
    <t>N Excretado por Sistema de Manejo</t>
  </si>
  <si>
    <r>
      <t>Factor de Emisión N</t>
    </r>
    <r>
      <rPr>
        <vertAlign val="subscript"/>
        <sz val="11"/>
        <color theme="0"/>
        <rFont val="Century Gothic"/>
        <family val="2"/>
      </rPr>
      <t>2</t>
    </r>
    <r>
      <rPr>
        <sz val="11"/>
        <color theme="0"/>
        <rFont val="Century Gothic"/>
        <family val="2"/>
      </rPr>
      <t>O</t>
    </r>
  </si>
  <si>
    <r>
      <t>Emisiones de N</t>
    </r>
    <r>
      <rPr>
        <vertAlign val="subscript"/>
        <sz val="11"/>
        <color theme="0"/>
        <rFont val="Century Gothic"/>
        <family val="2"/>
      </rPr>
      <t>2</t>
    </r>
    <r>
      <rPr>
        <sz val="11"/>
        <color theme="0"/>
        <rFont val="Century Gothic"/>
        <family val="2"/>
      </rPr>
      <t>O</t>
    </r>
  </si>
  <si>
    <r>
      <t>FACTRO DE EMISION CO</t>
    </r>
    <r>
      <rPr>
        <vertAlign val="subscript"/>
        <sz val="11"/>
        <color theme="0"/>
        <rFont val="Century Gothic"/>
        <family val="2"/>
      </rPr>
      <t>2</t>
    </r>
    <r>
      <rPr>
        <sz val="11"/>
        <color theme="0"/>
        <rFont val="Century Gothic"/>
        <family val="2"/>
      </rPr>
      <t xml:space="preserve"> e TOTAL</t>
    </r>
  </si>
  <si>
    <t>Datos IPCC 2006 (kg CH4/cabeza*año)</t>
  </si>
  <si>
    <t>Datos calculados a partir de IPCC 2006 (Nivel 2 con datos por defecto)  kg CH4/cabeza*año</t>
  </si>
  <si>
    <t>Manejo de Estiércol</t>
  </si>
  <si>
    <t>Factor Emisión CH4 (kg CO2e/unidad)</t>
  </si>
  <si>
    <t>Factor Emisión N2O (kg CO2e/unidad)</t>
  </si>
  <si>
    <t>Nindice</t>
  </si>
  <si>
    <t>TAM</t>
  </si>
  <si>
    <t>Pastura/prado</t>
  </si>
  <si>
    <t>Distribucion diaria</t>
  </si>
  <si>
    <t>Almacenamiento solido</t>
  </si>
  <si>
    <t>Liquido/fango</t>
  </si>
  <si>
    <t>Lagunas anaerobicas</t>
  </si>
  <si>
    <t>Almacenamiento en pozos y camas profundas &lt; 1 mes</t>
  </si>
  <si>
    <t>Almacenamiento en pozos y camas profundas &gt; 1 mes</t>
  </si>
  <si>
    <t>Digestor Anaerobico</t>
  </si>
  <si>
    <t>Quemado para combustible</t>
  </si>
  <si>
    <t>Compostaje en Tambor y pilas estaticas</t>
  </si>
  <si>
    <t>Compostaje pilas con volteo intensivo o regular</t>
  </si>
  <si>
    <t>Camas de aves de corral con hojarasca</t>
  </si>
  <si>
    <t>Tratamientos aerobicos</t>
  </si>
  <si>
    <t>Incentidumbre (+/- %)</t>
  </si>
  <si>
    <t>Disposicion como solido en pasturas o prados</t>
  </si>
  <si>
    <t xml:space="preserve">Disposicion en sistemas de base liquida (inlcuidas lagunas anaerobicas) </t>
  </si>
  <si>
    <t>Disposicion en sistemas liquido/fango</t>
  </si>
  <si>
    <t>Incertidumbre FE (+/- %)</t>
  </si>
  <si>
    <t>Vs</t>
  </si>
  <si>
    <t>Bo</t>
  </si>
  <si>
    <t>Corral engorde</t>
  </si>
  <si>
    <t>Ganado Lechero - Clima Frío</t>
  </si>
  <si>
    <t xml:space="preserve">Ganado No Lechero - Clima Frío </t>
  </si>
  <si>
    <t>Cabeza</t>
  </si>
  <si>
    <r>
      <t>kgCH</t>
    </r>
    <r>
      <rPr>
        <vertAlign val="subscript"/>
        <sz val="11"/>
        <color theme="1"/>
        <rFont val="Century Gothic"/>
        <family val="2"/>
      </rPr>
      <t>4</t>
    </r>
    <r>
      <rPr>
        <sz val="11"/>
        <color theme="1"/>
        <rFont val="Century Gothic"/>
        <family val="2"/>
      </rPr>
      <t>/cabeza</t>
    </r>
  </si>
  <si>
    <r>
      <t>kgN</t>
    </r>
    <r>
      <rPr>
        <vertAlign val="subscript"/>
        <sz val="11"/>
        <color theme="1"/>
        <rFont val="Century Gothic"/>
        <family val="2"/>
      </rPr>
      <t>2</t>
    </r>
    <r>
      <rPr>
        <sz val="11"/>
        <color theme="1"/>
        <rFont val="Century Gothic"/>
        <family val="2"/>
      </rPr>
      <t>O/cabeza</t>
    </r>
  </si>
  <si>
    <t>Ganado No Lechero - Clima Frío</t>
  </si>
  <si>
    <r>
      <t>kgCO</t>
    </r>
    <r>
      <rPr>
        <vertAlign val="subscript"/>
        <sz val="11"/>
        <color theme="0"/>
        <rFont val="Century Gothic"/>
        <family val="2"/>
      </rPr>
      <t>2</t>
    </r>
    <r>
      <rPr>
        <sz val="11"/>
        <color theme="0"/>
        <rFont val="Century Gothic"/>
        <family val="2"/>
      </rPr>
      <t xml:space="preserve"> e/Cabeza</t>
    </r>
  </si>
  <si>
    <t>Ganado Lechero - Clima Templado</t>
  </si>
  <si>
    <t>Ganado No Lechero - Clima Templado</t>
  </si>
  <si>
    <t>Ganado Lechero - Clima Cálido</t>
  </si>
  <si>
    <t>Ganado No Lechero - Clima Cálido</t>
  </si>
  <si>
    <t>Aves de Corral - Clima Frío</t>
  </si>
  <si>
    <t>NA</t>
  </si>
  <si>
    <t>Ave</t>
  </si>
  <si>
    <r>
      <t>kgCO</t>
    </r>
    <r>
      <rPr>
        <vertAlign val="subscript"/>
        <sz val="11"/>
        <color theme="0"/>
        <rFont val="Century Gothic"/>
        <family val="2"/>
      </rPr>
      <t>2</t>
    </r>
    <r>
      <rPr>
        <sz val="11"/>
        <color theme="0"/>
        <rFont val="Century Gothic"/>
        <family val="2"/>
      </rPr>
      <t xml:space="preserve"> e/Ave</t>
    </r>
  </si>
  <si>
    <t>Aves de Corral - Clima Templado</t>
  </si>
  <si>
    <t>Aves de Corral - Clima Cálido</t>
  </si>
  <si>
    <t>Ovejas - Clima Frío</t>
  </si>
  <si>
    <t>Ovejas - Clima Templado</t>
  </si>
  <si>
    <t>Ovejas - Clima Cálido</t>
  </si>
  <si>
    <t>Porcinos de carne - Clima Frío</t>
  </si>
  <si>
    <t>Cerdos Almacenamiento Sólido y Parcelas Secas - Clima Frío</t>
  </si>
  <si>
    <t>Porcinos de carne - Clima Templado</t>
  </si>
  <si>
    <t>Cerdos Almacenamiento Sólido y Parcelas Secas - Clima Templado</t>
  </si>
  <si>
    <t>Porcinos de carne - Clima Cálido</t>
  </si>
  <si>
    <t>Cerdos Almacenamiento Sólido y Parcelas Secas - Clima Cálido</t>
  </si>
  <si>
    <t>Porcinos de Cría - Clima Frío</t>
  </si>
  <si>
    <t>Cerdos Otros Sistemas de Manejo del Estiércol - Clima Frío</t>
  </si>
  <si>
    <t>Porcinos de Cría - Clima Templado</t>
  </si>
  <si>
    <t>Cerdos Otros Sistemas de Manejo del Estiércol - Clima Templado</t>
  </si>
  <si>
    <t>Porcinos de Cría - Clima Cálido</t>
  </si>
  <si>
    <t>Cerdos Otros Sistemas de Manejo del Estiércol - Clima Cálido</t>
  </si>
  <si>
    <t>Búfalos - Clima Frío</t>
  </si>
  <si>
    <t>Búfalos - Clima Templado</t>
  </si>
  <si>
    <t>Búfalos - Clima Cálido</t>
  </si>
  <si>
    <t>Cabras - Clima Frío</t>
  </si>
  <si>
    <t>Cabras - Clima Templado</t>
  </si>
  <si>
    <t>Cabras - Clima Cálido</t>
  </si>
  <si>
    <t>Caballos - Clima Frío</t>
  </si>
  <si>
    <t>Caballos - Clima Templado</t>
  </si>
  <si>
    <t>Caballos - Clima Cálido</t>
  </si>
  <si>
    <t>Mulas y Asnos - Clima Frío</t>
  </si>
  <si>
    <t>Mulas y Asnos - Clima Templado</t>
  </si>
  <si>
    <t>Mulas y Asnos - Clima Cálido</t>
  </si>
  <si>
    <t>Conejos - Clima Frío</t>
  </si>
  <si>
    <t>Conejos - Clima Templado</t>
  </si>
  <si>
    <t>kgCO2 e/kg</t>
  </si>
  <si>
    <t>Cant.</t>
  </si>
  <si>
    <t>fracc oxidada</t>
  </si>
  <si>
    <t>C</t>
  </si>
  <si>
    <t>FE</t>
  </si>
  <si>
    <t>FE total</t>
  </si>
  <si>
    <t>Conejos - Clima Cálido</t>
  </si>
  <si>
    <t>Residuos Agrícolas</t>
  </si>
  <si>
    <r>
      <t>kgCO</t>
    </r>
    <r>
      <rPr>
        <vertAlign val="subscript"/>
        <sz val="11"/>
        <color theme="0"/>
        <rFont val="Century Gothic"/>
        <family val="2"/>
      </rPr>
      <t>2</t>
    </r>
    <r>
      <rPr>
        <sz val="11"/>
        <color theme="0"/>
        <rFont val="Century Gothic"/>
        <family val="2"/>
      </rPr>
      <t xml:space="preserve"> e/kg</t>
    </r>
  </si>
  <si>
    <t>Avestruces - Clima Frío</t>
  </si>
  <si>
    <t>Factor Emisión N2O (kg CO2e/kg)</t>
  </si>
  <si>
    <t>Avestruces - Clima Templado</t>
  </si>
  <si>
    <t>Avestruces - Clima Cálido</t>
  </si>
  <si>
    <t>Compostaje de materia orgánica (base seca)</t>
  </si>
  <si>
    <t xml:space="preserve">kg residuo seco </t>
  </si>
  <si>
    <r>
      <t>kgCH</t>
    </r>
    <r>
      <rPr>
        <vertAlign val="subscript"/>
        <sz val="11"/>
        <color theme="1"/>
        <rFont val="Century Gothic"/>
        <family val="2"/>
      </rPr>
      <t>4</t>
    </r>
    <r>
      <rPr>
        <sz val="11"/>
        <color theme="1"/>
        <rFont val="Century Gothic"/>
        <family val="2"/>
      </rPr>
      <t>/kg</t>
    </r>
  </si>
  <si>
    <r>
      <t>kgN</t>
    </r>
    <r>
      <rPr>
        <vertAlign val="subscript"/>
        <sz val="11"/>
        <color theme="1"/>
        <rFont val="Century Gothic"/>
        <family val="2"/>
      </rPr>
      <t>2</t>
    </r>
    <r>
      <rPr>
        <sz val="11"/>
        <color theme="1"/>
        <rFont val="Century Gothic"/>
        <family val="2"/>
      </rPr>
      <t>O/kg</t>
    </r>
  </si>
  <si>
    <t>Compostaje de materia orgánica (base húmeda)</t>
  </si>
  <si>
    <t>kg residuo humedo</t>
  </si>
  <si>
    <t>Digestión anaeróbica en instalaciones de biogás (base seca)</t>
  </si>
  <si>
    <t>Poder calorifico biogas (TJ/Gg) IPCC 2006</t>
  </si>
  <si>
    <t>Poder calorifico biogas (MJ/m3) FECOC 2016</t>
  </si>
  <si>
    <t>Densidad Calculada del Biogas (kg CH4/m3 CH4)</t>
  </si>
  <si>
    <t>Fraccion contenido CH4 en biogas  (m3 CH4/m3 biogas - Fuente: medicion contenido CH4 en Aliar)</t>
  </si>
  <si>
    <t>Digestión anaeróbica en instalaciones de biogás  (base húmeda)</t>
  </si>
  <si>
    <t>Fugas de metano en proceso de captura (solamente cuando hay captura de biogas)</t>
  </si>
  <si>
    <r>
      <t>m</t>
    </r>
    <r>
      <rPr>
        <vertAlign val="superscript"/>
        <sz val="11"/>
        <color theme="1"/>
        <rFont val="Century Gothic"/>
        <family val="2"/>
      </rPr>
      <t>3</t>
    </r>
    <r>
      <rPr>
        <sz val="11"/>
        <color theme="1"/>
        <rFont val="Century Gothic"/>
        <family val="2"/>
      </rPr>
      <t xml:space="preserve"> Biogas</t>
    </r>
  </si>
  <si>
    <r>
      <t>kgCH</t>
    </r>
    <r>
      <rPr>
        <vertAlign val="subscript"/>
        <sz val="11"/>
        <color theme="1"/>
        <rFont val="Century Gothic"/>
        <family val="2"/>
      </rPr>
      <t>4</t>
    </r>
    <r>
      <rPr>
        <sz val="11"/>
        <color theme="1"/>
        <rFont val="Century Gothic"/>
        <family val="2"/>
      </rPr>
      <t>/m</t>
    </r>
    <r>
      <rPr>
        <vertAlign val="superscript"/>
        <sz val="11"/>
        <color theme="1"/>
        <rFont val="Century Gothic"/>
        <family val="2"/>
      </rPr>
      <t>3</t>
    </r>
    <r>
      <rPr>
        <sz val="11"/>
        <color theme="1"/>
        <rFont val="Century Gothic"/>
        <family val="2"/>
      </rPr>
      <t xml:space="preserve"> Biogas</t>
    </r>
  </si>
  <si>
    <r>
      <t>kgN</t>
    </r>
    <r>
      <rPr>
        <vertAlign val="subscript"/>
        <sz val="11"/>
        <color theme="1"/>
        <rFont val="Century Gothic"/>
        <family val="2"/>
      </rPr>
      <t>2</t>
    </r>
    <r>
      <rPr>
        <sz val="11"/>
        <color theme="1"/>
        <rFont val="Century Gothic"/>
        <family val="2"/>
      </rPr>
      <t>O/m</t>
    </r>
    <r>
      <rPr>
        <vertAlign val="superscript"/>
        <sz val="11"/>
        <color theme="1"/>
        <rFont val="Century Gothic"/>
        <family val="2"/>
      </rPr>
      <t>3</t>
    </r>
    <r>
      <rPr>
        <sz val="11"/>
        <color theme="1"/>
        <rFont val="Century Gothic"/>
        <family val="2"/>
      </rPr>
      <t xml:space="preserve"> Biogas</t>
    </r>
  </si>
  <si>
    <t>Quema de Residuos Agrícolas</t>
  </si>
  <si>
    <r>
      <t>kgCH</t>
    </r>
    <r>
      <rPr>
        <vertAlign val="subscript"/>
        <sz val="11"/>
        <rFont val="Century Gothic"/>
        <family val="2"/>
      </rPr>
      <t>4</t>
    </r>
    <r>
      <rPr>
        <sz val="11"/>
        <rFont val="Century Gothic"/>
        <family val="2"/>
      </rPr>
      <t>/kg</t>
    </r>
  </si>
  <si>
    <r>
      <t>kgN</t>
    </r>
    <r>
      <rPr>
        <vertAlign val="subscript"/>
        <sz val="11"/>
        <rFont val="Century Gothic"/>
        <family val="2"/>
      </rPr>
      <t>2</t>
    </r>
    <r>
      <rPr>
        <sz val="11"/>
        <rFont val="Century Gothic"/>
        <family val="2"/>
      </rPr>
      <t>O/kg</t>
    </r>
  </si>
  <si>
    <t>Quema de Residuos Pastizales</t>
  </si>
  <si>
    <t>N-C</t>
  </si>
  <si>
    <t xml:space="preserve">Uso fertilizantes </t>
  </si>
  <si>
    <t xml:space="preserve">Uso de fertilizantes minerales, abonos orgánicos y residuos agrícolas </t>
  </si>
  <si>
    <r>
      <t>kg N</t>
    </r>
    <r>
      <rPr>
        <vertAlign val="subscript"/>
        <sz val="11"/>
        <rFont val="Century Gothic"/>
        <family val="2"/>
      </rPr>
      <t>2</t>
    </r>
  </si>
  <si>
    <r>
      <t>kgN</t>
    </r>
    <r>
      <rPr>
        <vertAlign val="subscript"/>
        <sz val="11"/>
        <rFont val="Century Gothic"/>
        <family val="2"/>
      </rPr>
      <t>2</t>
    </r>
    <r>
      <rPr>
        <sz val="11"/>
        <rFont val="Century Gothic"/>
        <family val="2"/>
      </rPr>
      <t>O/kgN</t>
    </r>
    <r>
      <rPr>
        <vertAlign val="subscript"/>
        <sz val="11"/>
        <rFont val="Century Gothic"/>
        <family val="2"/>
      </rPr>
      <t>2</t>
    </r>
  </si>
  <si>
    <t>Fertilización directa de vacunos, aves de corral y porcinos</t>
  </si>
  <si>
    <t>Fertilización directa de ovinos y otros animales</t>
  </si>
  <si>
    <t>Uso de fertilizantes aplicados en arrozales inundados</t>
  </si>
  <si>
    <r>
      <t>kgCO</t>
    </r>
    <r>
      <rPr>
        <vertAlign val="subscript"/>
        <sz val="11"/>
        <rFont val="Century Gothic"/>
        <family val="2"/>
      </rPr>
      <t>2</t>
    </r>
    <r>
      <rPr>
        <sz val="11"/>
        <rFont val="Century Gothic"/>
        <family val="2"/>
      </rPr>
      <t xml:space="preserve"> e/kgN2</t>
    </r>
  </si>
  <si>
    <t>Caliza cálcica aplicada (CaCO3)</t>
  </si>
  <si>
    <t>kg Cal</t>
  </si>
  <si>
    <r>
      <t>kgCO</t>
    </r>
    <r>
      <rPr>
        <vertAlign val="subscript"/>
        <sz val="11"/>
        <rFont val="Century Gothic"/>
        <family val="2"/>
      </rPr>
      <t>2</t>
    </r>
    <r>
      <rPr>
        <sz val="11"/>
        <rFont val="Century Gothic"/>
        <family val="2"/>
      </rPr>
      <t>/kg cal</t>
    </r>
  </si>
  <si>
    <t>Cal Dolomita Aplicada (CaMg(CO3)2)</t>
  </si>
  <si>
    <t>Fertilización con Urea (CO(NH2)2)</t>
  </si>
  <si>
    <t>kg urea</t>
  </si>
  <si>
    <r>
      <t>kgCO</t>
    </r>
    <r>
      <rPr>
        <vertAlign val="subscript"/>
        <sz val="11"/>
        <rFont val="Century Gothic"/>
        <family val="2"/>
      </rPr>
      <t>2</t>
    </r>
    <r>
      <rPr>
        <sz val="11"/>
        <rFont val="Century Gothic"/>
        <family val="2"/>
      </rPr>
      <t>/kg urea</t>
    </r>
  </si>
  <si>
    <t>kg de N</t>
  </si>
  <si>
    <t>KgCO2 e/kg N</t>
  </si>
  <si>
    <t>fracción volatiza</t>
  </si>
  <si>
    <t>kgN2O/kg N</t>
  </si>
  <si>
    <t>PCG</t>
  </si>
  <si>
    <t>Uso de fertilizantes sintéticos</t>
  </si>
  <si>
    <t>Electricidad</t>
  </si>
  <si>
    <t>Factor Emisión C2O (kg CO2e/kg)</t>
  </si>
  <si>
    <t>KWh</t>
  </si>
  <si>
    <t>0.166</t>
  </si>
  <si>
    <r>
      <t>kgCO</t>
    </r>
    <r>
      <rPr>
        <vertAlign val="subscript"/>
        <sz val="11"/>
        <rFont val="Century Gothic"/>
        <family val="2"/>
      </rPr>
      <t>2</t>
    </r>
    <r>
      <rPr>
        <sz val="11"/>
        <rFont val="Century Gothic"/>
        <family val="2"/>
      </rPr>
      <t xml:space="preserve"> e/KWh</t>
    </r>
  </si>
  <si>
    <t>UPME</t>
  </si>
  <si>
    <t>Energía eléctrica adquirida (Factor emisión UPME-FECOC 2018)</t>
  </si>
  <si>
    <t>Energía eléctrica adquirida (Factor emisión UPME-FECOC 2017)</t>
  </si>
  <si>
    <t>Energía eléctrica adquirida (Factor emisión UPME-FECOC 2016)</t>
  </si>
  <si>
    <t>kgCO2 e/KWh</t>
  </si>
  <si>
    <t>Energía eléctrica adquirida (Factor emisión UPME-FECOC 2015)</t>
  </si>
  <si>
    <t>Energía eléctrica adquirida (Factor emisión UPME-FECOC 2014)</t>
  </si>
  <si>
    <t>Energía eléctrica adquirida (Factor emisión UPME-FECOC 2013)</t>
  </si>
  <si>
    <t>Energía eléctrica adquirida (Factor emisión UPME-FECOC 2012)</t>
  </si>
  <si>
    <t>Energía eléctrica adquirida (Factor emisión UPME-FECOC 2011)</t>
  </si>
  <si>
    <t>Energía eléctrica adquirida (Factor emisión Informe EIA 2013)</t>
  </si>
  <si>
    <t>EIA</t>
  </si>
  <si>
    <t>Energía eléctrica adquirida (Factor emisión Informe EIA 2011)</t>
  </si>
  <si>
    <t>Energía eléctrica adquirida (Factor emisión UPME-MDL 2008)</t>
  </si>
  <si>
    <t xml:space="preserve">Viajes </t>
  </si>
  <si>
    <t>Factor Emisión CO2 (kg CO2e/kg)</t>
  </si>
  <si>
    <t>Bogotá - Armenia - Bogotá</t>
  </si>
  <si>
    <t>Viaje</t>
  </si>
  <si>
    <r>
      <t>kgCO</t>
    </r>
    <r>
      <rPr>
        <vertAlign val="subscript"/>
        <sz val="11"/>
        <rFont val="Century Gothic"/>
        <family val="2"/>
      </rPr>
      <t>2</t>
    </r>
    <r>
      <rPr>
        <sz val="11"/>
        <rFont val="Century Gothic"/>
        <family val="2"/>
      </rPr>
      <t xml:space="preserve"> e/Viaje</t>
    </r>
  </si>
  <si>
    <t>ICAO</t>
  </si>
  <si>
    <t>Bogotá - Barrancabermeja - Bogotá</t>
  </si>
  <si>
    <t>Bogotá - Barranquilla - Bogotá</t>
  </si>
  <si>
    <t>Bogotá - Bucaramanga - Bogotá</t>
  </si>
  <si>
    <t>Bogotá - Buenaventura - Bogotá</t>
  </si>
  <si>
    <t>Bogotá - Cali - Bogotá</t>
  </si>
  <si>
    <t>Bogotá - Cartagena - Bogotá</t>
  </si>
  <si>
    <t>Bogotá - Cúcuta - Bogotá</t>
  </si>
  <si>
    <t>Bogotá - Florencia - Bogotá</t>
  </si>
  <si>
    <t>Bogotá - Ibagué - Bogotá</t>
  </si>
  <si>
    <t>Bogotá - Leticia - Bogotá</t>
  </si>
  <si>
    <t>Bogotá - Manizales - Bogotá</t>
  </si>
  <si>
    <t>Bogotá - Medellín - Bogotá</t>
  </si>
  <si>
    <t>Bogotá - Mitú - Bogotá</t>
  </si>
  <si>
    <t>Bogotá - Montería - Bogotá</t>
  </si>
  <si>
    <t>Bogotá - Neiva - Bogotá</t>
  </si>
  <si>
    <t>Bogotá - Pasto - Bogotá</t>
  </si>
  <si>
    <t>Bogotá - Pereira - Bogotá</t>
  </si>
  <si>
    <t>Bogotá - Popayán - Bogotá</t>
  </si>
  <si>
    <t>Bogotá - Puerto Asís - Bogotá</t>
  </si>
  <si>
    <t>Bogotá - Puerto Carreño - Bogotá</t>
  </si>
  <si>
    <t>Bogotá - Puerto Inírida - Bogotá</t>
  </si>
  <si>
    <t>Bogotá - Riohacha - Bogotá</t>
  </si>
  <si>
    <t>Bogotá - Santa Marta - Bogotá</t>
  </si>
  <si>
    <t>Bogotá - Valledupar - Bogotá</t>
  </si>
  <si>
    <t>Bogotá - Villavicencio - Bogotá</t>
  </si>
  <si>
    <t>Bogotá - Yopal - Bogotá</t>
  </si>
  <si>
    <t>Transporte aéreo de carga</t>
  </si>
  <si>
    <t>t*km</t>
  </si>
  <si>
    <t>kg CO2 e/ t*km</t>
  </si>
  <si>
    <t>USDA-LCI (ICAO 2003)</t>
  </si>
  <si>
    <t>Transporte marítimo de carga</t>
  </si>
  <si>
    <t>USDA-LCI, 2006 (ARGO 2001)</t>
  </si>
  <si>
    <t>Transporte terrestre de carga</t>
  </si>
  <si>
    <t>USDA-LCI- (EPA 2010)</t>
  </si>
  <si>
    <t>Papel</t>
  </si>
  <si>
    <r>
      <t>kgCO</t>
    </r>
    <r>
      <rPr>
        <vertAlign val="subscript"/>
        <sz val="11"/>
        <rFont val="Century Gothic"/>
        <family val="2"/>
      </rPr>
      <t>2</t>
    </r>
    <r>
      <rPr>
        <sz val="11"/>
        <rFont val="Century Gothic"/>
        <family val="2"/>
      </rPr>
      <t xml:space="preserve"> e/kg</t>
    </r>
  </si>
  <si>
    <t>Silva D., Raymundo A., Oliveira J., Ometto A., 2015. Life cycle assessment of offset paper production in Brazil: hotspots and cleaner production alternatives. Journal of cleaner Production. (93) 222-233</t>
  </si>
  <si>
    <t>Papel reciclado</t>
  </si>
  <si>
    <t>European reference Lifecycle Database:  Graphic Paper; technology mix; production mix, at plant; 79% primary fibre, 21% recycled fibre</t>
  </si>
  <si>
    <t>Papel mate de revista</t>
  </si>
  <si>
    <t>Leon J., Aliaga C., Boulougouris G., Hortal M., Marti J., 2015. Quantifying GHG emissions savings potential in magazine paper production: a case study on supercalendered and light-weight coated papers. Journal of Cleaner Production. (103) 301-308</t>
  </si>
  <si>
    <t>Papel brillante de revista</t>
  </si>
  <si>
    <t xml:space="preserve">Polietileno de alta densidad </t>
  </si>
  <si>
    <t>European reference Lifecycle Database Polyethylene high density granulate (PE-HD);production mix, at plant</t>
  </si>
  <si>
    <t xml:space="preserve">Polietileno de baja densidad </t>
  </si>
  <si>
    <t>European reference Lifecycle Database: Polyethylene low density granulate (PE-LD);production mix, at plant</t>
  </si>
  <si>
    <t xml:space="preserve">Polipropileno </t>
  </si>
  <si>
    <t>European reference Lifecycle Database:  Polypropylene granulate (PP); production mix, at plant</t>
  </si>
  <si>
    <t xml:space="preserve">Aluminio primario </t>
  </si>
  <si>
    <t>Center for environmental assessment of product and material systems (CPM LCA Database): primary aluminium production</t>
  </si>
  <si>
    <t>Aluminio reciclado</t>
  </si>
  <si>
    <t>European reference Lifecycle Database: Aluminium extrusión profile; primary production; production mix, at plant; aluminium semi-finished extrusión product, including primary production, transformation and recycling</t>
  </si>
  <si>
    <t>Ficha técnica papel natural carvajal</t>
  </si>
  <si>
    <t>AR5</t>
  </si>
  <si>
    <t>AR4</t>
  </si>
  <si>
    <t>SR</t>
  </si>
  <si>
    <t>GEI</t>
  </si>
  <si>
    <t>PCG-GWP</t>
  </si>
  <si>
    <t>NF3</t>
  </si>
  <si>
    <t>ND</t>
  </si>
  <si>
    <t>Insumos químicos PTAP - PTAR</t>
  </si>
  <si>
    <r>
      <t>kg CO</t>
    </r>
    <r>
      <rPr>
        <vertAlign val="subscript"/>
        <sz val="10"/>
        <color theme="1"/>
        <rFont val="Arial"/>
        <family val="2"/>
      </rPr>
      <t>2</t>
    </r>
    <r>
      <rPr>
        <sz val="10"/>
        <color theme="1"/>
        <rFont val="Arial"/>
        <family val="2"/>
      </rPr>
      <t>/kg Cl</t>
    </r>
  </si>
  <si>
    <r>
      <t>kg CO</t>
    </r>
    <r>
      <rPr>
        <vertAlign val="subscript"/>
        <sz val="10"/>
        <color theme="1"/>
        <rFont val="Arial"/>
        <family val="2"/>
      </rPr>
      <t>2</t>
    </r>
    <r>
      <rPr>
        <sz val="10"/>
        <color theme="1"/>
        <rFont val="Arial"/>
        <family val="2"/>
      </rPr>
      <t>/kg Al2(SO4)3</t>
    </r>
  </si>
  <si>
    <r>
      <t>kg CO</t>
    </r>
    <r>
      <rPr>
        <vertAlign val="subscript"/>
        <sz val="10"/>
        <color theme="1"/>
        <rFont val="Arial"/>
        <family val="2"/>
      </rPr>
      <t>2</t>
    </r>
    <r>
      <rPr>
        <sz val="10"/>
        <color theme="1"/>
        <rFont val="Arial"/>
        <family val="2"/>
      </rPr>
      <t>/kg NaCl</t>
    </r>
  </si>
  <si>
    <r>
      <t>kg CO</t>
    </r>
    <r>
      <rPr>
        <vertAlign val="subscript"/>
        <sz val="10"/>
        <color theme="1"/>
        <rFont val="Arial"/>
        <family val="2"/>
      </rPr>
      <t>2</t>
    </r>
    <r>
      <rPr>
        <sz val="10"/>
        <color theme="1"/>
        <rFont val="Arial"/>
        <family val="2"/>
      </rPr>
      <t>/kg Cl</t>
    </r>
    <r>
      <rPr>
        <sz val="11"/>
        <rFont val="Century Gothic"/>
        <family val="2"/>
      </rPr>
      <t>O2</t>
    </r>
  </si>
  <si>
    <r>
      <t>kg CO</t>
    </r>
    <r>
      <rPr>
        <vertAlign val="subscript"/>
        <sz val="10"/>
        <color theme="1"/>
        <rFont val="Arial"/>
        <family val="2"/>
      </rPr>
      <t>2</t>
    </r>
    <r>
      <rPr>
        <sz val="10"/>
        <color theme="1"/>
        <rFont val="Arial"/>
        <family val="2"/>
      </rPr>
      <t>/kg NaClO</t>
    </r>
  </si>
  <si>
    <r>
      <t>kg CO</t>
    </r>
    <r>
      <rPr>
        <vertAlign val="subscript"/>
        <sz val="10"/>
        <color theme="1"/>
        <rFont val="Arial"/>
        <family val="2"/>
      </rPr>
      <t>2</t>
    </r>
    <r>
      <rPr>
        <sz val="10"/>
        <color theme="1"/>
        <rFont val="Arial"/>
        <family val="2"/>
      </rPr>
      <t>/kg NaHCO3</t>
    </r>
  </si>
  <si>
    <r>
      <t>kg CO</t>
    </r>
    <r>
      <rPr>
        <vertAlign val="subscript"/>
        <sz val="10"/>
        <color theme="1"/>
        <rFont val="Arial"/>
        <family val="2"/>
      </rPr>
      <t>2</t>
    </r>
    <r>
      <rPr>
        <sz val="10"/>
        <color theme="1"/>
        <rFont val="Arial"/>
        <family val="2"/>
      </rPr>
      <t>/kg CaO</t>
    </r>
  </si>
  <si>
    <r>
      <t>kg CO</t>
    </r>
    <r>
      <rPr>
        <vertAlign val="subscript"/>
        <sz val="10"/>
        <color theme="1"/>
        <rFont val="Arial"/>
        <family val="2"/>
      </rPr>
      <t>2</t>
    </r>
    <r>
      <rPr>
        <sz val="10"/>
        <color theme="1"/>
        <rFont val="Arial"/>
        <family val="2"/>
      </rPr>
      <t>/kg FeCl3</t>
    </r>
  </si>
  <si>
    <r>
      <t>kg CO</t>
    </r>
    <r>
      <rPr>
        <vertAlign val="subscript"/>
        <sz val="10"/>
        <color theme="1"/>
        <rFont val="Arial"/>
        <family val="2"/>
      </rPr>
      <t>2</t>
    </r>
    <r>
      <rPr>
        <sz val="10"/>
        <color theme="1"/>
        <rFont val="Arial"/>
        <family val="2"/>
      </rPr>
      <t>/kg NaOH</t>
    </r>
  </si>
  <si>
    <t>Tipo de tratamiento - Residuos sólidos Peligrosos</t>
  </si>
  <si>
    <t>Relleno sanitario</t>
  </si>
  <si>
    <r>
      <t>kg CO</t>
    </r>
    <r>
      <rPr>
        <vertAlign val="subscript"/>
        <sz val="10"/>
        <color theme="1"/>
        <rFont val="Arial"/>
        <family val="2"/>
      </rPr>
      <t>2</t>
    </r>
    <r>
      <rPr>
        <sz val="10"/>
        <color theme="1"/>
        <rFont val="Arial"/>
        <family val="2"/>
      </rPr>
      <t>/kg residuos</t>
    </r>
  </si>
  <si>
    <t>Ecoinvent 3.6. Disposal, municipal solid waste, 22.9% water, to sanitary landfill [CH]</t>
  </si>
  <si>
    <r>
      <t>kg CO</t>
    </r>
    <r>
      <rPr>
        <vertAlign val="subscript"/>
        <sz val="10"/>
        <color theme="1"/>
        <rFont val="Arial"/>
        <family val="2"/>
      </rPr>
      <t>2e</t>
    </r>
    <r>
      <rPr>
        <sz val="10"/>
        <color theme="1"/>
        <rFont val="Arial"/>
        <family val="2"/>
      </rPr>
      <t>/kg residuos</t>
    </r>
  </si>
  <si>
    <t>Ecoinvent 3.6. Disposal, hazardous waste, 0% water, to underground deposit [DE]</t>
  </si>
  <si>
    <t>Ecoinvent 3.6. Disposal, hazardous waste, 25% water, to hazardous waste incineration [CH]</t>
  </si>
  <si>
    <t>Transporte municipal de residuos</t>
  </si>
  <si>
    <r>
      <t>kg CO</t>
    </r>
    <r>
      <rPr>
        <vertAlign val="subscript"/>
        <sz val="10"/>
        <color theme="1"/>
        <rFont val="Arial"/>
        <family val="2"/>
      </rPr>
      <t>2</t>
    </r>
    <r>
      <rPr>
        <sz val="10"/>
        <color theme="1"/>
        <rFont val="Arial"/>
        <family val="2"/>
      </rPr>
      <t>/tkm residuos</t>
    </r>
  </si>
  <si>
    <t>Ecoinvent 3.6. Transport, municipal waste collection, lorry 21t [CH]</t>
  </si>
  <si>
    <t>Transporte de reciclaje e incineración</t>
  </si>
  <si>
    <r>
      <t>kg CO</t>
    </r>
    <r>
      <rPr>
        <vertAlign val="subscript"/>
        <sz val="10"/>
        <color theme="1"/>
        <rFont val="Arial"/>
        <family val="2"/>
      </rPr>
      <t>2</t>
    </r>
    <r>
      <rPr>
        <sz val="10"/>
        <color theme="1"/>
        <rFont val="Arial"/>
        <family val="2"/>
      </rPr>
      <t>/tkm reciclaje - inicineración</t>
    </r>
  </si>
  <si>
    <t xml:space="preserve">Ecoinvent 3.6. Market for transport, freight, lorry &gt;32 metric ton, EURO4, RER, </t>
  </si>
  <si>
    <t xml:space="preserve">Transporte transoceanico </t>
  </si>
  <si>
    <r>
      <t>kg CO</t>
    </r>
    <r>
      <rPr>
        <vertAlign val="subscript"/>
        <sz val="10"/>
        <color theme="1"/>
        <rFont val="Arial"/>
        <family val="2"/>
      </rPr>
      <t>2</t>
    </r>
    <r>
      <rPr>
        <sz val="10"/>
        <color theme="1"/>
        <rFont val="Arial"/>
        <family val="2"/>
      </rPr>
      <t xml:space="preserve">/tkm </t>
    </r>
  </si>
  <si>
    <t>Ecoinvent 3.6. Transport, transoceanic freight ship [OCE]</t>
  </si>
  <si>
    <t>CATEGORÍA</t>
  </si>
  <si>
    <t>SUBCATEGORÍA</t>
  </si>
  <si>
    <t>% DEL TOTAL</t>
  </si>
  <si>
    <t>INCERTIDUMBRE %</t>
  </si>
  <si>
    <t>EMISIONES DIRECTAS A PARTIR DE COMBUSTIÓN MÓVIL</t>
  </si>
  <si>
    <t>EMISIONES DIRECTAS A PARTIR DE COMBUSTIÓN ESTACIONARIA</t>
  </si>
  <si>
    <t>EMISIONES FUGITIVAS DIRECTAS CAUSADAS POR LA LIBERACIÓN DE GEI EN SISTEMAS ANTROPOGÉNICOS</t>
  </si>
  <si>
    <t>CONSUMO DE ENERGÍA ELÉCTRICA DE LA RED</t>
  </si>
  <si>
    <t>EMISIONES CAUSADAS POR EL TRANSPORTE DIARIO DE LOS EMPLEADOS</t>
  </si>
  <si>
    <t>EMISIONES CAUSADAS POR VIAJES DE NEGOCIOS</t>
  </si>
  <si>
    <t>EMISIONES PROVENIENTES DE LOS PRODUCTOS COMPRADOS, LAS CUALES ESTÁN ASOCIADAS CON LA FABRICACIÓN DEL PRODUCTO</t>
  </si>
  <si>
    <t xml:space="preserve">EMISIONES PROVENIENTES DE LA DISPOSICIÓN DE RESIDUOS SÓLIDOS </t>
  </si>
  <si>
    <t>EMISIONES INDIRECTAS CAUSADAS POR BIENES/SERVICIOS QUE UTILIZA LA ORGANIZACIÓN</t>
  </si>
  <si>
    <t>TRATAMIENTO Y ELIMINACIÓN DE LAS AGUAS RESIDUALES DOMÉSTICAS DE  BOGOTÁ D.C.</t>
  </si>
  <si>
    <t>CALCULO DE EMISIONES DE GEI ASOCIADAS A BIOMASA
(CON ESTIMACIÓN DE LA INCERTIDUMBRE)</t>
  </si>
  <si>
    <t>01/01/2019 - 31/12/2019</t>
  </si>
  <si>
    <t>EMISIONES DE BIOMASA</t>
  </si>
  <si>
    <t>HUELLA DE CARBONO
(t CO2 e)</t>
  </si>
  <si>
    <t>EMISIONES CO2 (t CO2)</t>
  </si>
  <si>
    <t xml:space="preserve">Consumo de combustibles fósiles </t>
  </si>
  <si>
    <t>Quema de biogás en la PTAR El Salitre</t>
  </si>
  <si>
    <t>TOTAL EMISIONES DE BIOMASA</t>
  </si>
  <si>
    <r>
      <t>kg CO</t>
    </r>
    <r>
      <rPr>
        <vertAlign val="subscript"/>
        <sz val="11"/>
        <rFont val="Century Gothic"/>
        <family val="1"/>
      </rPr>
      <t>2</t>
    </r>
    <r>
      <rPr>
        <sz val="11"/>
        <rFont val="Century Gothic"/>
        <family val="1"/>
      </rPr>
      <t>/t</t>
    </r>
  </si>
  <si>
    <r>
      <t>kg CH</t>
    </r>
    <r>
      <rPr>
        <vertAlign val="subscript"/>
        <sz val="11"/>
        <rFont val="Century Gothic"/>
        <family val="1"/>
      </rPr>
      <t>4</t>
    </r>
    <r>
      <rPr>
        <sz val="11"/>
        <rFont val="Century Gothic"/>
        <family val="1"/>
      </rPr>
      <t>/t</t>
    </r>
  </si>
  <si>
    <r>
      <t>kg N</t>
    </r>
    <r>
      <rPr>
        <vertAlign val="subscript"/>
        <sz val="11"/>
        <rFont val="Century Gothic"/>
        <family val="1"/>
      </rPr>
      <t>2</t>
    </r>
    <r>
      <rPr>
        <sz val="11"/>
        <rFont val="Century Gothic"/>
        <family val="1"/>
      </rPr>
      <t>O/t</t>
    </r>
  </si>
  <si>
    <t>1965,839 </t>
  </si>
  <si>
    <t>Quema de residuos agricolas</t>
  </si>
  <si>
    <r>
      <t>kg CO</t>
    </r>
    <r>
      <rPr>
        <vertAlign val="subscript"/>
        <sz val="11"/>
        <rFont val="Century Gothic"/>
        <family val="1"/>
      </rPr>
      <t>2</t>
    </r>
    <r>
      <rPr>
        <sz val="11"/>
        <rFont val="Century Gothic"/>
        <family val="1"/>
      </rPr>
      <t>/kg</t>
    </r>
  </si>
  <si>
    <t>Quema de residuos pastizales</t>
  </si>
  <si>
    <r>
      <t>kg CO</t>
    </r>
    <r>
      <rPr>
        <vertAlign val="subscript"/>
        <sz val="11"/>
        <rFont val="Century Gothic"/>
        <family val="1"/>
      </rPr>
      <t>2</t>
    </r>
    <r>
      <rPr>
        <sz val="11"/>
        <rFont val="Century Gothic"/>
        <family val="1"/>
      </rPr>
      <t>/gal</t>
    </r>
  </si>
  <si>
    <t>FECOC, 2016</t>
  </si>
  <si>
    <r>
      <t>kg CH</t>
    </r>
    <r>
      <rPr>
        <vertAlign val="subscript"/>
        <sz val="11"/>
        <rFont val="Century Gothic"/>
        <family val="1"/>
      </rPr>
      <t>4</t>
    </r>
    <r>
      <rPr>
        <sz val="11"/>
        <rFont val="Century Gothic"/>
        <family val="1"/>
      </rPr>
      <t>/gal</t>
    </r>
  </si>
  <si>
    <r>
      <t>kg N</t>
    </r>
    <r>
      <rPr>
        <vertAlign val="subscript"/>
        <sz val="11"/>
        <rFont val="Century Gothic"/>
        <family val="1"/>
      </rPr>
      <t>2</t>
    </r>
    <r>
      <rPr>
        <sz val="11"/>
        <rFont val="Century Gothic"/>
        <family val="1"/>
      </rPr>
      <t>O/gal</t>
    </r>
  </si>
  <si>
    <r>
      <t>m</t>
    </r>
    <r>
      <rPr>
        <vertAlign val="superscript"/>
        <sz val="11"/>
        <rFont val="Century Gothic"/>
        <family val="1"/>
      </rPr>
      <t>3</t>
    </r>
  </si>
  <si>
    <r>
      <t>kg CO</t>
    </r>
    <r>
      <rPr>
        <vertAlign val="subscript"/>
        <sz val="11"/>
        <rFont val="Century Gothic"/>
        <family val="1"/>
      </rPr>
      <t>2</t>
    </r>
    <r>
      <rPr>
        <sz val="11"/>
        <rFont val="Century Gothic"/>
        <family val="1"/>
      </rPr>
      <t>/m</t>
    </r>
    <r>
      <rPr>
        <vertAlign val="superscript"/>
        <sz val="11"/>
        <rFont val="Century Gothic"/>
        <family val="1"/>
      </rPr>
      <t>3</t>
    </r>
  </si>
  <si>
    <r>
      <t>kg CH</t>
    </r>
    <r>
      <rPr>
        <vertAlign val="subscript"/>
        <sz val="11"/>
        <rFont val="Century Gothic"/>
        <family val="1"/>
      </rPr>
      <t>4</t>
    </r>
    <r>
      <rPr>
        <sz val="11"/>
        <rFont val="Century Gothic"/>
        <family val="1"/>
      </rPr>
      <t>/m</t>
    </r>
    <r>
      <rPr>
        <vertAlign val="superscript"/>
        <sz val="11"/>
        <rFont val="Century Gothic"/>
        <family val="1"/>
      </rPr>
      <t>3</t>
    </r>
  </si>
  <si>
    <r>
      <t>EMISIONES N</t>
    </r>
    <r>
      <rPr>
        <b/>
        <vertAlign val="subscript"/>
        <sz val="11"/>
        <color theme="0"/>
        <rFont val="Century Gothic"/>
        <family val="1"/>
      </rPr>
      <t>2</t>
    </r>
    <r>
      <rPr>
        <b/>
        <sz val="11"/>
        <color theme="0"/>
        <rFont val="Century Gothic"/>
        <family val="1"/>
      </rPr>
      <t>O 
(t CO</t>
    </r>
    <r>
      <rPr>
        <b/>
        <vertAlign val="subscript"/>
        <sz val="11"/>
        <color theme="0"/>
        <rFont val="Century Gothic"/>
        <family val="1"/>
      </rPr>
      <t>2</t>
    </r>
    <r>
      <rPr>
        <b/>
        <sz val="11"/>
        <color theme="0"/>
        <rFont val="Century Gothic"/>
        <family val="1"/>
      </rPr>
      <t>e/año)</t>
    </r>
  </si>
  <si>
    <r>
      <t>EMISIONES Compuestos Fluorados  
(t CO</t>
    </r>
    <r>
      <rPr>
        <b/>
        <vertAlign val="subscript"/>
        <sz val="11"/>
        <color theme="0"/>
        <rFont val="Century Gothic"/>
        <family val="1"/>
      </rPr>
      <t>2</t>
    </r>
    <r>
      <rPr>
        <b/>
        <sz val="11"/>
        <color theme="0"/>
        <rFont val="Century Gothic"/>
        <family val="1"/>
      </rPr>
      <t>e/año)</t>
    </r>
  </si>
  <si>
    <r>
      <t>EMISIONES SF</t>
    </r>
    <r>
      <rPr>
        <b/>
        <vertAlign val="subscript"/>
        <sz val="11"/>
        <color theme="0"/>
        <rFont val="Century Gothic"/>
        <family val="1"/>
      </rPr>
      <t>6</t>
    </r>
    <r>
      <rPr>
        <b/>
        <sz val="11"/>
        <color theme="0"/>
        <rFont val="Century Gothic"/>
        <family val="1"/>
      </rPr>
      <t xml:space="preserve"> (t CO</t>
    </r>
    <r>
      <rPr>
        <b/>
        <vertAlign val="subscript"/>
        <sz val="11"/>
        <color theme="0"/>
        <rFont val="Century Gothic"/>
        <family val="1"/>
      </rPr>
      <t>2</t>
    </r>
    <r>
      <rPr>
        <b/>
        <sz val="11"/>
        <color theme="0"/>
        <rFont val="Century Gothic"/>
        <family val="1"/>
      </rPr>
      <t>e/año)</t>
    </r>
  </si>
  <si>
    <r>
      <t>HUELLA CARBONO TOTAL
(t CO</t>
    </r>
    <r>
      <rPr>
        <b/>
        <vertAlign val="subscript"/>
        <sz val="11"/>
        <color theme="0"/>
        <rFont val="Century Gothic"/>
        <family val="1"/>
      </rPr>
      <t>2</t>
    </r>
    <r>
      <rPr>
        <b/>
        <sz val="11"/>
        <color theme="0"/>
        <rFont val="Century Gothic"/>
        <family val="1"/>
      </rPr>
      <t>e/año)</t>
    </r>
  </si>
  <si>
    <r>
      <t>HUELLA CARBONO TOTAL 2019
(t CO</t>
    </r>
    <r>
      <rPr>
        <b/>
        <vertAlign val="subscript"/>
        <sz val="11"/>
        <color theme="0"/>
        <rFont val="Century Gothic"/>
        <family val="1"/>
      </rPr>
      <t>2</t>
    </r>
    <r>
      <rPr>
        <b/>
        <sz val="11"/>
        <color theme="0"/>
        <rFont val="Century Gothic"/>
        <family val="1"/>
      </rPr>
      <t>e/año)</t>
    </r>
  </si>
  <si>
    <t>HUELLA CARBONO TOTAL 2020
(t CO2e/año)</t>
  </si>
  <si>
    <t>TOTAL HCC</t>
  </si>
  <si>
    <t>BIOMASA</t>
  </si>
  <si>
    <t>FUENTES</t>
  </si>
  <si>
    <r>
      <t>EMISIONES TOTALES
(t CO</t>
    </r>
    <r>
      <rPr>
        <b/>
        <vertAlign val="subscript"/>
        <sz val="11"/>
        <color theme="0"/>
        <rFont val="Century Gothic"/>
        <family val="1"/>
      </rPr>
      <t>2</t>
    </r>
    <r>
      <rPr>
        <b/>
        <sz val="11"/>
        <color theme="0"/>
        <rFont val="Century Gothic"/>
        <family val="1"/>
      </rPr>
      <t>/año)</t>
    </r>
  </si>
  <si>
    <t>Biomasa</t>
  </si>
  <si>
    <r>
      <t>TOTAL CO</t>
    </r>
    <r>
      <rPr>
        <b/>
        <vertAlign val="subscript"/>
        <sz val="11"/>
        <color theme="0"/>
        <rFont val="Century Gothic"/>
        <family val="1"/>
      </rPr>
      <t>2</t>
    </r>
    <r>
      <rPr>
        <b/>
        <sz val="11"/>
        <color theme="0"/>
        <rFont val="Century Gothic"/>
        <family val="1"/>
      </rPr>
      <t xml:space="preserve"> BIOMASA</t>
    </r>
  </si>
  <si>
    <t>Emisiones discriminadas por categoría:</t>
  </si>
  <si>
    <t>CANTIDAD
(t CO2 e)</t>
  </si>
  <si>
    <t xml:space="preserve"> </t>
  </si>
  <si>
    <t>Fraccion de uso de sistema de tratamiento</t>
  </si>
  <si>
    <t>IPCC</t>
  </si>
  <si>
    <t>Nombre</t>
  </si>
  <si>
    <t>GPC</t>
  </si>
  <si>
    <t>Periodo</t>
  </si>
  <si>
    <t>Poblacion*</t>
  </si>
  <si>
    <t>Eliminacion en rio, lago y mar</t>
  </si>
  <si>
    <t>Cloaca estancada</t>
  </si>
  <si>
    <t>Cloaca en movimiento</t>
  </si>
  <si>
    <t>Planta de tratamiento centralizada anaerobica</t>
  </si>
  <si>
    <t>Digestor anaerobico para lodos</t>
  </si>
  <si>
    <t>Reactor anaerobico</t>
  </si>
  <si>
    <t>Laguna anaerobica poco profunda</t>
  </si>
  <si>
    <t>Laguna anaerobica profunda</t>
  </si>
  <si>
    <t>Sistema septico</t>
  </si>
  <si>
    <t>Letrina</t>
  </si>
  <si>
    <t>Componente orgánico de los residuos separado como lodo (kg DBO)</t>
  </si>
  <si>
    <t>CH4 recuperado (kg CH4)</t>
  </si>
  <si>
    <t>Fuente de informacion</t>
  </si>
  <si>
    <t>% incertidumbre de los datos de actividad</t>
  </si>
  <si>
    <t>4D1</t>
  </si>
  <si>
    <t>Tratamiento y eliminacion de las aguas residuales domesticas</t>
  </si>
  <si>
    <t>III.4.1.</t>
  </si>
  <si>
    <t>PTAR Salitre. INVENTARIO DE EMISIONES Y ABSORCIONES DE GASES EFECTO INVERNADERO (GEI)</t>
  </si>
  <si>
    <t>El N2O calculado corresponde a las emisiones de oxido nitroso por disposicion de aguas residuales en cuerpos de agua (4D3)</t>
  </si>
  <si>
    <t xml:space="preserve">* Fuente: DANE - CNPV 2018. Proyecciones. </t>
  </si>
  <si>
    <t>RESULTADO</t>
  </si>
  <si>
    <t>ton CO2</t>
  </si>
  <si>
    <t>ton CH4</t>
  </si>
  <si>
    <t>ton N2O</t>
  </si>
  <si>
    <t>ton CO2eq</t>
  </si>
  <si>
    <t>ton CO2(b)</t>
  </si>
  <si>
    <t>ton CO2 absorbido</t>
  </si>
  <si>
    <t>F.E y CONSTANTES (Para identificar las utilizadas)</t>
  </si>
  <si>
    <t>AUXILIAR DEL CALCULO (Para realizar calculos intermedios)</t>
  </si>
  <si>
    <t>POTENCIAL DE CALENAMIENTO GLOBAL DE LOS GASES</t>
  </si>
  <si>
    <t>ID</t>
  </si>
  <si>
    <t>Descripcion</t>
  </si>
  <si>
    <t>Valor</t>
  </si>
  <si>
    <t>Total de MO en las aguas residuales que se tratan (kg DBO)</t>
  </si>
  <si>
    <t>Gas</t>
  </si>
  <si>
    <t>Sistema de tratamiento</t>
  </si>
  <si>
    <t>Factor de emision por sitema de tratamiento (kg CH4 / kg DBO)</t>
  </si>
  <si>
    <t>Emision CH4 por sitema de tratamiento (kg)</t>
  </si>
  <si>
    <t>Nitrogeno en los efluentes de aguas residuales (kg N)</t>
  </si>
  <si>
    <t>Nivel</t>
  </si>
  <si>
    <t>Metodologia</t>
  </si>
  <si>
    <t>Detalles metodologicos</t>
  </si>
  <si>
    <t>Constantes y factores de emision</t>
  </si>
  <si>
    <t>Recomendaciones incertidumbre</t>
  </si>
  <si>
    <t>Subcategoria</t>
  </si>
  <si>
    <t>Tratamiento y eliminacion de aguas residuales
Domesticas</t>
  </si>
  <si>
    <t>Emisiones de CH4 y N2O generadas por el tratamiento y eliminacion de las aguas residuales domesticas</t>
  </si>
  <si>
    <r>
      <rPr>
        <sz val="11"/>
        <color theme="1"/>
        <rFont val="Calibri"/>
        <family val="2"/>
      </rPr>
      <t xml:space="preserve">Apicable a las subcategorias 4D1 y 4D3
Nivel metodologico 1:
</t>
    </r>
    <r>
      <rPr>
        <b/>
        <sz val="11"/>
        <color theme="1"/>
        <rFont val="Calibri"/>
        <family val="2"/>
      </rPr>
      <t>METANO
ECUACIÓN 6.3</t>
    </r>
    <r>
      <rPr>
        <sz val="11"/>
        <color theme="1"/>
        <rFont val="Calibri"/>
        <family val="2"/>
      </rPr>
      <t xml:space="preserve">
TOW = P * DBO * 365 * I
</t>
    </r>
    <r>
      <rPr>
        <b/>
        <sz val="11"/>
        <color theme="1"/>
        <rFont val="Calibri"/>
        <family val="2"/>
      </rPr>
      <t>ECUACIÓN 6.2</t>
    </r>
    <r>
      <rPr>
        <sz val="11"/>
        <color theme="1"/>
        <rFont val="Calibri"/>
        <family val="2"/>
      </rPr>
      <t xml:space="preserve">
EFj = B * MCFj
</t>
    </r>
    <r>
      <rPr>
        <b/>
        <sz val="11"/>
        <color theme="1"/>
        <rFont val="Calibri"/>
        <family val="2"/>
      </rPr>
      <t>ECUACIÓN 6.1</t>
    </r>
    <r>
      <rPr>
        <sz val="11"/>
        <color theme="1"/>
        <rFont val="Calibri"/>
        <family val="2"/>
      </rPr>
      <t xml:space="preserve">
CH4 = ∑(Ui * Tij * EFj) * (TOW - S) - R
</t>
    </r>
    <r>
      <rPr>
        <b/>
        <sz val="11"/>
        <color theme="1"/>
        <rFont val="Calibri"/>
        <family val="2"/>
      </rPr>
      <t>OXIDO NITROSO</t>
    </r>
    <r>
      <rPr>
        <sz val="11"/>
        <color theme="1"/>
        <rFont val="Calibri"/>
        <family val="2"/>
      </rPr>
      <t xml:space="preserve">
</t>
    </r>
    <r>
      <rPr>
        <b/>
        <sz val="11"/>
        <color theme="1"/>
        <rFont val="Calibri"/>
        <family val="2"/>
      </rPr>
      <t>ECUACIÓN 6.7</t>
    </r>
    <r>
      <rPr>
        <sz val="11"/>
        <color theme="1"/>
        <rFont val="Calibri"/>
        <family val="2"/>
      </rPr>
      <t xml:space="preserve">
N2O = N_efluente * EF_efluente * 44/28
</t>
    </r>
    <r>
      <rPr>
        <b/>
        <sz val="11"/>
        <color theme="1"/>
        <rFont val="Calibri"/>
        <family val="2"/>
      </rPr>
      <t>ECUACIÓN 6.85</t>
    </r>
    <r>
      <rPr>
        <sz val="11"/>
        <color theme="1"/>
        <rFont val="Calibri"/>
        <family val="2"/>
      </rPr>
      <t xml:space="preserve">
N_efluente = (P * Proteína * F_npr * F_non-con * F_ind-com) - N_lodo</t>
    </r>
  </si>
  <si>
    <t>TOW = Materia orgánica en las aguas residuales del año del inventario
P = Población
DBO = DBO percápita diario
I = Factor de corrección para DBO industrial adicional
EFj = Factor de emisión de CH4 según sistema j de tratamiento de residuos
B = Capacidad maxima de producción del metano
MCFj = Factor corrector para el metano segúnel sistema j de tratamiento de residuos
CH4 = Emisión de metano
Ui = Fracción de la población del gurpo de ingresos i
Tij = Grado de utilización del sistema j de tratamiento para cada fracción i
S = Componente orgánico separado como lodo durante el año del inventario
R = Cantidad de CH4 recuperada durante el año del inventario
N2O = Emisión de óxido nitroso
N_efluente = Nitrógeno en el efluente eliminado en medios acuáticos
EF_efluente = Factor de emisión de N2O provenientes de la eliminación de aguas residuales
P = población humana
Proteína = comsumo per cápita anual de proteínas
F_npr = fracción de nitrógeno en las proteínas (0,16 kg N/ kg por defecto)
F_non-con = factor de las proteínas no consumidas añadidas a las aguas residuales
F_ind-com = factor para las proteínas industriales y comerciaels co-eliminadas en los sistemas de alcantarillado
N_lodo = nitrógeno separado con el lodo reisdual (0 kg N/ kg por defecto)</t>
  </si>
  <si>
    <t xml:space="preserve">Constantes que relacionan factores como la poblacion, consumo percapita de proteina, y fraccion de nitrogeno presente en las proteinas, con factores como DBO presentes en las aguas residuales.
Utiliza tambien factores de emision para CH4 que relacionan la cantidad de DBO presente en las aguas residuales con cantidad de gas emitido, discriminando los sitemas de tratamiento, donde figura entre otros la eliminacion directa a cuerpos de agua
</t>
  </si>
  <si>
    <t>IPCC 2006:
capacidad máxima de producción de CH4: 30% 
datos de población humana: 5%
datos de DBO por persona: 30%
datos de fracción del grupo de ingresos de la población: 15%
datos de grado de utilización de la vía o el sistema de tratamiento y/o eliminación para cada grupo de ingresos: 3%
factor de corrección para DBO industrial adicional eliminado en alcantarillas mientras sean aguas recolectadas: 20%
datos de consumo anual de proteína per cápita: 10%
fracción de nitrógeno contenido en la proteína: 6,25%
factor de ajuste para la proteína no consumida: 10%
ajuste para las proteinas industriales y comerciales co-eliminadas: 20%</t>
  </si>
  <si>
    <t>NOTA:</t>
  </si>
  <si>
    <t>Para adicionar una nueva consante o FE, adicione una nueva fila en la tabla.</t>
  </si>
  <si>
    <t>Tenga en cuenta asigna un ID y que éste no se repita</t>
  </si>
  <si>
    <t>El ID se utilizará en la formulación, el la hoja formulario específica</t>
  </si>
  <si>
    <t>Tipo</t>
  </si>
  <si>
    <t>Descriptor</t>
  </si>
  <si>
    <t>Detalles</t>
  </si>
  <si>
    <t>Fuente</t>
  </si>
  <si>
    <t>Estado</t>
  </si>
  <si>
    <t>Constante</t>
  </si>
  <si>
    <t>N/A</t>
  </si>
  <si>
    <t>Cte_4D1_N/Lodo</t>
  </si>
  <si>
    <t>Nitrogeno separado con el lodo residual</t>
  </si>
  <si>
    <t>kg N /año</t>
  </si>
  <si>
    <t>IPCC 2006 (Vol 5, Cap 6, Ecuacion 6.8)</t>
  </si>
  <si>
    <t>Activo</t>
  </si>
  <si>
    <t>Cte_4D1_Proteinas co-eliminadas</t>
  </si>
  <si>
    <t>Factor de proteinas industriales y comerciales co-eliminadas en los sistemas de alcantarillado</t>
  </si>
  <si>
    <t>adimensional</t>
  </si>
  <si>
    <t>IPCC 2006 (Vol 5, Cap 6, 6.3.1.3)</t>
  </si>
  <si>
    <t>Cte_4D1_Proteinas no consumidas</t>
  </si>
  <si>
    <t>Factor de proteinas no consumidas añadidas a las aguas residuales</t>
  </si>
  <si>
    <t>Cte_4D1_N/Proteinas</t>
  </si>
  <si>
    <t>Fraccion de nitrogeno en las proteinas</t>
  </si>
  <si>
    <t>kg N / kg proteina</t>
  </si>
  <si>
    <t>Cte_4D1_Proteina percapita</t>
  </si>
  <si>
    <t>Consumo percapita anual de proteinas</t>
  </si>
  <si>
    <t>kg / persona / año</t>
  </si>
  <si>
    <t>FAO / indicadores especificos / Colombia</t>
  </si>
  <si>
    <t>Factor de emision</t>
  </si>
  <si>
    <t>FE_N2O_Eliminacion aguas residuales_IPCC</t>
  </si>
  <si>
    <t>Emision de N2O por eliminacion de aguas residuales</t>
  </si>
  <si>
    <t>kg N2O-N / kg N</t>
  </si>
  <si>
    <t>IPCC 2006 (Vol 5, Cap 6, 6.3.1.2)</t>
  </si>
  <si>
    <t>Cte_4D1_CH4/DBO</t>
  </si>
  <si>
    <t>Capacidad maxima de produccion de CH4 por DBO</t>
  </si>
  <si>
    <t>kg CH4 / kg COD</t>
  </si>
  <si>
    <t>IPCC 2006 (Vol 5, Cap 6, 6.2.2.2)</t>
  </si>
  <si>
    <t>Cte_4D1_DBO_Industrial</t>
  </si>
  <si>
    <t>Factor de correccion para DBO industrial adicional eliminado en las cloacas</t>
  </si>
  <si>
    <t>IPCC 2006 (Vol 5, Cap 6, Ecuacion 6.3)</t>
  </si>
  <si>
    <t>Si es recolectado el valor por defecto es 1,25. Si no es recolectado el valor por defecto es 1</t>
  </si>
  <si>
    <t>Cte_4D1_DBO percapita</t>
  </si>
  <si>
    <t>DBO percapita especifico del pais</t>
  </si>
  <si>
    <t>g DBO / persona</t>
  </si>
  <si>
    <t>IPCC 2006 (Vol 5, Cap 6, Cuadro 6.4)</t>
  </si>
  <si>
    <t>4D1, 4D2</t>
  </si>
  <si>
    <t>Cte_4D_CH4_Letrina</t>
  </si>
  <si>
    <t>Factor de correccion para CH4. Sistema de tratamiento tipo: letrina</t>
  </si>
  <si>
    <t>IPCC 2006 (Vol 5, Cap 6, Cuadro 6.3 &amp; Cuadro 6.8)</t>
  </si>
  <si>
    <t>Cte_4D_CH4_Sistema septico</t>
  </si>
  <si>
    <t>Factor de correccion para CH4. Sistema de tratamiento tipo: sistema septico</t>
  </si>
  <si>
    <t>Cte_4D_CH4_Laguna anaerobia profunda</t>
  </si>
  <si>
    <t>Factor de correccion para CH4. Sistema de tratamiento tipo: laguna anaerobica profunda</t>
  </si>
  <si>
    <t>Cte_4D_CH4_Laguna anaerobia</t>
  </si>
  <si>
    <t>Factor de correccion para CH4. Sistema de tratamiento tipo: laguna anaerobica poco profunda</t>
  </si>
  <si>
    <t>Cte_4D_CH4_Reactor anaerobico</t>
  </si>
  <si>
    <t>Factor de correccion para CH4. Sistema de tratamiento tipo: reactor anaerobico</t>
  </si>
  <si>
    <t>Cte_4D_CH4_Digestor anaerobio lodos</t>
  </si>
  <si>
    <t>Factor de correccion para CH4. Sistema de tratamiento tipo: digestor anaerobico para lodos</t>
  </si>
  <si>
    <t>Cte_4D_CH4_Planta tratamiento centralizado</t>
  </si>
  <si>
    <t>Factor de correccion para CH4. Sistema de tratamiento tipo: planta de tratamiento centralizado aerobico</t>
  </si>
  <si>
    <t>Cte_4D_CH4_Cloaca en movimiento</t>
  </si>
  <si>
    <t>Factor de correccion para CH4. Sistema de tratamiento tipo: cloaca en movimiento (tambien tratamiento aerobico bien gestionado)</t>
  </si>
  <si>
    <t>Cte_4D_CH4_Cloaca estancada</t>
  </si>
  <si>
    <t>Factor de correccion para CH4. Sistema de tratamiento tipo: cloaca estancada</t>
  </si>
  <si>
    <t>Cte_4D_CH4_Eliminacion en cuerpo de agua</t>
  </si>
  <si>
    <t>Factor de correccion para CH4. Sistema de tratamiento tipo: eliminacion en rio, lago y mar</t>
  </si>
  <si>
    <t>CALCULO FACTOR DE EMISIÓN - MANEJO DE ESTIERCOL</t>
  </si>
  <si>
    <r>
      <t>CH</t>
    </r>
    <r>
      <rPr>
        <b/>
        <vertAlign val="subscript"/>
        <sz val="11"/>
        <color theme="1"/>
        <rFont val="Calibri"/>
        <family val="2"/>
        <scheme val="minor"/>
      </rPr>
      <t>4</t>
    </r>
  </si>
  <si>
    <r>
      <t>N</t>
    </r>
    <r>
      <rPr>
        <b/>
        <vertAlign val="subscript"/>
        <sz val="11"/>
        <color theme="1"/>
        <rFont val="Calibri"/>
        <family val="2"/>
        <scheme val="minor"/>
      </rPr>
      <t>2</t>
    </r>
    <r>
      <rPr>
        <b/>
        <sz val="11"/>
        <color theme="1"/>
        <rFont val="Calibri"/>
        <family val="2"/>
        <scheme val="minor"/>
      </rPr>
      <t>O</t>
    </r>
  </si>
  <si>
    <t>ExF</t>
  </si>
  <si>
    <t>GxHx44/28</t>
  </si>
  <si>
    <r>
      <t>FACTOR  DE EMISIÓN CH</t>
    </r>
    <r>
      <rPr>
        <vertAlign val="subscript"/>
        <sz val="11"/>
        <color theme="1"/>
        <rFont val="Calibri"/>
        <family val="2"/>
        <scheme val="minor"/>
      </rPr>
      <t>4</t>
    </r>
  </si>
  <si>
    <r>
      <t>FACTOR EMISIÓN CO</t>
    </r>
    <r>
      <rPr>
        <vertAlign val="subscript"/>
        <sz val="11"/>
        <color theme="1"/>
        <rFont val="Calibri"/>
        <family val="2"/>
        <scheme val="minor"/>
      </rPr>
      <t>2</t>
    </r>
    <r>
      <rPr>
        <sz val="11"/>
        <color theme="1"/>
        <rFont val="Calibri"/>
        <family val="2"/>
        <scheme val="minor"/>
      </rPr>
      <t xml:space="preserve"> e</t>
    </r>
  </si>
  <si>
    <r>
      <t>Factor de Emisión N</t>
    </r>
    <r>
      <rPr>
        <vertAlign val="subscript"/>
        <sz val="11"/>
        <color theme="1"/>
        <rFont val="Calibri"/>
        <family val="2"/>
        <scheme val="minor"/>
      </rPr>
      <t>2</t>
    </r>
    <r>
      <rPr>
        <sz val="11"/>
        <color theme="1"/>
        <rFont val="Calibri"/>
        <family val="2"/>
        <scheme val="minor"/>
      </rPr>
      <t>O</t>
    </r>
  </si>
  <si>
    <r>
      <t>Emisiones de N</t>
    </r>
    <r>
      <rPr>
        <vertAlign val="subscript"/>
        <sz val="11"/>
        <color theme="1"/>
        <rFont val="Calibri"/>
        <family val="2"/>
        <scheme val="minor"/>
      </rPr>
      <t>2</t>
    </r>
    <r>
      <rPr>
        <sz val="11"/>
        <color theme="1"/>
        <rFont val="Calibri"/>
        <family val="2"/>
        <scheme val="minor"/>
      </rPr>
      <t>O</t>
    </r>
  </si>
  <si>
    <r>
      <t>FACTRO DE EMISION CO</t>
    </r>
    <r>
      <rPr>
        <vertAlign val="subscript"/>
        <sz val="11"/>
        <color theme="1"/>
        <rFont val="Calibri"/>
        <family val="2"/>
        <scheme val="minor"/>
      </rPr>
      <t>2</t>
    </r>
    <r>
      <rPr>
        <sz val="11"/>
        <color theme="1"/>
        <rFont val="Calibri"/>
        <family val="2"/>
        <scheme val="minor"/>
      </rPr>
      <t xml:space="preserve"> e TOTAL</t>
    </r>
  </si>
  <si>
    <t>Ovejas - Clima Tempaldo</t>
  </si>
  <si>
    <t>Cerdos Almacenamiento Sólido y Parcelas Secas - Clima Tempaldo</t>
  </si>
  <si>
    <t>Cerdos Otros Sistemas de Manejo del Estiercol - Clima Frío</t>
  </si>
  <si>
    <t>Cerdos Otros Sistemas de Manejo del Estiercol - Clima Tempaldo</t>
  </si>
  <si>
    <t>Cerdos Otros Sistemas de Manejo del Estiercol - Clima Cálido</t>
  </si>
  <si>
    <r>
      <t>EMISIONES CO</t>
    </r>
    <r>
      <rPr>
        <b/>
        <vertAlign val="subscript"/>
        <sz val="11"/>
        <color theme="0"/>
        <rFont val="Century Gothic"/>
        <family val="1"/>
      </rPr>
      <t>2</t>
    </r>
    <r>
      <rPr>
        <b/>
        <sz val="11"/>
        <color theme="0"/>
        <rFont val="Century Gothic"/>
        <family val="1"/>
      </rPr>
      <t xml:space="preserve"> 
(t CO</t>
    </r>
    <r>
      <rPr>
        <b/>
        <vertAlign val="subscript"/>
        <sz val="11"/>
        <color theme="0"/>
        <rFont val="Century Gothic"/>
        <family val="1"/>
      </rPr>
      <t>2e</t>
    </r>
    <r>
      <rPr>
        <b/>
        <sz val="11"/>
        <color theme="0"/>
        <rFont val="Century Gothic"/>
        <family val="1"/>
      </rPr>
      <t>/año)</t>
    </r>
  </si>
  <si>
    <r>
      <t>EMISIONES CH</t>
    </r>
    <r>
      <rPr>
        <b/>
        <vertAlign val="subscript"/>
        <sz val="11"/>
        <color theme="0"/>
        <rFont val="Century Gothic"/>
        <family val="1"/>
      </rPr>
      <t>4</t>
    </r>
    <r>
      <rPr>
        <b/>
        <sz val="11"/>
        <color theme="0"/>
        <rFont val="Century Gothic"/>
        <family val="1"/>
      </rPr>
      <t xml:space="preserve"> 
(t CO</t>
    </r>
    <r>
      <rPr>
        <b/>
        <vertAlign val="subscript"/>
        <sz val="11"/>
        <color theme="0"/>
        <rFont val="Century Gothic"/>
        <family val="1"/>
      </rPr>
      <t>2</t>
    </r>
    <r>
      <rPr>
        <b/>
        <sz val="11"/>
        <color theme="0"/>
        <rFont val="Century Gothic"/>
        <family val="1"/>
      </rPr>
      <t>e/año)</t>
    </r>
  </si>
  <si>
    <t>PLANTILLA CALCULO EMISIONES POR AGUAS RESIDUALES DOMESTICAS - SECRETARIA DISTRITAL DE AMBIENTE (SDA)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</si>
</sst>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_(* \(#,##0.00\);_(* &quot;-&quot;??_);_(@_)"/>
    <numFmt numFmtId="165" formatCode="_ [$€-2]\ * #,##0.00_ ;_ [$€-2]\ * \-#,##0.00_ ;_ [$€-2]\ * &quot;-&quot;??_ "/>
    <numFmt numFmtId="166" formatCode="&quot;+/- &quot;0.0%"/>
    <numFmt numFmtId="167" formatCode="_(* #,##0.0_);_(* \(#,##0.0\);_(* &quot;-&quot;??_);_(@_)"/>
    <numFmt numFmtId="168" formatCode="0.000000"/>
    <numFmt numFmtId="169" formatCode="0.00000"/>
    <numFmt numFmtId="170" formatCode="0.000"/>
    <numFmt numFmtId="171" formatCode="&quot;+/- &quot;0.00%"/>
    <numFmt numFmtId="172" formatCode="0.0000"/>
    <numFmt numFmtId="173" formatCode="0.0000000"/>
    <numFmt numFmtId="174" formatCode="#,##0.0000"/>
  </numFmts>
  <fonts count="57"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14"/>
      <color theme="0"/>
      <name val="Calibri"/>
      <family val="2"/>
      <scheme val="minor"/>
    </font>
    <font>
      <u/>
      <sz val="11"/>
      <color theme="10"/>
      <name val="Calibri"/>
      <family val="2"/>
    </font>
    <font>
      <b/>
      <sz val="14"/>
      <color theme="1"/>
      <name val="Calibri"/>
      <family val="2"/>
      <scheme val="minor"/>
    </font>
    <font>
      <b/>
      <sz val="12"/>
      <color theme="1"/>
      <name val="Calibri"/>
      <family val="2"/>
      <scheme val="minor"/>
    </font>
    <font>
      <b/>
      <sz val="11"/>
      <name val="Calibri"/>
      <family val="2"/>
    </font>
    <font>
      <sz val="11"/>
      <color indexed="8"/>
      <name val="Calibri"/>
      <family val="2"/>
    </font>
    <font>
      <sz val="10"/>
      <name val="Arial"/>
      <family val="2"/>
    </font>
    <font>
      <u/>
      <sz val="10"/>
      <color indexed="12"/>
      <name val="MS Sans Serif"/>
      <family val="2"/>
    </font>
    <font>
      <sz val="10"/>
      <name val="MS Sans Serif"/>
      <family val="2"/>
    </font>
    <font>
      <sz val="11"/>
      <name val="Calibri"/>
      <family val="2"/>
      <scheme val="minor"/>
    </font>
    <font>
      <sz val="12"/>
      <color theme="1"/>
      <name val="Calibri"/>
      <family val="2"/>
      <scheme val="minor"/>
    </font>
    <font>
      <b/>
      <u/>
      <sz val="12"/>
      <color theme="10"/>
      <name val="Calibri"/>
      <family val="2"/>
    </font>
    <font>
      <vertAlign val="subscript"/>
      <sz val="11"/>
      <color theme="1"/>
      <name val="Calibri"/>
      <family val="2"/>
      <scheme val="minor"/>
    </font>
    <font>
      <b/>
      <vertAlign val="subscript"/>
      <sz val="11"/>
      <color theme="1"/>
      <name val="Calibri"/>
      <family val="2"/>
      <scheme val="minor"/>
    </font>
    <font>
      <sz val="11"/>
      <color theme="1"/>
      <name val="Century Gothic"/>
      <family val="2"/>
    </font>
    <font>
      <sz val="11"/>
      <color theme="0"/>
      <name val="Century Gothic"/>
      <family val="2"/>
    </font>
    <font>
      <sz val="11"/>
      <name val="Century Gothic"/>
      <family val="2"/>
    </font>
    <font>
      <sz val="11"/>
      <color rgb="FFFF0000"/>
      <name val="Century Gothic"/>
      <family val="2"/>
    </font>
    <font>
      <b/>
      <sz val="11"/>
      <color theme="1"/>
      <name val="Century Gothic"/>
      <family val="2"/>
    </font>
    <font>
      <b/>
      <sz val="11"/>
      <color theme="0"/>
      <name val="Century Gothic"/>
      <family val="2"/>
    </font>
    <font>
      <u/>
      <sz val="11"/>
      <color theme="10"/>
      <name val="Century Gothic"/>
      <family val="2"/>
    </font>
    <font>
      <b/>
      <sz val="11"/>
      <name val="Century Gothic"/>
      <family val="2"/>
    </font>
    <font>
      <sz val="11"/>
      <color rgb="FF000000"/>
      <name val="Century Gothic"/>
      <family val="2"/>
    </font>
    <font>
      <sz val="11"/>
      <color indexed="8"/>
      <name val="Century Gothic"/>
      <family val="2"/>
    </font>
    <font>
      <vertAlign val="subscript"/>
      <sz val="11"/>
      <name val="Century Gothic"/>
      <family val="2"/>
    </font>
    <font>
      <u/>
      <sz val="11"/>
      <name val="Century Gothic"/>
      <family val="2"/>
    </font>
    <font>
      <vertAlign val="subscript"/>
      <sz val="11"/>
      <color theme="0"/>
      <name val="Century Gothic"/>
      <family val="2"/>
    </font>
    <font>
      <vertAlign val="superscript"/>
      <sz val="11"/>
      <name val="Century Gothic"/>
      <family val="2"/>
    </font>
    <font>
      <sz val="11"/>
      <name val="Century Gothic"/>
      <family val="1"/>
    </font>
    <font>
      <sz val="10"/>
      <color theme="1"/>
      <name val="Arial"/>
      <family val="2"/>
    </font>
    <font>
      <vertAlign val="subscript"/>
      <sz val="10"/>
      <color theme="1"/>
      <name val="Arial"/>
      <family val="2"/>
    </font>
    <font>
      <sz val="11"/>
      <color theme="1"/>
      <name val="Calibri"/>
      <family val="2"/>
    </font>
    <font>
      <b/>
      <sz val="11"/>
      <color theme="1"/>
      <name val="Century Gothic"/>
      <family val="1"/>
    </font>
    <font>
      <b/>
      <sz val="11"/>
      <name val="Century Gothic"/>
      <family val="1"/>
    </font>
    <font>
      <b/>
      <sz val="11"/>
      <color theme="1"/>
      <name val="Calibri"/>
      <family val="2"/>
    </font>
    <font>
      <sz val="11"/>
      <color theme="1"/>
      <name val="Century Gothic"/>
      <family val="1"/>
    </font>
    <font>
      <sz val="11"/>
      <color theme="0"/>
      <name val="Century Gothic"/>
      <family val="1"/>
    </font>
    <font>
      <sz val="11"/>
      <color rgb="FFFF0000"/>
      <name val="Century Gothic"/>
      <family val="1"/>
    </font>
    <font>
      <u/>
      <sz val="11"/>
      <color theme="10"/>
      <name val="Century Gothic"/>
      <family val="1"/>
    </font>
    <font>
      <b/>
      <sz val="11"/>
      <color theme="0"/>
      <name val="Century Gothic"/>
      <family val="1"/>
    </font>
    <font>
      <b/>
      <sz val="11"/>
      <color rgb="FFFF0000"/>
      <name val="Century Gothic"/>
      <family val="1"/>
    </font>
    <font>
      <vertAlign val="subscript"/>
      <sz val="11"/>
      <name val="Century Gothic"/>
      <family val="1"/>
    </font>
    <font>
      <sz val="11"/>
      <color rgb="FF000000"/>
      <name val="Century Gothic"/>
      <family val="1"/>
    </font>
    <font>
      <vertAlign val="superscript"/>
      <sz val="11"/>
      <name val="Century Gothic"/>
      <family val="1"/>
    </font>
    <font>
      <b/>
      <vertAlign val="subscript"/>
      <sz val="11"/>
      <color theme="0"/>
      <name val="Century Gothic"/>
      <family val="1"/>
    </font>
    <font>
      <b/>
      <sz val="22"/>
      <color rgb="FFFF0000"/>
      <name val="Calibri"/>
      <family val="2"/>
      <scheme val="minor"/>
    </font>
    <font>
      <b/>
      <sz val="11"/>
      <color rgb="FFFF0000"/>
      <name val="Calibri"/>
      <family val="2"/>
    </font>
    <font>
      <sz val="11"/>
      <name val="Arial"/>
      <family val="2"/>
    </font>
    <font>
      <b/>
      <sz val="11"/>
      <color rgb="FF7F7F7F"/>
      <name val="Calibri"/>
      <family val="2"/>
    </font>
    <font>
      <sz val="11"/>
      <color rgb="FFA5A5A5"/>
      <name val="Calibri"/>
      <family val="2"/>
    </font>
    <font>
      <b/>
      <sz val="11"/>
      <color rgb="FFA5A5A5"/>
      <name val="Calibri"/>
      <family val="2"/>
    </font>
    <font>
      <vertAlign val="subscript"/>
      <sz val="11"/>
      <color theme="1"/>
      <name val="Century Gothic"/>
      <family val="2"/>
    </font>
    <font>
      <vertAlign val="superscript"/>
      <sz val="11"/>
      <color theme="1"/>
      <name val="Century Gothic"/>
      <family val="2"/>
    </font>
  </fonts>
  <fills count="28">
    <fill>
      <patternFill patternType="none"/>
    </fill>
    <fill>
      <patternFill patternType="gray125"/>
    </fill>
    <fill>
      <patternFill patternType="solid">
        <fgColor rgb="FF007C3E"/>
        <bgColor indexed="64"/>
      </patternFill>
    </fill>
    <fill>
      <patternFill patternType="solid">
        <fgColor theme="6" tint="0.79998168889431442"/>
        <bgColor indexed="64"/>
      </patternFill>
    </fill>
    <fill>
      <patternFill patternType="solid">
        <fgColor theme="2" tint="-0.24994659260841701"/>
        <bgColor indexed="64"/>
      </patternFill>
    </fill>
    <fill>
      <patternFill patternType="solid">
        <fgColor theme="0"/>
        <bgColor indexed="64"/>
      </patternFill>
    </fill>
    <fill>
      <patternFill patternType="solid">
        <fgColor theme="2" tint="-0.499984740745262"/>
        <bgColor indexed="64"/>
      </patternFill>
    </fill>
    <fill>
      <patternFill patternType="solid">
        <fgColor theme="2"/>
        <bgColor indexed="64"/>
      </patternFill>
    </fill>
    <fill>
      <patternFill patternType="solid">
        <fgColor rgb="FFFFFF00"/>
        <bgColor indexed="64"/>
      </patternFill>
    </fill>
    <fill>
      <patternFill patternType="solid">
        <fgColor theme="3" tint="0.39994506668294322"/>
        <bgColor indexed="64"/>
      </patternFill>
    </fill>
    <fill>
      <patternFill patternType="solid">
        <fgColor theme="3" tint="0.59996337778862885"/>
        <bgColor indexed="64"/>
      </patternFill>
    </fill>
    <fill>
      <patternFill patternType="solid">
        <fgColor theme="4" tint="0.79998168889431442"/>
        <bgColor indexed="64"/>
      </patternFill>
    </fill>
    <fill>
      <patternFill patternType="solid">
        <fgColor theme="4" tint="-0.499984740745262"/>
        <bgColor indexed="64"/>
      </patternFill>
    </fill>
    <fill>
      <patternFill patternType="solid">
        <fgColor theme="3" tint="0.79998168889431442"/>
        <bgColor indexed="64"/>
      </patternFill>
    </fill>
    <fill>
      <patternFill patternType="solid">
        <fgColor rgb="FFFFFFFF"/>
        <bgColor indexed="64"/>
      </patternFill>
    </fill>
    <fill>
      <patternFill patternType="solid">
        <fgColor theme="3" tint="-0.249977111117893"/>
        <bgColor indexed="64"/>
      </patternFill>
    </fill>
    <fill>
      <patternFill patternType="solid">
        <fgColor rgb="FFC6D9F0"/>
        <bgColor rgb="FFC6D9F0"/>
      </patternFill>
    </fill>
    <fill>
      <patternFill patternType="solid">
        <fgColor theme="3" tint="0.79998168889431442"/>
        <bgColor rgb="FF8DB3E2"/>
      </patternFill>
    </fill>
    <fill>
      <patternFill patternType="solid">
        <fgColor theme="3" tint="0.59999389629810485"/>
        <bgColor indexed="64"/>
      </patternFill>
    </fill>
    <fill>
      <patternFill patternType="solid">
        <fgColor rgb="FFB2A1C7"/>
        <bgColor rgb="FFB2A1C7"/>
      </patternFill>
    </fill>
    <fill>
      <patternFill patternType="solid">
        <fgColor rgb="FFE5DFEC"/>
        <bgColor rgb="FFE5DFEC"/>
      </patternFill>
    </fill>
    <fill>
      <patternFill patternType="solid">
        <fgColor rgb="FFC4BD97"/>
        <bgColor rgb="FFC4BD97"/>
      </patternFill>
    </fill>
    <fill>
      <patternFill patternType="solid">
        <fgColor rgb="FFBFBFBF"/>
        <bgColor rgb="FFBFBFBF"/>
      </patternFill>
    </fill>
    <fill>
      <patternFill patternType="solid">
        <fgColor rgb="FFF2F2F2"/>
        <bgColor rgb="FFF2F2F2"/>
      </patternFill>
    </fill>
    <fill>
      <patternFill patternType="solid">
        <fgColor rgb="FF92D050"/>
        <bgColor indexed="64"/>
      </patternFill>
    </fill>
    <fill>
      <patternFill patternType="solid">
        <fgColor theme="4" tint="0.59999389629810485"/>
        <bgColor indexed="64"/>
      </patternFill>
    </fill>
    <fill>
      <patternFill patternType="solid">
        <fgColor theme="3" tint="0.39997558519241921"/>
        <bgColor indexed="64"/>
      </patternFill>
    </fill>
    <fill>
      <patternFill patternType="solid">
        <fgColor theme="3" tint="-0.499984740745262"/>
        <bgColor indexed="64"/>
      </patternFill>
    </fill>
  </fills>
  <borders count="97">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double">
        <color rgb="FF007C3E"/>
      </left>
      <right style="thin">
        <color rgb="FF007C3E"/>
      </right>
      <top style="thin">
        <color theme="0"/>
      </top>
      <bottom style="thin">
        <color theme="0"/>
      </bottom>
      <diagonal/>
    </border>
    <border>
      <left style="thin">
        <color rgb="FF007C3E"/>
      </left>
      <right style="thin">
        <color rgb="FF007C3E"/>
      </right>
      <top style="thin">
        <color theme="0"/>
      </top>
      <bottom style="thin">
        <color theme="0"/>
      </bottom>
      <diagonal/>
    </border>
    <border>
      <left style="double">
        <color rgb="FF007C3E"/>
      </left>
      <right style="thin">
        <color rgb="FF007C3E"/>
      </right>
      <top style="thin">
        <color theme="0"/>
      </top>
      <bottom style="double">
        <color rgb="FF007C3E"/>
      </bottom>
      <diagonal/>
    </border>
    <border>
      <left style="thin">
        <color rgb="FF007C3E"/>
      </left>
      <right style="thin">
        <color rgb="FF007C3E"/>
      </right>
      <top style="thin">
        <color theme="0"/>
      </top>
      <bottom style="double">
        <color rgb="FF007C3E"/>
      </bottom>
      <diagonal/>
    </border>
    <border>
      <left style="medium">
        <color theme="2" tint="-0.749961851863155"/>
      </left>
      <right/>
      <top style="medium">
        <color theme="2" tint="-0.749961851863155"/>
      </top>
      <bottom style="medium">
        <color theme="2" tint="-0.749961851863155"/>
      </bottom>
      <diagonal/>
    </border>
    <border>
      <left/>
      <right style="medium">
        <color theme="2" tint="-0.749961851863155"/>
      </right>
      <top style="medium">
        <color theme="2" tint="-0.749961851863155"/>
      </top>
      <bottom style="medium">
        <color theme="2" tint="-0.749961851863155"/>
      </bottom>
      <diagonal/>
    </border>
    <border>
      <left style="thin">
        <color indexed="64"/>
      </left>
      <right style="thin">
        <color rgb="FFCE053C"/>
      </right>
      <top style="thin">
        <color indexed="64"/>
      </top>
      <bottom style="thin">
        <color indexed="64"/>
      </bottom>
      <diagonal/>
    </border>
    <border>
      <left style="thin">
        <color rgb="FFCE053C"/>
      </left>
      <right style="thin">
        <color rgb="FFCE053C"/>
      </right>
      <top style="thin">
        <color indexed="64"/>
      </top>
      <bottom style="thin">
        <color indexed="64"/>
      </bottom>
      <diagonal/>
    </border>
    <border>
      <left style="thin">
        <color rgb="FFCE053C"/>
      </left>
      <right style="thin">
        <color indexed="64"/>
      </right>
      <top style="thin">
        <color indexed="64"/>
      </top>
      <bottom style="thin">
        <color indexed="64"/>
      </bottom>
      <diagonal/>
    </border>
    <border>
      <left style="double">
        <color rgb="FF007C3E"/>
      </left>
      <right/>
      <top style="double">
        <color rgb="FF007C3E"/>
      </top>
      <bottom style="double">
        <color rgb="FF007C3E"/>
      </bottom>
      <diagonal/>
    </border>
    <border>
      <left/>
      <right/>
      <top style="double">
        <color rgb="FF007C3E"/>
      </top>
      <bottom style="double">
        <color rgb="FF007C3E"/>
      </bottom>
      <diagonal/>
    </border>
    <border>
      <left/>
      <right style="thin">
        <color rgb="FF007C3E"/>
      </right>
      <top style="double">
        <color rgb="FF007C3E"/>
      </top>
      <bottom style="double">
        <color rgb="FF007C3E"/>
      </bottom>
      <diagonal/>
    </border>
    <border>
      <left style="medium">
        <color theme="1"/>
      </left>
      <right/>
      <top style="medium">
        <color theme="1"/>
      </top>
      <bottom/>
      <diagonal/>
    </border>
    <border>
      <left/>
      <right/>
      <top style="medium">
        <color theme="1"/>
      </top>
      <bottom/>
      <diagonal/>
    </border>
    <border>
      <left/>
      <right style="medium">
        <color theme="1"/>
      </right>
      <top style="medium">
        <color theme="1"/>
      </top>
      <bottom/>
      <diagonal/>
    </border>
    <border>
      <left/>
      <right/>
      <top style="double">
        <color rgb="FF007C3E"/>
      </top>
      <bottom style="medium">
        <color rgb="FF007C3E"/>
      </bottom>
      <diagonal/>
    </border>
    <border>
      <left/>
      <right style="double">
        <color rgb="FF007C3E"/>
      </right>
      <top style="double">
        <color rgb="FF007C3E"/>
      </top>
      <bottom style="medium">
        <color rgb="FF007C3E"/>
      </bottom>
      <diagonal/>
    </border>
    <border>
      <left style="double">
        <color rgb="FF007C3E"/>
      </left>
      <right/>
      <top style="thin">
        <color theme="0"/>
      </top>
      <bottom style="thin">
        <color theme="0"/>
      </bottom>
      <diagonal/>
    </border>
    <border>
      <left/>
      <right style="thin">
        <color rgb="FF007C3E"/>
      </right>
      <top style="thin">
        <color theme="0"/>
      </top>
      <bottom style="thin">
        <color theme="0"/>
      </bottom>
      <diagonal/>
    </border>
    <border>
      <left style="thin">
        <color rgb="FF007C3E"/>
      </left>
      <right/>
      <top/>
      <bottom/>
      <diagonal/>
    </border>
    <border>
      <left style="thin">
        <color rgb="FF007C3E"/>
      </left>
      <right/>
      <top style="double">
        <color rgb="FF007C3E"/>
      </top>
      <bottom style="double">
        <color rgb="FF007C3E"/>
      </bottom>
      <diagonal/>
    </border>
    <border>
      <left style="double">
        <color rgb="FF007C3E"/>
      </left>
      <right/>
      <top style="thin">
        <color theme="0"/>
      </top>
      <bottom/>
      <diagonal/>
    </border>
    <border>
      <left/>
      <right style="thin">
        <color rgb="FF007C3E"/>
      </right>
      <top style="thin">
        <color theme="0"/>
      </top>
      <bottom/>
      <diagonal/>
    </border>
    <border>
      <left style="double">
        <color rgb="FF007C3E"/>
      </left>
      <right/>
      <top/>
      <bottom/>
      <diagonal/>
    </border>
    <border>
      <left style="double">
        <color rgb="FF007C3E"/>
      </left>
      <right/>
      <top/>
      <bottom style="thin">
        <color theme="0"/>
      </bottom>
      <diagonal/>
    </border>
    <border>
      <left/>
      <right style="thin">
        <color rgb="FF007C3E"/>
      </right>
      <top/>
      <bottom style="thin">
        <color theme="0"/>
      </bottom>
      <diagonal/>
    </border>
    <border>
      <left/>
      <right style="double">
        <color rgb="FF007C3E"/>
      </right>
      <top style="double">
        <color rgb="FF007C3E"/>
      </top>
      <bottom style="double">
        <color rgb="FF007C3E"/>
      </bottom>
      <diagonal/>
    </border>
    <border>
      <left style="thin">
        <color rgb="FF007C3E"/>
      </left>
      <right/>
      <top/>
      <bottom style="double">
        <color rgb="FF007C3E"/>
      </bottom>
      <diagonal/>
    </border>
    <border>
      <left/>
      <right/>
      <top/>
      <bottom style="double">
        <color rgb="FF007C3E"/>
      </bottom>
      <diagonal/>
    </border>
    <border>
      <left/>
      <right style="double">
        <color rgb="FF007C3E"/>
      </right>
      <top/>
      <bottom style="double">
        <color rgb="FF007C3E"/>
      </bottom>
      <diagonal/>
    </border>
    <border>
      <left style="thin">
        <color rgb="FF007C3E"/>
      </left>
      <right/>
      <top style="double">
        <color rgb="FF007C3E"/>
      </top>
      <bottom/>
      <diagonal/>
    </border>
    <border>
      <left/>
      <right/>
      <top style="double">
        <color rgb="FF007C3E"/>
      </top>
      <bottom/>
      <diagonal/>
    </border>
    <border>
      <left/>
      <right style="double">
        <color rgb="FF007C3E"/>
      </right>
      <top style="double">
        <color rgb="FF007C3E"/>
      </top>
      <bottom/>
      <diagonal/>
    </border>
    <border>
      <left/>
      <right style="thin">
        <color rgb="FF007C3E"/>
      </right>
      <top/>
      <bottom/>
      <diagonal/>
    </border>
    <border>
      <left style="double">
        <color rgb="FF007C3E"/>
      </left>
      <right/>
      <top style="double">
        <color rgb="FF007C3E"/>
      </top>
      <bottom style="thin">
        <color theme="0"/>
      </bottom>
      <diagonal/>
    </border>
    <border>
      <left/>
      <right style="thin">
        <color rgb="FF007C3E"/>
      </right>
      <top style="double">
        <color rgb="FF007C3E"/>
      </top>
      <bottom style="thin">
        <color theme="0"/>
      </bottom>
      <diagonal/>
    </border>
    <border>
      <left style="thin">
        <color indexed="64"/>
      </left>
      <right style="thin">
        <color indexed="64"/>
      </right>
      <top/>
      <bottom style="thin">
        <color indexed="64"/>
      </bottom>
      <diagonal/>
    </border>
    <border>
      <left/>
      <right/>
      <top style="double">
        <color theme="6" tint="-0.24994659260841701"/>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style="medium">
        <color indexed="64"/>
      </top>
      <bottom/>
      <diagonal/>
    </border>
    <border>
      <left style="thin">
        <color indexed="64"/>
      </left>
      <right style="thin">
        <color indexed="64"/>
      </right>
      <top/>
      <bottom style="medium">
        <color indexed="64"/>
      </bottom>
      <diagonal/>
    </border>
    <border>
      <left/>
      <right style="medium">
        <color indexed="64"/>
      </right>
      <top style="thin">
        <color indexed="64"/>
      </top>
      <bottom style="medium">
        <color indexed="64"/>
      </bottom>
      <diagonal/>
    </border>
    <border>
      <left style="thin">
        <color theme="2" tint="-0.89996032593768116"/>
      </left>
      <right/>
      <top style="thin">
        <color theme="2" tint="-0.89996032593768116"/>
      </top>
      <bottom style="thin">
        <color theme="2" tint="-0.89996032593768116"/>
      </bottom>
      <diagonal/>
    </border>
    <border>
      <left style="thin">
        <color theme="2" tint="-0.89996032593768116"/>
      </left>
      <right style="thin">
        <color theme="2" tint="-0.89996032593768116"/>
      </right>
      <top style="thin">
        <color theme="2" tint="-0.89996032593768116"/>
      </top>
      <bottom style="thin">
        <color theme="2" tint="-0.89996032593768116"/>
      </bottom>
      <diagonal/>
    </border>
    <border>
      <left style="thin">
        <color indexed="64"/>
      </left>
      <right style="thin">
        <color indexed="64"/>
      </right>
      <top style="thin">
        <color indexed="64"/>
      </top>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rgb="FFCE053C"/>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style="medium">
        <color indexed="64"/>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top style="thin">
        <color indexed="64"/>
      </top>
      <bottom style="thin">
        <color indexed="64"/>
      </bottom>
      <diagonal/>
    </border>
    <border>
      <left/>
      <right style="medium">
        <color indexed="64"/>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medium">
        <color indexed="64"/>
      </right>
      <top style="medium">
        <color indexed="64"/>
      </top>
      <bottom/>
      <diagonal/>
    </border>
    <border>
      <left style="medium">
        <color indexed="64"/>
      </left>
      <right style="medium">
        <color indexed="64"/>
      </right>
      <top/>
      <bottom/>
      <diagonal/>
    </border>
  </borders>
  <cellStyleXfs count="17">
    <xf numFmtId="0" fontId="0" fillId="0" borderId="0"/>
    <xf numFmtId="0" fontId="5" fillId="0" borderId="0" applyNumberFormat="0" applyFill="0" applyBorder="0" applyAlignment="0" applyProtection="0">
      <alignment vertical="top"/>
      <protection locked="0"/>
    </xf>
    <xf numFmtId="165" fontId="10" fillId="0" borderId="0" applyFont="0" applyFill="0" applyBorder="0" applyAlignment="0" applyProtection="0"/>
    <xf numFmtId="0" fontId="11" fillId="0" borderId="0" applyNumberFormat="0" applyFill="0" applyBorder="0" applyAlignment="0" applyProtection="0"/>
    <xf numFmtId="164" fontId="10" fillId="0" borderId="0" applyFont="0" applyFill="0" applyBorder="0" applyAlignment="0" applyProtection="0"/>
    <xf numFmtId="0" fontId="12" fillId="0" borderId="0"/>
    <xf numFmtId="0" fontId="10" fillId="0" borderId="0"/>
    <xf numFmtId="0" fontId="1" fillId="0" borderId="0"/>
    <xf numFmtId="0" fontId="10" fillId="0" borderId="0"/>
    <xf numFmtId="0" fontId="10" fillId="0" borderId="0"/>
    <xf numFmtId="0" fontId="10" fillId="0" borderId="0"/>
    <xf numFmtId="0" fontId="10" fillId="0" borderId="0"/>
    <xf numFmtId="9" fontId="9"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9" fillId="0" borderId="0"/>
    <xf numFmtId="164" fontId="9" fillId="0" borderId="0" applyFont="0" applyFill="0" applyBorder="0" applyAlignment="0" applyProtection="0"/>
  </cellStyleXfs>
  <cellXfs count="686">
    <xf numFmtId="0" fontId="0" fillId="0" borderId="0" xfId="0"/>
    <xf numFmtId="0" fontId="0" fillId="5" borderId="0" xfId="0" applyFill="1"/>
    <xf numFmtId="0" fontId="0" fillId="6" borderId="18" xfId="0" applyFill="1" applyBorder="1"/>
    <xf numFmtId="0" fontId="0" fillId="6" borderId="20" xfId="0" applyFill="1" applyBorder="1"/>
    <xf numFmtId="0" fontId="0" fillId="5" borderId="1" xfId="0" applyFill="1" applyBorder="1"/>
    <xf numFmtId="0" fontId="0" fillId="5" borderId="0" xfId="0" applyFill="1" applyAlignment="1">
      <alignment horizontal="justify" vertical="center" wrapText="1"/>
    </xf>
    <xf numFmtId="0" fontId="0" fillId="5" borderId="2" xfId="0" applyFill="1" applyBorder="1"/>
    <xf numFmtId="0" fontId="0" fillId="5" borderId="3" xfId="0" applyFill="1" applyBorder="1"/>
    <xf numFmtId="0" fontId="0" fillId="5" borderId="5" xfId="0" applyFill="1" applyBorder="1" applyAlignment="1">
      <alignment horizontal="justify" vertical="center" wrapText="1"/>
    </xf>
    <xf numFmtId="0" fontId="0" fillId="5" borderId="4" xfId="0" applyFill="1" applyBorder="1"/>
    <xf numFmtId="0" fontId="3" fillId="5" borderId="0" xfId="0" applyFont="1" applyFill="1" applyAlignment="1">
      <alignment wrapText="1"/>
    </xf>
    <xf numFmtId="0" fontId="0" fillId="6" borderId="18" xfId="0" applyFill="1" applyBorder="1" applyAlignment="1">
      <alignment wrapText="1"/>
    </xf>
    <xf numFmtId="0" fontId="7" fillId="5" borderId="0" xfId="0" applyFont="1" applyFill="1" applyAlignment="1">
      <alignment vertical="center" wrapText="1"/>
    </xf>
    <xf numFmtId="0" fontId="6" fillId="5" borderId="0" xfId="0" applyFont="1" applyFill="1" applyAlignment="1">
      <alignment horizontal="center" vertical="center" wrapText="1"/>
    </xf>
    <xf numFmtId="0" fontId="0" fillId="7" borderId="0" xfId="0" applyFill="1"/>
    <xf numFmtId="0" fontId="8" fillId="7" borderId="0" xfId="1" applyFont="1" applyFill="1" applyBorder="1" applyAlignment="1" applyProtection="1">
      <alignment horizontal="center" vertical="center" wrapText="1"/>
    </xf>
    <xf numFmtId="0" fontId="0" fillId="7" borderId="0" xfId="0" applyFill="1" applyAlignment="1">
      <alignment horizontal="left" vertical="center" wrapText="1"/>
    </xf>
    <xf numFmtId="0" fontId="0" fillId="5" borderId="43" xfId="0" applyFill="1" applyBorder="1"/>
    <xf numFmtId="0" fontId="0" fillId="0" borderId="0" xfId="0" applyAlignment="1">
      <alignment vertical="center" wrapText="1"/>
    </xf>
    <xf numFmtId="2" fontId="0" fillId="0" borderId="0" xfId="0" applyNumberFormat="1"/>
    <xf numFmtId="164" fontId="0" fillId="0" borderId="0" xfId="13" applyFont="1"/>
    <xf numFmtId="167" fontId="0" fillId="0" borderId="0" xfId="0" applyNumberFormat="1"/>
    <xf numFmtId="0" fontId="0" fillId="0" borderId="0" xfId="0" applyAlignment="1">
      <alignment wrapText="1"/>
    </xf>
    <xf numFmtId="0" fontId="3" fillId="0" borderId="0" xfId="0" applyFont="1"/>
    <xf numFmtId="0" fontId="0" fillId="5" borderId="73" xfId="0" applyFill="1" applyBorder="1"/>
    <xf numFmtId="0" fontId="0" fillId="5" borderId="75" xfId="0" applyFill="1" applyBorder="1"/>
    <xf numFmtId="0" fontId="3" fillId="5" borderId="0" xfId="0" applyFont="1" applyFill="1" applyAlignment="1">
      <alignment horizontal="center" vertical="center" wrapText="1"/>
    </xf>
    <xf numFmtId="0" fontId="0" fillId="0" borderId="0" xfId="0" applyAlignment="1">
      <alignment horizontal="center" vertical="center" wrapText="1"/>
    </xf>
    <xf numFmtId="0" fontId="3" fillId="0" borderId="0" xfId="0" applyFont="1" applyAlignment="1">
      <alignment horizontal="center" vertical="center"/>
    </xf>
    <xf numFmtId="0" fontId="0" fillId="0" borderId="0" xfId="0" applyAlignment="1">
      <alignment horizontal="center" vertical="center"/>
    </xf>
    <xf numFmtId="0" fontId="18" fillId="0" borderId="0" xfId="0" applyFont="1"/>
    <xf numFmtId="10" fontId="18" fillId="0" borderId="0" xfId="0" applyNumberFormat="1" applyFont="1"/>
    <xf numFmtId="2" fontId="18" fillId="0" borderId="0" xfId="0" applyNumberFormat="1" applyFont="1"/>
    <xf numFmtId="169" fontId="18" fillId="0" borderId="0" xfId="0" applyNumberFormat="1" applyFont="1"/>
    <xf numFmtId="168" fontId="18" fillId="0" borderId="0" xfId="0" applyNumberFormat="1" applyFont="1"/>
    <xf numFmtId="0" fontId="19" fillId="5" borderId="0" xfId="0" applyFont="1" applyFill="1"/>
    <xf numFmtId="0" fontId="20" fillId="0" borderId="0" xfId="0" applyFont="1"/>
    <xf numFmtId="0" fontId="20" fillId="0" borderId="0" xfId="0" applyFont="1" applyAlignment="1">
      <alignment horizontal="center"/>
    </xf>
    <xf numFmtId="10" fontId="20" fillId="0" borderId="0" xfId="0" applyNumberFormat="1" applyFont="1" applyAlignment="1">
      <alignment horizontal="center"/>
    </xf>
    <xf numFmtId="0" fontId="20" fillId="0" borderId="0" xfId="0" applyFont="1" applyAlignment="1">
      <alignment horizontal="center" vertical="center"/>
    </xf>
    <xf numFmtId="0" fontId="19" fillId="0" borderId="0" xfId="0" applyFont="1" applyAlignment="1">
      <alignment horizontal="center" vertical="center"/>
    </xf>
    <xf numFmtId="10" fontId="19" fillId="0" borderId="0" xfId="0" applyNumberFormat="1" applyFont="1"/>
    <xf numFmtId="0" fontId="19" fillId="0" borderId="0" xfId="0" applyFont="1"/>
    <xf numFmtId="0" fontId="21" fillId="0" borderId="0" xfId="0" applyFont="1"/>
    <xf numFmtId="0" fontId="18" fillId="5" borderId="0" xfId="0" applyFont="1" applyFill="1"/>
    <xf numFmtId="4" fontId="18" fillId="5" borderId="0" xfId="0" applyNumberFormat="1" applyFont="1" applyFill="1"/>
    <xf numFmtId="1" fontId="18" fillId="5" borderId="0" xfId="0" applyNumberFormat="1" applyFont="1" applyFill="1"/>
    <xf numFmtId="10" fontId="18" fillId="5" borderId="0" xfId="0" applyNumberFormat="1" applyFont="1" applyFill="1"/>
    <xf numFmtId="2" fontId="18" fillId="5" borderId="0" xfId="0" applyNumberFormat="1" applyFont="1" applyFill="1"/>
    <xf numFmtId="169" fontId="18" fillId="5" borderId="0" xfId="0" applyNumberFormat="1" applyFont="1" applyFill="1"/>
    <xf numFmtId="168" fontId="18" fillId="5" borderId="0" xfId="0" applyNumberFormat="1" applyFont="1" applyFill="1"/>
    <xf numFmtId="4" fontId="22" fillId="5" borderId="0" xfId="0" applyNumberFormat="1" applyFont="1" applyFill="1" applyAlignment="1">
      <alignment horizontal="center" vertical="center" wrapText="1"/>
    </xf>
    <xf numFmtId="10" fontId="22" fillId="5" borderId="0" xfId="0" applyNumberFormat="1" applyFont="1" applyFill="1" applyAlignment="1">
      <alignment horizontal="center" vertical="center" wrapText="1"/>
    </xf>
    <xf numFmtId="0" fontId="20" fillId="5" borderId="0" xfId="0" applyFont="1" applyFill="1"/>
    <xf numFmtId="0" fontId="20" fillId="5" borderId="0" xfId="0" applyFont="1" applyFill="1" applyAlignment="1">
      <alignment horizontal="center"/>
    </xf>
    <xf numFmtId="10" fontId="20" fillId="5" borderId="0" xfId="0" applyNumberFormat="1" applyFont="1" applyFill="1" applyAlignment="1">
      <alignment horizontal="center"/>
    </xf>
    <xf numFmtId="0" fontId="20" fillId="5" borderId="0" xfId="0" applyFont="1" applyFill="1" applyAlignment="1">
      <alignment horizontal="center" vertical="center"/>
    </xf>
    <xf numFmtId="0" fontId="19" fillId="5" borderId="0" xfId="0" applyFont="1" applyFill="1" applyAlignment="1">
      <alignment horizontal="center" vertical="center"/>
    </xf>
    <xf numFmtId="10" fontId="19" fillId="5" borderId="0" xfId="0" applyNumberFormat="1" applyFont="1" applyFill="1"/>
    <xf numFmtId="0" fontId="21" fillId="5" borderId="0" xfId="0" applyFont="1" applyFill="1"/>
    <xf numFmtId="0" fontId="23" fillId="0" borderId="0" xfId="0" applyFont="1" applyAlignment="1">
      <alignment vertical="center"/>
    </xf>
    <xf numFmtId="0" fontId="18" fillId="0" borderId="70" xfId="0" applyFont="1" applyBorder="1" applyAlignment="1" applyProtection="1">
      <alignment vertical="center"/>
      <protection locked="0"/>
    </xf>
    <xf numFmtId="0" fontId="18" fillId="0" borderId="0" xfId="0" applyFont="1" applyAlignment="1" applyProtection="1">
      <alignment vertical="center"/>
      <protection locked="0"/>
    </xf>
    <xf numFmtId="0" fontId="18" fillId="0" borderId="0" xfId="0" applyFont="1" applyAlignment="1" applyProtection="1">
      <alignment horizontal="center" vertical="center"/>
      <protection locked="0"/>
    </xf>
    <xf numFmtId="0" fontId="24" fillId="0" borderId="70" xfId="1" applyFont="1" applyFill="1" applyBorder="1" applyAlignment="1" applyProtection="1">
      <alignment vertical="center"/>
      <protection locked="0"/>
    </xf>
    <xf numFmtId="0" fontId="24" fillId="0" borderId="0" xfId="1" applyFont="1" applyFill="1" applyBorder="1" applyAlignment="1" applyProtection="1">
      <alignment vertical="center"/>
      <protection locked="0"/>
    </xf>
    <xf numFmtId="0" fontId="25" fillId="0" borderId="0" xfId="0" applyFont="1" applyAlignment="1">
      <alignment horizontal="center" vertical="center"/>
    </xf>
    <xf numFmtId="0" fontId="22" fillId="5" borderId="0" xfId="0" applyFont="1" applyFill="1" applyAlignment="1">
      <alignment vertical="center"/>
    </xf>
    <xf numFmtId="0" fontId="18" fillId="5" borderId="0" xfId="0" applyFont="1" applyFill="1" applyAlignment="1">
      <alignment horizontal="justify" vertical="center"/>
    </xf>
    <xf numFmtId="4" fontId="18" fillId="5" borderId="0" xfId="0" applyNumberFormat="1" applyFont="1" applyFill="1" applyAlignment="1">
      <alignment horizontal="justify" vertical="center"/>
    </xf>
    <xf numFmtId="1" fontId="18" fillId="5" borderId="0" xfId="0" applyNumberFormat="1" applyFont="1" applyFill="1" applyAlignment="1">
      <alignment horizontal="justify" vertical="center"/>
    </xf>
    <xf numFmtId="10" fontId="18" fillId="5" borderId="0" xfId="0" applyNumberFormat="1" applyFont="1" applyFill="1" applyAlignment="1">
      <alignment horizontal="justify" vertical="center"/>
    </xf>
    <xf numFmtId="14" fontId="25" fillId="5" borderId="0" xfId="0" applyNumberFormat="1" applyFont="1" applyFill="1" applyAlignment="1">
      <alignment horizontal="left" vertical="center"/>
    </xf>
    <xf numFmtId="10" fontId="25" fillId="5" borderId="0" xfId="0" applyNumberFormat="1" applyFont="1" applyFill="1" applyAlignment="1">
      <alignment horizontal="left" vertical="center"/>
    </xf>
    <xf numFmtId="2" fontId="25" fillId="5" borderId="0" xfId="0" applyNumberFormat="1" applyFont="1" applyFill="1" applyAlignment="1">
      <alignment horizontal="left" vertical="center"/>
    </xf>
    <xf numFmtId="169" fontId="18" fillId="5" borderId="0" xfId="0" applyNumberFormat="1" applyFont="1" applyFill="1" applyAlignment="1">
      <alignment horizontal="justify" vertical="center"/>
    </xf>
    <xf numFmtId="168" fontId="25" fillId="5" borderId="0" xfId="0" applyNumberFormat="1" applyFont="1" applyFill="1" applyAlignment="1">
      <alignment horizontal="left" vertical="center"/>
    </xf>
    <xf numFmtId="4" fontId="20" fillId="5" borderId="0" xfId="0" applyNumberFormat="1" applyFont="1" applyFill="1" applyAlignment="1">
      <alignment horizontal="center" vertical="center"/>
    </xf>
    <xf numFmtId="10" fontId="20" fillId="5" borderId="0" xfId="0" applyNumberFormat="1" applyFont="1" applyFill="1" applyAlignment="1">
      <alignment horizontal="center" vertical="center"/>
    </xf>
    <xf numFmtId="0" fontId="25" fillId="5" borderId="0" xfId="0" applyFont="1" applyFill="1" applyAlignment="1">
      <alignment horizontal="center" vertical="center"/>
    </xf>
    <xf numFmtId="4" fontId="25" fillId="10" borderId="70" xfId="0" applyNumberFormat="1" applyFont="1" applyFill="1" applyBorder="1" applyAlignment="1">
      <alignment horizontal="center" vertical="center" wrapText="1"/>
    </xf>
    <xf numFmtId="2" fontId="25" fillId="10" borderId="70" xfId="0" applyNumberFormat="1" applyFont="1" applyFill="1" applyBorder="1" applyAlignment="1">
      <alignment horizontal="center" vertical="center" wrapText="1"/>
    </xf>
    <xf numFmtId="168" fontId="25" fillId="10" borderId="70" xfId="0" applyNumberFormat="1" applyFont="1" applyFill="1" applyBorder="1" applyAlignment="1">
      <alignment horizontal="center" vertical="center" wrapText="1"/>
    </xf>
    <xf numFmtId="0" fontId="20" fillId="13" borderId="71" xfId="0" applyFont="1" applyFill="1" applyBorder="1" applyAlignment="1">
      <alignment vertical="center" wrapText="1"/>
    </xf>
    <xf numFmtId="0" fontId="20" fillId="0" borderId="70" xfId="0" applyFont="1" applyBorder="1" applyAlignment="1" applyProtection="1">
      <alignment horizontal="center" vertical="center" wrapText="1"/>
      <protection locked="0"/>
    </xf>
    <xf numFmtId="0" fontId="20" fillId="13" borderId="70" xfId="0" applyFont="1" applyFill="1" applyBorder="1" applyAlignment="1">
      <alignment horizontal="center" vertical="center" wrapText="1"/>
    </xf>
    <xf numFmtId="4" fontId="18" fillId="0" borderId="70" xfId="0" applyNumberFormat="1" applyFont="1" applyBorder="1" applyAlignment="1">
      <alignment horizontal="center" vertical="center" wrapText="1"/>
    </xf>
    <xf numFmtId="4" fontId="20" fillId="13" borderId="70" xfId="0" applyNumberFormat="1" applyFont="1" applyFill="1" applyBorder="1" applyAlignment="1">
      <alignment horizontal="center" vertical="center" wrapText="1"/>
    </xf>
    <xf numFmtId="166" fontId="18" fillId="13" borderId="70" xfId="0" applyNumberFormat="1" applyFont="1" applyFill="1" applyBorder="1" applyAlignment="1">
      <alignment horizontal="center" vertical="center" wrapText="1"/>
    </xf>
    <xf numFmtId="170" fontId="20" fillId="13" borderId="70" xfId="0" applyNumberFormat="1" applyFont="1" applyFill="1" applyBorder="1" applyAlignment="1">
      <alignment horizontal="center" vertical="center" wrapText="1"/>
    </xf>
    <xf numFmtId="1" fontId="20" fillId="13" borderId="70" xfId="0" applyNumberFormat="1" applyFont="1" applyFill="1" applyBorder="1" applyAlignment="1">
      <alignment horizontal="center" vertical="center" wrapText="1"/>
    </xf>
    <xf numFmtId="2" fontId="18" fillId="13" borderId="70" xfId="0" applyNumberFormat="1" applyFont="1" applyFill="1" applyBorder="1" applyAlignment="1">
      <alignment horizontal="center" vertical="center" wrapText="1"/>
    </xf>
    <xf numFmtId="169" fontId="20" fillId="13" borderId="70" xfId="0" applyNumberFormat="1" applyFont="1" applyFill="1" applyBorder="1" applyAlignment="1">
      <alignment horizontal="center" vertical="center" wrapText="1"/>
    </xf>
    <xf numFmtId="168" fontId="18" fillId="13" borderId="70" xfId="0" applyNumberFormat="1" applyFont="1" applyFill="1" applyBorder="1" applyAlignment="1">
      <alignment horizontal="center" vertical="center" wrapText="1"/>
    </xf>
    <xf numFmtId="2" fontId="20" fillId="13" borderId="70" xfId="0" applyNumberFormat="1" applyFont="1" applyFill="1" applyBorder="1" applyAlignment="1">
      <alignment horizontal="center" vertical="center" wrapText="1"/>
    </xf>
    <xf numFmtId="166" fontId="18" fillId="13" borderId="53" xfId="0" applyNumberFormat="1" applyFont="1" applyFill="1" applyBorder="1" applyAlignment="1">
      <alignment horizontal="center" vertical="center" wrapText="1"/>
    </xf>
    <xf numFmtId="0" fontId="20" fillId="13" borderId="55" xfId="0" applyFont="1" applyFill="1" applyBorder="1" applyAlignment="1">
      <alignment vertical="center" wrapText="1"/>
    </xf>
    <xf numFmtId="4" fontId="20" fillId="5" borderId="70" xfId="0" applyNumberFormat="1" applyFont="1" applyFill="1" applyBorder="1" applyAlignment="1" applyProtection="1">
      <alignment horizontal="center" vertical="center" wrapText="1"/>
      <protection locked="0"/>
    </xf>
    <xf numFmtId="169" fontId="18" fillId="13" borderId="70" xfId="0" applyNumberFormat="1" applyFont="1" applyFill="1" applyBorder="1" applyAlignment="1">
      <alignment horizontal="center" vertical="center" wrapText="1"/>
    </xf>
    <xf numFmtId="0" fontId="25" fillId="10" borderId="54" xfId="0" applyFont="1" applyFill="1" applyBorder="1" applyAlignment="1">
      <alignment vertical="center"/>
    </xf>
    <xf numFmtId="0" fontId="25" fillId="10" borderId="70" xfId="0" applyFont="1" applyFill="1" applyBorder="1" applyAlignment="1">
      <alignment vertical="center"/>
    </xf>
    <xf numFmtId="170" fontId="25" fillId="10" borderId="70" xfId="0" applyNumberFormat="1" applyFont="1" applyFill="1" applyBorder="1" applyAlignment="1">
      <alignment vertical="center"/>
    </xf>
    <xf numFmtId="2" fontId="25" fillId="10" borderId="70" xfId="0" applyNumberFormat="1" applyFont="1" applyFill="1" applyBorder="1" applyAlignment="1">
      <alignment vertical="center"/>
    </xf>
    <xf numFmtId="4" fontId="25" fillId="10" borderId="70" xfId="0" applyNumberFormat="1" applyFont="1" applyFill="1" applyBorder="1" applyAlignment="1">
      <alignment horizontal="center" vertical="center"/>
    </xf>
    <xf numFmtId="166" fontId="22" fillId="10" borderId="70" xfId="0" applyNumberFormat="1" applyFont="1" applyFill="1" applyBorder="1" applyAlignment="1">
      <alignment horizontal="center" vertical="center" wrapText="1"/>
    </xf>
    <xf numFmtId="169" fontId="25" fillId="10" borderId="70" xfId="0" applyNumberFormat="1" applyFont="1" applyFill="1" applyBorder="1" applyAlignment="1">
      <alignment vertical="center"/>
    </xf>
    <xf numFmtId="168" fontId="25" fillId="10" borderId="70" xfId="0" applyNumberFormat="1" applyFont="1" applyFill="1" applyBorder="1" applyAlignment="1">
      <alignment vertical="center"/>
    </xf>
    <xf numFmtId="10" fontId="25" fillId="10" borderId="70" xfId="0" applyNumberFormat="1" applyFont="1" applyFill="1" applyBorder="1" applyAlignment="1">
      <alignment horizontal="center" vertical="center"/>
    </xf>
    <xf numFmtId="2" fontId="25" fillId="10" borderId="70" xfId="0" applyNumberFormat="1" applyFont="1" applyFill="1" applyBorder="1" applyAlignment="1">
      <alignment horizontal="center" vertical="center"/>
    </xf>
    <xf numFmtId="166" fontId="22" fillId="10" borderId="53" xfId="0" applyNumberFormat="1" applyFont="1" applyFill="1" applyBorder="1" applyAlignment="1">
      <alignment horizontal="center" vertical="center" wrapText="1"/>
    </xf>
    <xf numFmtId="173" fontId="20" fillId="13" borderId="70" xfId="0" applyNumberFormat="1" applyFont="1" applyFill="1" applyBorder="1" applyAlignment="1">
      <alignment horizontal="center" vertical="center" wrapText="1"/>
    </xf>
    <xf numFmtId="168" fontId="20" fillId="13" borderId="70" xfId="0" applyNumberFormat="1" applyFont="1" applyFill="1" applyBorder="1" applyAlignment="1">
      <alignment horizontal="center" vertical="center" wrapText="1"/>
    </xf>
    <xf numFmtId="0" fontId="18" fillId="0" borderId="70" xfId="0" applyFont="1" applyBorder="1" applyAlignment="1" applyProtection="1">
      <alignment horizontal="center" vertical="center" wrapText="1"/>
      <protection locked="0"/>
    </xf>
    <xf numFmtId="0" fontId="26" fillId="14" borderId="70" xfId="0" applyFont="1" applyFill="1" applyBorder="1" applyAlignment="1">
      <alignment horizontal="center" vertical="center" wrapText="1"/>
    </xf>
    <xf numFmtId="4" fontId="18" fillId="0" borderId="65" xfId="0" applyNumberFormat="1" applyFont="1" applyBorder="1" applyAlignment="1">
      <alignment horizontal="center" vertical="center" wrapText="1"/>
    </xf>
    <xf numFmtId="173" fontId="18" fillId="13" borderId="70" xfId="0" applyNumberFormat="1" applyFont="1" applyFill="1" applyBorder="1" applyAlignment="1">
      <alignment horizontal="center" vertical="center" wrapText="1"/>
    </xf>
    <xf numFmtId="3" fontId="27" fillId="0" borderId="68" xfId="15" applyNumberFormat="1" applyFont="1" applyBorder="1" applyAlignment="1">
      <alignment horizontal="center" readingOrder="1"/>
    </xf>
    <xf numFmtId="4" fontId="18" fillId="5" borderId="70" xfId="0" applyNumberFormat="1" applyFont="1" applyFill="1" applyBorder="1" applyAlignment="1">
      <alignment horizontal="center" vertical="center" wrapText="1"/>
    </xf>
    <xf numFmtId="0" fontId="22" fillId="10" borderId="70" xfId="0" applyFont="1" applyFill="1" applyBorder="1" applyAlignment="1">
      <alignment vertical="center"/>
    </xf>
    <xf numFmtId="4" fontId="20" fillId="5" borderId="66" xfId="0" applyNumberFormat="1" applyFont="1" applyFill="1" applyBorder="1" applyAlignment="1">
      <alignment horizontal="center" vertical="center" wrapText="1"/>
    </xf>
    <xf numFmtId="4" fontId="20" fillId="5" borderId="70" xfId="0" applyNumberFormat="1" applyFont="1" applyFill="1" applyBorder="1" applyAlignment="1">
      <alignment horizontal="center" vertical="center" wrapText="1"/>
    </xf>
    <xf numFmtId="4" fontId="20" fillId="0" borderId="70" xfId="0" applyNumberFormat="1" applyFont="1" applyBorder="1" applyAlignment="1" applyProtection="1">
      <alignment horizontal="center" vertical="center" wrapText="1"/>
      <protection locked="0"/>
    </xf>
    <xf numFmtId="0" fontId="20" fillId="13" borderId="54" xfId="0" applyFont="1" applyFill="1" applyBorder="1" applyAlignment="1">
      <alignment horizontal="left" vertical="center"/>
    </xf>
    <xf numFmtId="0" fontId="20" fillId="13" borderId="54" xfId="0" applyFont="1" applyFill="1" applyBorder="1" applyAlignment="1">
      <alignment vertical="center" wrapText="1"/>
    </xf>
    <xf numFmtId="3" fontId="18" fillId="0" borderId="69" xfId="15" applyNumberFormat="1" applyFont="1" applyBorder="1" applyAlignment="1">
      <alignment horizontal="center" vertical="center"/>
    </xf>
    <xf numFmtId="0" fontId="25" fillId="5" borderId="42" xfId="0" applyFont="1" applyFill="1" applyBorder="1" applyAlignment="1">
      <alignment horizontal="center" vertical="center"/>
    </xf>
    <xf numFmtId="4" fontId="25" fillId="5" borderId="42" xfId="0" applyNumberFormat="1" applyFont="1" applyFill="1" applyBorder="1" applyAlignment="1">
      <alignment horizontal="center" vertical="center"/>
    </xf>
    <xf numFmtId="1" fontId="25" fillId="5" borderId="42" xfId="0" applyNumberFormat="1" applyFont="1" applyFill="1" applyBorder="1" applyAlignment="1">
      <alignment horizontal="center" vertical="center"/>
    </xf>
    <xf numFmtId="10" fontId="25" fillId="5" borderId="42" xfId="0" applyNumberFormat="1" applyFont="1" applyFill="1" applyBorder="1" applyAlignment="1">
      <alignment horizontal="center" vertical="center"/>
    </xf>
    <xf numFmtId="2" fontId="25" fillId="5" borderId="42" xfId="0" applyNumberFormat="1" applyFont="1" applyFill="1" applyBorder="1" applyAlignment="1">
      <alignment horizontal="center" vertical="center"/>
    </xf>
    <xf numFmtId="169" fontId="25" fillId="5" borderId="42" xfId="0" applyNumberFormat="1" applyFont="1" applyFill="1" applyBorder="1" applyAlignment="1">
      <alignment horizontal="center" vertical="center"/>
    </xf>
    <xf numFmtId="168" fontId="25" fillId="5" borderId="42" xfId="0" applyNumberFormat="1" applyFont="1" applyFill="1" applyBorder="1" applyAlignment="1">
      <alignment horizontal="center" vertical="center"/>
    </xf>
    <xf numFmtId="4" fontId="18" fillId="0" borderId="0" xfId="0" applyNumberFormat="1" applyFont="1"/>
    <xf numFmtId="1" fontId="18" fillId="0" borderId="0" xfId="0" applyNumberFormat="1" applyFont="1"/>
    <xf numFmtId="2" fontId="19" fillId="0" borderId="0" xfId="0" applyNumberFormat="1" applyFont="1"/>
    <xf numFmtId="169" fontId="19" fillId="0" borderId="0" xfId="0" applyNumberFormat="1" applyFont="1"/>
    <xf numFmtId="168" fontId="19" fillId="0" borderId="0" xfId="0" applyNumberFormat="1" applyFont="1"/>
    <xf numFmtId="0" fontId="19" fillId="0" borderId="0" xfId="0" applyFont="1" applyAlignment="1">
      <alignment horizontal="center"/>
    </xf>
    <xf numFmtId="10" fontId="19" fillId="0" borderId="0" xfId="0" applyNumberFormat="1" applyFont="1" applyAlignment="1">
      <alignment horizontal="center"/>
    </xf>
    <xf numFmtId="0" fontId="19" fillId="0" borderId="0" xfId="0" applyFont="1" applyAlignment="1">
      <alignment vertical="center"/>
    </xf>
    <xf numFmtId="0" fontId="19" fillId="0" borderId="0" xfId="0" applyFont="1" applyAlignment="1">
      <alignment vertical="center" wrapText="1"/>
    </xf>
    <xf numFmtId="2" fontId="19" fillId="0" borderId="0" xfId="0" applyNumberFormat="1" applyFont="1" applyAlignment="1">
      <alignment vertical="center"/>
    </xf>
    <xf numFmtId="169" fontId="19" fillId="0" borderId="0" xfId="0" applyNumberFormat="1" applyFont="1" applyAlignment="1">
      <alignment vertical="center"/>
    </xf>
    <xf numFmtId="168" fontId="19" fillId="0" borderId="0" xfId="0" applyNumberFormat="1" applyFont="1" applyAlignment="1">
      <alignment vertical="center"/>
    </xf>
    <xf numFmtId="0" fontId="20" fillId="0" borderId="0" xfId="13" applyNumberFormat="1" applyFont="1" applyFill="1" applyBorder="1" applyAlignment="1" applyProtection="1">
      <alignment horizontal="center" vertical="center"/>
      <protection hidden="1"/>
    </xf>
    <xf numFmtId="10" fontId="29" fillId="0" borderId="45" xfId="1" applyNumberFormat="1" applyFont="1" applyBorder="1" applyAlignment="1" applyProtection="1">
      <alignment horizontal="center" vertical="center" wrapText="1"/>
    </xf>
    <xf numFmtId="0" fontId="23" fillId="0" borderId="0" xfId="0" applyFont="1" applyAlignment="1">
      <alignment horizontal="center" vertical="center"/>
    </xf>
    <xf numFmtId="2" fontId="21" fillId="0" borderId="0" xfId="0" applyNumberFormat="1" applyFont="1"/>
    <xf numFmtId="169" fontId="21" fillId="0" borderId="0" xfId="0" applyNumberFormat="1" applyFont="1"/>
    <xf numFmtId="168" fontId="21" fillId="0" borderId="0" xfId="0" applyNumberFormat="1" applyFont="1"/>
    <xf numFmtId="0" fontId="20" fillId="0" borderId="44" xfId="0" applyFont="1" applyBorder="1"/>
    <xf numFmtId="0" fontId="21" fillId="0" borderId="0" xfId="0" applyFont="1" applyAlignment="1">
      <alignment horizontal="center"/>
    </xf>
    <xf numFmtId="0" fontId="21" fillId="0" borderId="0" xfId="0" applyFont="1" applyAlignment="1">
      <alignment horizontal="center" vertical="center"/>
    </xf>
    <xf numFmtId="0" fontId="19" fillId="0" borderId="0" xfId="13" applyNumberFormat="1" applyFont="1" applyBorder="1" applyAlignment="1" applyProtection="1">
      <alignment horizontal="center"/>
    </xf>
    <xf numFmtId="0" fontId="19" fillId="0" borderId="0" xfId="0" applyFont="1" applyAlignment="1">
      <alignment horizontal="center" vertical="center" wrapText="1"/>
    </xf>
    <xf numFmtId="164" fontId="19" fillId="0" borderId="0" xfId="13" applyFont="1" applyProtection="1"/>
    <xf numFmtId="167" fontId="19" fillId="0" borderId="0" xfId="0" applyNumberFormat="1" applyFont="1"/>
    <xf numFmtId="0" fontId="20" fillId="0" borderId="0" xfId="0" applyFont="1" applyAlignment="1">
      <alignment horizontal="center" vertical="center" wrapText="1"/>
    </xf>
    <xf numFmtId="2" fontId="20" fillId="0" borderId="0" xfId="0" applyNumberFormat="1" applyFont="1" applyAlignment="1">
      <alignment horizontal="center"/>
    </xf>
    <xf numFmtId="0" fontId="19" fillId="0" borderId="0" xfId="0" applyFont="1" applyAlignment="1">
      <alignment horizontal="right"/>
    </xf>
    <xf numFmtId="2" fontId="19" fillId="0" borderId="0" xfId="0" applyNumberFormat="1" applyFont="1" applyAlignment="1">
      <alignment horizontal="center"/>
    </xf>
    <xf numFmtId="10" fontId="19" fillId="0" borderId="0" xfId="0" applyNumberFormat="1" applyFont="1" applyAlignment="1">
      <alignment horizontal="center" vertical="center"/>
    </xf>
    <xf numFmtId="10" fontId="19" fillId="0" borderId="0" xfId="0" applyNumberFormat="1" applyFont="1" applyAlignment="1">
      <alignment horizontal="right"/>
    </xf>
    <xf numFmtId="0" fontId="22" fillId="5" borderId="0" xfId="0" applyFont="1" applyFill="1" applyAlignment="1">
      <alignment horizontal="center" vertical="center" wrapText="1"/>
    </xf>
    <xf numFmtId="0" fontId="22" fillId="10" borderId="70" xfId="0" applyFont="1" applyFill="1" applyBorder="1" applyAlignment="1">
      <alignment horizontal="left" vertical="center" wrapText="1"/>
    </xf>
    <xf numFmtId="166" fontId="22" fillId="0" borderId="70" xfId="0" applyNumberFormat="1" applyFont="1" applyBorder="1" applyAlignment="1">
      <alignment horizontal="center" vertical="center" wrapText="1"/>
    </xf>
    <xf numFmtId="0" fontId="23" fillId="12" borderId="70" xfId="0" applyFont="1" applyFill="1" applyBorder="1" applyAlignment="1">
      <alignment vertical="center"/>
    </xf>
    <xf numFmtId="4" fontId="23" fillId="12" borderId="70" xfId="0" applyNumberFormat="1" applyFont="1" applyFill="1" applyBorder="1" applyAlignment="1">
      <alignment horizontal="center" vertical="center"/>
    </xf>
    <xf numFmtId="2" fontId="23" fillId="12" borderId="70" xfId="0" applyNumberFormat="1" applyFont="1" applyFill="1" applyBorder="1" applyAlignment="1">
      <alignment horizontal="center" vertical="center"/>
    </xf>
    <xf numFmtId="0" fontId="25" fillId="0" borderId="48" xfId="0" applyFont="1" applyBorder="1" applyAlignment="1">
      <alignment vertical="center" wrapText="1"/>
    </xf>
    <xf numFmtId="0" fontId="25" fillId="0" borderId="48" xfId="0" applyFont="1" applyBorder="1" applyAlignment="1">
      <alignment horizontal="center" vertical="center" wrapText="1"/>
    </xf>
    <xf numFmtId="0" fontId="25" fillId="0" borderId="46" xfId="0" applyFont="1" applyBorder="1" applyAlignment="1">
      <alignment horizontal="center" vertical="center" wrapText="1"/>
    </xf>
    <xf numFmtId="0" fontId="25" fillId="0" borderId="44" xfId="0" applyFont="1" applyBorder="1" applyAlignment="1">
      <alignment horizontal="center" vertical="center" wrapText="1"/>
    </xf>
    <xf numFmtId="0" fontId="20" fillId="0" borderId="44" xfId="0" applyFont="1" applyBorder="1" applyAlignment="1">
      <alignment horizontal="left" vertical="center" wrapText="1"/>
    </xf>
    <xf numFmtId="0" fontId="20" fillId="0" borderId="45" xfId="0" applyFont="1" applyBorder="1" applyAlignment="1">
      <alignment horizontal="center" vertical="center" wrapText="1"/>
    </xf>
    <xf numFmtId="10" fontId="20" fillId="0" borderId="45" xfId="0" applyNumberFormat="1" applyFont="1" applyBorder="1" applyAlignment="1">
      <alignment horizontal="center" vertical="center" wrapText="1"/>
    </xf>
    <xf numFmtId="10" fontId="20" fillId="0" borderId="47" xfId="0" applyNumberFormat="1" applyFont="1" applyBorder="1" applyAlignment="1">
      <alignment horizontal="center" vertical="center" wrapText="1"/>
    </xf>
    <xf numFmtId="0" fontId="20" fillId="0" borderId="46" xfId="0" applyFont="1" applyBorder="1" applyAlignment="1">
      <alignment horizontal="left" vertical="center" wrapText="1"/>
    </xf>
    <xf numFmtId="0" fontId="20" fillId="0" borderId="47" xfId="0" applyFont="1" applyBorder="1" applyAlignment="1">
      <alignment horizontal="center" vertical="center" wrapText="1"/>
    </xf>
    <xf numFmtId="0" fontId="20" fillId="0" borderId="47" xfId="0" applyFont="1" applyBorder="1" applyAlignment="1">
      <alignment horizontal="center" vertical="center"/>
    </xf>
    <xf numFmtId="0" fontId="21" fillId="0" borderId="47" xfId="0" applyFont="1" applyBorder="1" applyAlignment="1">
      <alignment horizontal="center" vertical="center" wrapText="1"/>
    </xf>
    <xf numFmtId="0" fontId="18" fillId="0" borderId="46" xfId="0" applyFont="1" applyBorder="1" applyAlignment="1">
      <alignment horizontal="left" vertical="center" wrapText="1"/>
    </xf>
    <xf numFmtId="2" fontId="19" fillId="0" borderId="0" xfId="0" applyNumberFormat="1" applyFont="1" applyAlignment="1">
      <alignment horizontal="center" vertical="center" wrapText="1"/>
    </xf>
    <xf numFmtId="0" fontId="20" fillId="8" borderId="46" xfId="0" applyFont="1" applyFill="1" applyBorder="1" applyAlignment="1">
      <alignment horizontal="left" vertical="center" wrapText="1"/>
    </xf>
    <xf numFmtId="0" fontId="20" fillId="8" borderId="47" xfId="0" applyFont="1" applyFill="1" applyBorder="1" applyAlignment="1">
      <alignment horizontal="center" vertical="center"/>
    </xf>
    <xf numFmtId="0" fontId="20" fillId="8" borderId="47" xfId="0" applyFont="1" applyFill="1" applyBorder="1" applyAlignment="1">
      <alignment horizontal="center" vertical="center" wrapText="1"/>
    </xf>
    <xf numFmtId="0" fontId="21" fillId="0" borderId="44" xfId="0" applyFont="1" applyBorder="1" applyAlignment="1">
      <alignment horizontal="center" vertical="center" wrapText="1"/>
    </xf>
    <xf numFmtId="0" fontId="20" fillId="0" borderId="47" xfId="0" applyFont="1" applyBorder="1" applyAlignment="1">
      <alignment horizontal="right" vertical="center"/>
    </xf>
    <xf numFmtId="0" fontId="20" fillId="0" borderId="46" xfId="0" applyFont="1" applyBorder="1" applyAlignment="1">
      <alignment horizontal="center" vertical="center" wrapText="1"/>
    </xf>
    <xf numFmtId="0" fontId="20" fillId="0" borderId="0" xfId="0" applyFont="1" applyAlignment="1">
      <alignment horizontal="left" vertical="center" wrapText="1"/>
    </xf>
    <xf numFmtId="10" fontId="20" fillId="0" borderId="0" xfId="0" applyNumberFormat="1" applyFont="1" applyAlignment="1">
      <alignment horizontal="center" vertical="center" wrapText="1"/>
    </xf>
    <xf numFmtId="0" fontId="20" fillId="0" borderId="47" xfId="0" applyFont="1" applyBorder="1" applyAlignment="1">
      <alignment horizontal="left" vertical="center" wrapText="1"/>
    </xf>
    <xf numFmtId="0" fontId="20" fillId="0" borderId="72" xfId="0" applyFont="1" applyBorder="1" applyAlignment="1">
      <alignment horizontal="left" vertical="center" wrapText="1"/>
    </xf>
    <xf numFmtId="0" fontId="20" fillId="0" borderId="72" xfId="0" applyFont="1" applyBorder="1" applyAlignment="1">
      <alignment horizontal="center" vertical="center" wrapText="1"/>
    </xf>
    <xf numFmtId="10" fontId="20" fillId="0" borderId="64" xfId="0" applyNumberFormat="1" applyFont="1" applyBorder="1" applyAlignment="1">
      <alignment horizontal="center" vertical="center" wrapText="1"/>
    </xf>
    <xf numFmtId="0" fontId="21" fillId="0" borderId="46" xfId="0" applyFont="1" applyBorder="1" applyAlignment="1">
      <alignment horizontal="center" vertical="center" wrapText="1"/>
    </xf>
    <xf numFmtId="0" fontId="21" fillId="0" borderId="46" xfId="0" applyFont="1" applyBorder="1" applyAlignment="1">
      <alignment horizontal="left" vertical="center" wrapText="1"/>
    </xf>
    <xf numFmtId="168" fontId="20" fillId="0" borderId="46" xfId="0" applyNumberFormat="1" applyFont="1" applyBorder="1" applyAlignment="1">
      <alignment horizontal="center" vertical="center" wrapText="1"/>
    </xf>
    <xf numFmtId="10" fontId="20" fillId="8" borderId="47" xfId="0" applyNumberFormat="1" applyFont="1" applyFill="1" applyBorder="1" applyAlignment="1">
      <alignment horizontal="center" vertical="center" wrapText="1"/>
    </xf>
    <xf numFmtId="0" fontId="25" fillId="0" borderId="44" xfId="0" applyFont="1" applyBorder="1" applyAlignment="1">
      <alignment horizontal="left" vertical="center" wrapText="1"/>
    </xf>
    <xf numFmtId="0" fontId="25" fillId="0" borderId="45" xfId="0" applyFont="1" applyBorder="1" applyAlignment="1">
      <alignment horizontal="left" vertical="center" wrapText="1"/>
    </xf>
    <xf numFmtId="0" fontId="20" fillId="13" borderId="71" xfId="0" applyFont="1" applyFill="1" applyBorder="1" applyAlignment="1">
      <alignment vertical="center"/>
    </xf>
    <xf numFmtId="0" fontId="23" fillId="0" borderId="79" xfId="0" applyFont="1" applyBorder="1" applyAlignment="1">
      <alignment horizontal="left" vertical="center"/>
    </xf>
    <xf numFmtId="0" fontId="23" fillId="0" borderId="77" xfId="0" applyFont="1" applyBorder="1" applyAlignment="1">
      <alignment horizontal="left" vertical="center"/>
    </xf>
    <xf numFmtId="0" fontId="25" fillId="0" borderId="70" xfId="0" applyFont="1" applyBorder="1" applyAlignment="1">
      <alignment vertical="center"/>
    </xf>
    <xf numFmtId="170" fontId="25" fillId="0" borderId="70" xfId="0" applyNumberFormat="1" applyFont="1" applyBorder="1" applyAlignment="1">
      <alignment vertical="center"/>
    </xf>
    <xf numFmtId="2" fontId="25" fillId="0" borderId="70" xfId="0" applyNumberFormat="1" applyFont="1" applyBorder="1" applyAlignment="1">
      <alignment vertical="center"/>
    </xf>
    <xf numFmtId="4" fontId="25" fillId="0" borderId="70" xfId="0" applyNumberFormat="1" applyFont="1" applyBorder="1" applyAlignment="1">
      <alignment horizontal="center" vertical="center"/>
    </xf>
    <xf numFmtId="169" fontId="25" fillId="0" borderId="70" xfId="0" applyNumberFormat="1" applyFont="1" applyBorder="1" applyAlignment="1">
      <alignment vertical="center"/>
    </xf>
    <xf numFmtId="168" fontId="25" fillId="0" borderId="70" xfId="0" applyNumberFormat="1" applyFont="1" applyBorder="1" applyAlignment="1">
      <alignment vertical="center"/>
    </xf>
    <xf numFmtId="10" fontId="25" fillId="0" borderId="70" xfId="0" applyNumberFormat="1" applyFont="1" applyBorder="1" applyAlignment="1">
      <alignment horizontal="center" vertical="center"/>
    </xf>
    <xf numFmtId="2" fontId="25" fillId="0" borderId="70" xfId="0" applyNumberFormat="1" applyFont="1" applyBorder="1" applyAlignment="1">
      <alignment horizontal="center" vertical="center"/>
    </xf>
    <xf numFmtId="0" fontId="20" fillId="13" borderId="54" xfId="0" applyFont="1" applyFill="1" applyBorder="1" applyAlignment="1">
      <alignment vertical="center"/>
    </xf>
    <xf numFmtId="0" fontId="23" fillId="0" borderId="74" xfId="0" applyFont="1" applyBorder="1" applyAlignment="1">
      <alignment horizontal="left" vertical="center"/>
    </xf>
    <xf numFmtId="0" fontId="5" fillId="0" borderId="70" xfId="1" applyFill="1" applyBorder="1" applyAlignment="1" applyProtection="1">
      <alignment vertical="center" wrapText="1"/>
    </xf>
    <xf numFmtId="0" fontId="32" fillId="0" borderId="46" xfId="0" applyFont="1" applyBorder="1" applyAlignment="1">
      <alignment horizontal="center" vertical="center" wrapText="1"/>
    </xf>
    <xf numFmtId="0" fontId="23" fillId="12" borderId="77" xfId="0" applyFont="1" applyFill="1" applyBorder="1" applyAlignment="1">
      <alignment vertical="center"/>
    </xf>
    <xf numFmtId="4" fontId="23" fillId="12" borderId="77" xfId="0" applyNumberFormat="1" applyFont="1" applyFill="1" applyBorder="1" applyAlignment="1">
      <alignment vertical="center"/>
    </xf>
    <xf numFmtId="166" fontId="23" fillId="15" borderId="53" xfId="0" applyNumberFormat="1" applyFont="1" applyFill="1" applyBorder="1" applyAlignment="1">
      <alignment horizontal="center" vertical="center" wrapText="1"/>
    </xf>
    <xf numFmtId="168" fontId="23" fillId="12" borderId="77" xfId="0" applyNumberFormat="1" applyFont="1" applyFill="1" applyBorder="1" applyAlignment="1">
      <alignment vertical="center"/>
    </xf>
    <xf numFmtId="0" fontId="35" fillId="16" borderId="84" xfId="0" applyFont="1" applyFill="1" applyBorder="1" applyAlignment="1">
      <alignment horizontal="center" vertical="center" wrapText="1"/>
    </xf>
    <xf numFmtId="166" fontId="38" fillId="17" borderId="84" xfId="0" applyNumberFormat="1" applyFont="1" applyFill="1" applyBorder="1" applyAlignment="1">
      <alignment horizontal="center" vertical="center" wrapText="1"/>
    </xf>
    <xf numFmtId="4" fontId="38" fillId="17" borderId="84" xfId="0" applyNumberFormat="1" applyFont="1" applyFill="1" applyBorder="1" applyAlignment="1">
      <alignment horizontal="center" vertical="center"/>
    </xf>
    <xf numFmtId="174" fontId="20" fillId="5" borderId="70" xfId="0" applyNumberFormat="1" applyFont="1" applyFill="1" applyBorder="1" applyAlignment="1" applyProtection="1">
      <alignment horizontal="center" vertical="center" wrapText="1"/>
      <protection locked="0"/>
    </xf>
    <xf numFmtId="0" fontId="22" fillId="5" borderId="0" xfId="0" applyFont="1" applyFill="1" applyAlignment="1">
      <alignment horizontal="right"/>
    </xf>
    <xf numFmtId="0" fontId="23" fillId="5" borderId="0" xfId="0" applyFont="1" applyFill="1" applyAlignment="1">
      <alignment horizontal="center" vertical="center" wrapText="1"/>
    </xf>
    <xf numFmtId="2" fontId="22" fillId="5" borderId="0" xfId="0" applyNumberFormat="1" applyFont="1" applyFill="1" applyAlignment="1">
      <alignment horizontal="center" vertical="center" wrapText="1"/>
    </xf>
    <xf numFmtId="169" fontId="23" fillId="5" borderId="0" xfId="0" applyNumberFormat="1" applyFont="1" applyFill="1" applyAlignment="1">
      <alignment horizontal="center" vertical="center" wrapText="1"/>
    </xf>
    <xf numFmtId="0" fontId="22" fillId="5" borderId="0" xfId="0" applyFont="1" applyFill="1" applyAlignment="1">
      <alignment vertical="center" wrapText="1"/>
    </xf>
    <xf numFmtId="0" fontId="37" fillId="0" borderId="48" xfId="0" applyFont="1" applyBorder="1" applyAlignment="1">
      <alignment horizontal="center" vertical="center" wrapText="1"/>
    </xf>
    <xf numFmtId="0" fontId="37" fillId="0" borderId="46" xfId="0" applyFont="1" applyBorder="1" applyAlignment="1">
      <alignment horizontal="center" vertical="center" wrapText="1"/>
    </xf>
    <xf numFmtId="0" fontId="39" fillId="0" borderId="0" xfId="0" applyFont="1"/>
    <xf numFmtId="2" fontId="39" fillId="0" borderId="0" xfId="0" applyNumberFormat="1" applyFont="1"/>
    <xf numFmtId="169" fontId="39" fillId="0" borderId="0" xfId="0" applyNumberFormat="1" applyFont="1"/>
    <xf numFmtId="168" fontId="39" fillId="0" borderId="0" xfId="0" applyNumberFormat="1" applyFont="1"/>
    <xf numFmtId="0" fontId="40" fillId="5" borderId="0" xfId="0" applyFont="1" applyFill="1"/>
    <xf numFmtId="0" fontId="32" fillId="0" borderId="0" xfId="0" applyFont="1"/>
    <xf numFmtId="0" fontId="32" fillId="0" borderId="0" xfId="0" applyFont="1" applyAlignment="1">
      <alignment horizontal="center"/>
    </xf>
    <xf numFmtId="10" fontId="32" fillId="0" borderId="0" xfId="0" applyNumberFormat="1" applyFont="1" applyAlignment="1">
      <alignment horizontal="center"/>
    </xf>
    <xf numFmtId="0" fontId="32" fillId="0" borderId="0" xfId="0" applyFont="1" applyAlignment="1">
      <alignment horizontal="center" vertical="center"/>
    </xf>
    <xf numFmtId="0" fontId="40" fillId="0" borderId="0" xfId="0" applyFont="1" applyAlignment="1">
      <alignment horizontal="center" vertical="center"/>
    </xf>
    <xf numFmtId="10" fontId="40" fillId="0" borderId="0" xfId="0" applyNumberFormat="1" applyFont="1"/>
    <xf numFmtId="0" fontId="40" fillId="0" borderId="0" xfId="0" applyFont="1"/>
    <xf numFmtId="0" fontId="41" fillId="0" borderId="0" xfId="0" applyFont="1"/>
    <xf numFmtId="0" fontId="36" fillId="5" borderId="0" xfId="0" applyFont="1" applyFill="1" applyAlignment="1">
      <alignment horizontal="center" vertical="center" wrapText="1"/>
    </xf>
    <xf numFmtId="10" fontId="36" fillId="0" borderId="0" xfId="0" applyNumberFormat="1" applyFont="1" applyAlignment="1">
      <alignment horizontal="center" vertical="center" wrapText="1"/>
    </xf>
    <xf numFmtId="4" fontId="36" fillId="0" borderId="0" xfId="0" applyNumberFormat="1" applyFont="1" applyAlignment="1">
      <alignment horizontal="center" vertical="center" wrapText="1"/>
    </xf>
    <xf numFmtId="0" fontId="39" fillId="5" borderId="0" xfId="0" applyFont="1" applyFill="1"/>
    <xf numFmtId="4" fontId="39" fillId="5" borderId="0" xfId="0" applyNumberFormat="1" applyFont="1" applyFill="1"/>
    <xf numFmtId="1" fontId="39" fillId="5" borderId="0" xfId="0" applyNumberFormat="1" applyFont="1" applyFill="1"/>
    <xf numFmtId="10" fontId="39" fillId="5" borderId="0" xfId="0" applyNumberFormat="1" applyFont="1" applyFill="1"/>
    <xf numFmtId="2" fontId="39" fillId="5" borderId="0" xfId="0" applyNumberFormat="1" applyFont="1" applyFill="1"/>
    <xf numFmtId="169" fontId="39" fillId="5" borderId="0" xfId="0" applyNumberFormat="1" applyFont="1" applyFill="1"/>
    <xf numFmtId="10" fontId="39" fillId="0" borderId="0" xfId="0" applyNumberFormat="1" applyFont="1"/>
    <xf numFmtId="0" fontId="32" fillId="5" borderId="0" xfId="0" applyFont="1" applyFill="1"/>
    <xf numFmtId="0" fontId="32" fillId="5" borderId="0" xfId="0" applyFont="1" applyFill="1" applyAlignment="1">
      <alignment horizontal="center"/>
    </xf>
    <xf numFmtId="10" fontId="32" fillId="5" borderId="0" xfId="0" applyNumberFormat="1" applyFont="1" applyFill="1" applyAlignment="1">
      <alignment horizontal="center"/>
    </xf>
    <xf numFmtId="0" fontId="32" fillId="5" borderId="0" xfId="0" applyFont="1" applyFill="1" applyAlignment="1">
      <alignment horizontal="center" vertical="center"/>
    </xf>
    <xf numFmtId="0" fontId="40" fillId="5" borderId="0" xfId="0" applyFont="1" applyFill="1" applyAlignment="1">
      <alignment horizontal="center" vertical="center"/>
    </xf>
    <xf numFmtId="10" fontId="40" fillId="5" borderId="0" xfId="0" applyNumberFormat="1" applyFont="1" applyFill="1"/>
    <xf numFmtId="0" fontId="41" fillId="5" borderId="0" xfId="0" applyFont="1" applyFill="1"/>
    <xf numFmtId="0" fontId="43" fillId="0" borderId="0" xfId="0" applyFont="1" applyAlignment="1">
      <alignment vertical="center"/>
    </xf>
    <xf numFmtId="0" fontId="36" fillId="10" borderId="70" xfId="0" applyFont="1" applyFill="1" applyBorder="1" applyAlignment="1">
      <alignment horizontal="left" vertical="center" wrapText="1"/>
    </xf>
    <xf numFmtId="0" fontId="39" fillId="0" borderId="70" xfId="0" applyFont="1" applyBorder="1" applyAlignment="1" applyProtection="1">
      <alignment vertical="center"/>
      <protection locked="0"/>
    </xf>
    <xf numFmtId="0" fontId="39" fillId="0" borderId="0" xfId="0" applyFont="1" applyAlignment="1" applyProtection="1">
      <alignment vertical="center"/>
      <protection locked="0"/>
    </xf>
    <xf numFmtId="0" fontId="39" fillId="0" borderId="0" xfId="0" applyFont="1" applyAlignment="1" applyProtection="1">
      <alignment horizontal="center" vertical="center"/>
      <protection locked="0"/>
    </xf>
    <xf numFmtId="0" fontId="42" fillId="0" borderId="70" xfId="1" applyFont="1" applyFill="1" applyBorder="1" applyAlignment="1" applyProtection="1">
      <alignment vertical="center"/>
      <protection locked="0"/>
    </xf>
    <xf numFmtId="0" fontId="42" fillId="0" borderId="0" xfId="1" applyFont="1" applyFill="1" applyBorder="1" applyAlignment="1" applyProtection="1">
      <alignment vertical="center"/>
      <protection locked="0"/>
    </xf>
    <xf numFmtId="0" fontId="37" fillId="0" borderId="0" xfId="0" applyFont="1" applyAlignment="1">
      <alignment horizontal="center" vertical="center"/>
    </xf>
    <xf numFmtId="0" fontId="36" fillId="5" borderId="0" xfId="0" applyFont="1" applyFill="1" applyAlignment="1">
      <alignment vertical="center"/>
    </xf>
    <xf numFmtId="0" fontId="39" fillId="5" borderId="0" xfId="0" applyFont="1" applyFill="1" applyAlignment="1">
      <alignment horizontal="justify" vertical="center"/>
    </xf>
    <xf numFmtId="4" fontId="39" fillId="5" borderId="0" xfId="0" applyNumberFormat="1" applyFont="1" applyFill="1" applyAlignment="1">
      <alignment horizontal="justify" vertical="center"/>
    </xf>
    <xf numFmtId="1" fontId="39" fillId="5" borderId="0" xfId="0" applyNumberFormat="1" applyFont="1" applyFill="1" applyAlignment="1">
      <alignment horizontal="justify" vertical="center"/>
    </xf>
    <xf numFmtId="10" fontId="39" fillId="5" borderId="0" xfId="0" applyNumberFormat="1" applyFont="1" applyFill="1" applyAlignment="1">
      <alignment horizontal="justify" vertical="center"/>
    </xf>
    <xf numFmtId="14" fontId="37" fillId="5" borderId="0" xfId="0" applyNumberFormat="1" applyFont="1" applyFill="1" applyAlignment="1">
      <alignment horizontal="left" vertical="center"/>
    </xf>
    <xf numFmtId="10" fontId="37" fillId="5" borderId="0" xfId="0" applyNumberFormat="1" applyFont="1" applyFill="1" applyAlignment="1">
      <alignment horizontal="left" vertical="center"/>
    </xf>
    <xf numFmtId="2" fontId="37" fillId="5" borderId="0" xfId="0" applyNumberFormat="1" applyFont="1" applyFill="1" applyAlignment="1">
      <alignment horizontal="left" vertical="center"/>
    </xf>
    <xf numFmtId="4" fontId="32" fillId="5" borderId="0" xfId="0" applyNumberFormat="1" applyFont="1" applyFill="1" applyAlignment="1">
      <alignment horizontal="center" vertical="center"/>
    </xf>
    <xf numFmtId="10" fontId="32" fillId="5" borderId="0" xfId="0" applyNumberFormat="1" applyFont="1" applyFill="1" applyAlignment="1">
      <alignment horizontal="center" vertical="center"/>
    </xf>
    <xf numFmtId="0" fontId="37" fillId="5" borderId="0" xfId="0" applyFont="1" applyFill="1" applyAlignment="1">
      <alignment horizontal="center" vertical="center"/>
    </xf>
    <xf numFmtId="0" fontId="43" fillId="12" borderId="50" xfId="0" applyFont="1" applyFill="1" applyBorder="1" applyAlignment="1">
      <alignment vertical="center"/>
    </xf>
    <xf numFmtId="0" fontId="43" fillId="12" borderId="49" xfId="0" applyFont="1" applyFill="1" applyBorder="1" applyAlignment="1">
      <alignment vertical="center"/>
    </xf>
    <xf numFmtId="0" fontId="43" fillId="12" borderId="62" xfId="0" applyFont="1" applyFill="1" applyBorder="1" applyAlignment="1">
      <alignment vertical="center"/>
    </xf>
    <xf numFmtId="0" fontId="43" fillId="12" borderId="45" xfId="0" applyFont="1" applyFill="1" applyBorder="1" applyAlignment="1">
      <alignment vertical="center"/>
    </xf>
    <xf numFmtId="0" fontId="39" fillId="5" borderId="0" xfId="0" applyFont="1" applyFill="1" applyAlignment="1">
      <alignment wrapText="1"/>
    </xf>
    <xf numFmtId="0" fontId="40" fillId="0" borderId="0" xfId="0" applyFont="1" applyAlignment="1">
      <alignment wrapText="1"/>
    </xf>
    <xf numFmtId="0" fontId="32" fillId="0" borderId="0" xfId="0" applyFont="1" applyAlignment="1">
      <alignment wrapText="1"/>
    </xf>
    <xf numFmtId="0" fontId="32" fillId="0" borderId="0" xfId="0" applyFont="1" applyAlignment="1">
      <alignment horizontal="center" wrapText="1"/>
    </xf>
    <xf numFmtId="0" fontId="32" fillId="0" borderId="0" xfId="0" applyFont="1" applyAlignment="1">
      <alignment horizontal="center" vertical="center" wrapText="1"/>
    </xf>
    <xf numFmtId="0" fontId="40" fillId="0" borderId="0" xfId="0" applyFont="1" applyAlignment="1">
      <alignment horizontal="center" vertical="center" wrapText="1"/>
    </xf>
    <xf numFmtId="0" fontId="41" fillId="0" borderId="0" xfId="0" applyFont="1" applyAlignment="1">
      <alignment wrapText="1"/>
    </xf>
    <xf numFmtId="0" fontId="36" fillId="10" borderId="70" xfId="0" applyFont="1" applyFill="1" applyBorder="1" applyAlignment="1">
      <alignment horizontal="center" vertical="center" wrapText="1"/>
    </xf>
    <xf numFmtId="0" fontId="32" fillId="13" borderId="71" xfId="0" applyFont="1" applyFill="1" applyBorder="1" applyAlignment="1">
      <alignment vertical="center" wrapText="1"/>
    </xf>
    <xf numFmtId="0" fontId="32" fillId="0" borderId="70" xfId="0" applyFont="1" applyBorder="1" applyAlignment="1" applyProtection="1">
      <alignment horizontal="center" vertical="center" wrapText="1"/>
      <protection locked="0"/>
    </xf>
    <xf numFmtId="0" fontId="39" fillId="11" borderId="70" xfId="0" applyFont="1" applyFill="1" applyBorder="1" applyAlignment="1">
      <alignment horizontal="center" vertical="center" wrapText="1"/>
    </xf>
    <xf numFmtId="4" fontId="32" fillId="5" borderId="70" xfId="0" applyNumberFormat="1" applyFont="1" applyFill="1" applyBorder="1" applyAlignment="1">
      <alignment horizontal="center" vertical="center" wrapText="1"/>
    </xf>
    <xf numFmtId="4" fontId="39" fillId="11" borderId="70" xfId="0" applyNumberFormat="1" applyFont="1" applyFill="1" applyBorder="1" applyAlignment="1">
      <alignment horizontal="center" vertical="center" wrapText="1"/>
    </xf>
    <xf numFmtId="166" fontId="39" fillId="11" borderId="70" xfId="0" applyNumberFormat="1" applyFont="1" applyFill="1" applyBorder="1" applyAlignment="1">
      <alignment horizontal="center" vertical="center" wrapText="1"/>
    </xf>
    <xf numFmtId="2" fontId="32" fillId="11" borderId="70" xfId="0" applyNumberFormat="1" applyFont="1" applyFill="1" applyBorder="1" applyAlignment="1">
      <alignment horizontal="center" vertical="center" wrapText="1"/>
    </xf>
    <xf numFmtId="1" fontId="32" fillId="11" borderId="70" xfId="0" applyNumberFormat="1" applyFont="1" applyFill="1" applyBorder="1" applyAlignment="1">
      <alignment horizontal="center" vertical="center" wrapText="1"/>
    </xf>
    <xf numFmtId="2" fontId="39" fillId="11" borderId="70" xfId="0" applyNumberFormat="1" applyFont="1" applyFill="1" applyBorder="1" applyAlignment="1">
      <alignment horizontal="center" vertical="center" wrapText="1"/>
    </xf>
    <xf numFmtId="4" fontId="32" fillId="11" borderId="70" xfId="0" applyNumberFormat="1" applyFont="1" applyFill="1" applyBorder="1" applyAlignment="1">
      <alignment horizontal="center" vertical="center" wrapText="1"/>
    </xf>
    <xf numFmtId="166" fontId="39" fillId="11" borderId="53" xfId="0" applyNumberFormat="1" applyFont="1" applyFill="1" applyBorder="1" applyAlignment="1">
      <alignment horizontal="center" vertical="center" wrapText="1"/>
    </xf>
    <xf numFmtId="0" fontId="36" fillId="5" borderId="0" xfId="0" applyFont="1" applyFill="1"/>
    <xf numFmtId="0" fontId="37" fillId="10" borderId="70" xfId="0" applyFont="1" applyFill="1" applyBorder="1" applyAlignment="1">
      <alignment vertical="center"/>
    </xf>
    <xf numFmtId="2" fontId="36" fillId="18" borderId="77" xfId="0" applyNumberFormat="1" applyFont="1" applyFill="1" applyBorder="1" applyAlignment="1">
      <alignment horizontal="center" vertical="center" wrapText="1"/>
    </xf>
    <xf numFmtId="171" fontId="36" fillId="18" borderId="53" xfId="0" applyNumberFormat="1" applyFont="1" applyFill="1" applyBorder="1" applyAlignment="1">
      <alignment horizontal="center" vertical="center"/>
    </xf>
    <xf numFmtId="0" fontId="37" fillId="0" borderId="0" xfId="0" applyFont="1" applyAlignment="1">
      <alignment horizontal="center"/>
    </xf>
    <xf numFmtId="0" fontId="43" fillId="0" borderId="0" xfId="0" applyFont="1" applyAlignment="1">
      <alignment horizontal="center" vertical="center"/>
    </xf>
    <xf numFmtId="0" fontId="43" fillId="0" borderId="0" xfId="0" applyFont="1"/>
    <xf numFmtId="0" fontId="44" fillId="0" borderId="0" xfId="0" applyFont="1"/>
    <xf numFmtId="0" fontId="36" fillId="0" borderId="0" xfId="0" applyFont="1"/>
    <xf numFmtId="0" fontId="37" fillId="10" borderId="54" xfId="0" applyFont="1" applyFill="1" applyBorder="1" applyAlignment="1">
      <alignment vertical="center"/>
    </xf>
    <xf numFmtId="4" fontId="36" fillId="18" borderId="70" xfId="0" applyNumberFormat="1" applyFont="1" applyFill="1" applyBorder="1" applyAlignment="1">
      <alignment horizontal="center" vertical="center" wrapText="1"/>
    </xf>
    <xf numFmtId="166" fontId="36" fillId="18" borderId="70" xfId="0" applyNumberFormat="1" applyFont="1" applyFill="1" applyBorder="1" applyAlignment="1">
      <alignment horizontal="center" vertical="center" wrapText="1"/>
    </xf>
    <xf numFmtId="2" fontId="37" fillId="18" borderId="70" xfId="0" applyNumberFormat="1" applyFont="1" applyFill="1" applyBorder="1" applyAlignment="1">
      <alignment horizontal="center" vertical="center" wrapText="1"/>
    </xf>
    <xf numFmtId="1" fontId="37" fillId="18" borderId="70" xfId="0" applyNumberFormat="1" applyFont="1" applyFill="1" applyBorder="1" applyAlignment="1">
      <alignment horizontal="center" vertical="center" wrapText="1"/>
    </xf>
    <xf numFmtId="0" fontId="37" fillId="0" borderId="0" xfId="0" applyFont="1"/>
    <xf numFmtId="10" fontId="37" fillId="0" borderId="0" xfId="0" applyNumberFormat="1" applyFont="1" applyAlignment="1">
      <alignment horizontal="center"/>
    </xf>
    <xf numFmtId="0" fontId="43" fillId="12" borderId="77" xfId="0" applyFont="1" applyFill="1" applyBorder="1" applyAlignment="1">
      <alignment vertical="center"/>
    </xf>
    <xf numFmtId="2" fontId="43" fillId="12" borderId="77" xfId="0" applyNumberFormat="1" applyFont="1" applyFill="1" applyBorder="1" applyAlignment="1">
      <alignment horizontal="center" vertical="center" wrapText="1"/>
    </xf>
    <xf numFmtId="171" fontId="43" fillId="15" borderId="53" xfId="0" applyNumberFormat="1" applyFont="1" applyFill="1" applyBorder="1" applyAlignment="1">
      <alignment horizontal="center" vertical="center"/>
    </xf>
    <xf numFmtId="2" fontId="43" fillId="12" borderId="63" xfId="0" applyNumberFormat="1" applyFont="1" applyFill="1" applyBorder="1" applyAlignment="1">
      <alignment horizontal="center" vertical="center"/>
    </xf>
    <xf numFmtId="0" fontId="43" fillId="12" borderId="79" xfId="0" applyFont="1" applyFill="1" applyBorder="1" applyAlignment="1">
      <alignment vertical="center"/>
    </xf>
    <xf numFmtId="0" fontId="37" fillId="0" borderId="0" xfId="0" applyFont="1" applyAlignment="1">
      <alignment vertical="center"/>
    </xf>
    <xf numFmtId="4" fontId="37" fillId="0" borderId="0" xfId="0" applyNumberFormat="1" applyFont="1" applyAlignment="1">
      <alignment horizontal="center" vertical="center" wrapText="1"/>
    </xf>
    <xf numFmtId="4" fontId="37" fillId="10" borderId="70" xfId="0" applyNumberFormat="1" applyFont="1" applyFill="1" applyBorder="1" applyAlignment="1">
      <alignment horizontal="center" vertical="center" wrapText="1"/>
    </xf>
    <xf numFmtId="168" fontId="37" fillId="0" borderId="0" xfId="0" applyNumberFormat="1" applyFont="1" applyAlignment="1">
      <alignment horizontal="center" vertical="center" wrapText="1"/>
    </xf>
    <xf numFmtId="168" fontId="37" fillId="0" borderId="0" xfId="0" applyNumberFormat="1" applyFont="1" applyAlignment="1">
      <alignment vertical="center" wrapText="1"/>
    </xf>
    <xf numFmtId="4" fontId="37" fillId="0" borderId="0" xfId="0" applyNumberFormat="1" applyFont="1" applyAlignment="1">
      <alignment vertical="center" wrapText="1"/>
    </xf>
    <xf numFmtId="2" fontId="37" fillId="0" borderId="0" xfId="0" applyNumberFormat="1" applyFont="1" applyAlignment="1">
      <alignment horizontal="center" vertical="center" wrapText="1"/>
    </xf>
    <xf numFmtId="0" fontId="43" fillId="9" borderId="5" xfId="0" applyFont="1" applyFill="1" applyBorder="1" applyAlignment="1">
      <alignment vertical="center"/>
    </xf>
    <xf numFmtId="0" fontId="43" fillId="9" borderId="77" xfId="0" applyFont="1" applyFill="1" applyBorder="1" applyAlignment="1">
      <alignment vertical="center"/>
    </xf>
    <xf numFmtId="171" fontId="43" fillId="15" borderId="81" xfId="0" applyNumberFormat="1" applyFont="1" applyFill="1" applyBorder="1" applyAlignment="1">
      <alignment horizontal="center" vertical="center"/>
    </xf>
    <xf numFmtId="2" fontId="43" fillId="12" borderId="74" xfId="0" applyNumberFormat="1" applyFont="1" applyFill="1" applyBorder="1" applyAlignment="1">
      <alignment vertical="center"/>
    </xf>
    <xf numFmtId="0" fontId="39" fillId="5" borderId="44" xfId="0" applyFont="1" applyFill="1" applyBorder="1"/>
    <xf numFmtId="2" fontId="43" fillId="12" borderId="44" xfId="0" applyNumberFormat="1" applyFont="1" applyFill="1" applyBorder="1" applyAlignment="1">
      <alignment vertical="center"/>
    </xf>
    <xf numFmtId="171" fontId="43" fillId="15" borderId="44" xfId="0" applyNumberFormat="1" applyFont="1" applyFill="1" applyBorder="1" applyAlignment="1">
      <alignment horizontal="center" vertical="center"/>
    </xf>
    <xf numFmtId="2" fontId="43" fillId="12" borderId="44" xfId="0" applyNumberFormat="1" applyFont="1" applyFill="1" applyBorder="1" applyAlignment="1">
      <alignment horizontal="center" vertical="center"/>
    </xf>
    <xf numFmtId="4" fontId="37" fillId="5" borderId="0" xfId="0" applyNumberFormat="1" applyFont="1" applyFill="1" applyAlignment="1">
      <alignment horizontal="center" vertical="center"/>
    </xf>
    <xf numFmtId="1" fontId="37" fillId="5" borderId="0" xfId="0" applyNumberFormat="1" applyFont="1" applyFill="1" applyAlignment="1">
      <alignment horizontal="center" vertical="center"/>
    </xf>
    <xf numFmtId="10" fontId="37" fillId="5" borderId="0" xfId="0" applyNumberFormat="1" applyFont="1" applyFill="1" applyAlignment="1">
      <alignment horizontal="center" vertical="center"/>
    </xf>
    <xf numFmtId="2" fontId="37" fillId="5" borderId="0" xfId="0" applyNumberFormat="1" applyFont="1" applyFill="1" applyAlignment="1">
      <alignment horizontal="center" vertical="center"/>
    </xf>
    <xf numFmtId="4" fontId="39" fillId="0" borderId="0" xfId="0" applyNumberFormat="1" applyFont="1"/>
    <xf numFmtId="1" fontId="39" fillId="0" borderId="0" xfId="0" applyNumberFormat="1" applyFont="1"/>
    <xf numFmtId="2" fontId="40" fillId="5" borderId="0" xfId="0" applyNumberFormat="1" applyFont="1" applyFill="1"/>
    <xf numFmtId="0" fontId="40" fillId="5" borderId="0" xfId="0" applyFont="1" applyFill="1" applyAlignment="1">
      <alignment horizontal="center"/>
    </xf>
    <xf numFmtId="2" fontId="32" fillId="5" borderId="0" xfId="0" applyNumberFormat="1" applyFont="1" applyFill="1"/>
    <xf numFmtId="0" fontId="40" fillId="5" borderId="0" xfId="0" applyFont="1" applyFill="1" applyAlignment="1">
      <alignment vertical="center"/>
    </xf>
    <xf numFmtId="0" fontId="40" fillId="5" borderId="0" xfId="0" applyFont="1" applyFill="1" applyAlignment="1">
      <alignment vertical="center" wrapText="1"/>
    </xf>
    <xf numFmtId="0" fontId="40" fillId="0" borderId="0" xfId="0" applyFont="1" applyAlignment="1">
      <alignment vertical="center" wrapText="1"/>
    </xf>
    <xf numFmtId="0" fontId="32" fillId="5" borderId="0" xfId="0" applyFont="1" applyFill="1" applyAlignment="1">
      <alignment vertical="center"/>
    </xf>
    <xf numFmtId="2" fontId="32" fillId="5" borderId="0" xfId="0" applyNumberFormat="1" applyFont="1" applyFill="1" applyAlignment="1">
      <alignment vertical="center"/>
    </xf>
    <xf numFmtId="0" fontId="40" fillId="0" borderId="0" xfId="0" applyFont="1" applyAlignment="1">
      <alignment vertical="center"/>
    </xf>
    <xf numFmtId="0" fontId="37" fillId="0" borderId="44" xfId="0" applyFont="1" applyBorder="1" applyAlignment="1">
      <alignment horizontal="center" vertical="center" wrapText="1"/>
    </xf>
    <xf numFmtId="0" fontId="37" fillId="5" borderId="44" xfId="0" applyFont="1" applyFill="1" applyBorder="1" applyAlignment="1">
      <alignment horizontal="center" vertical="center" wrapText="1"/>
    </xf>
    <xf numFmtId="0" fontId="37" fillId="5" borderId="46" xfId="0" applyFont="1" applyFill="1" applyBorder="1" applyAlignment="1">
      <alignment horizontal="center" vertical="center" wrapText="1"/>
    </xf>
    <xf numFmtId="0" fontId="32" fillId="0" borderId="46" xfId="0" applyFont="1" applyBorder="1" applyAlignment="1">
      <alignment horizontal="left" vertical="center" wrapText="1"/>
    </xf>
    <xf numFmtId="0" fontId="32" fillId="0" borderId="45" xfId="0" applyFont="1" applyBorder="1" applyAlignment="1">
      <alignment horizontal="center" vertical="center" wrapText="1"/>
    </xf>
    <xf numFmtId="0" fontId="32" fillId="0" borderId="47" xfId="0" applyFont="1" applyBorder="1" applyAlignment="1">
      <alignment horizontal="center" vertical="center" wrapText="1"/>
    </xf>
    <xf numFmtId="10" fontId="32" fillId="0" borderId="47" xfId="0" applyNumberFormat="1" applyFont="1" applyBorder="1" applyAlignment="1">
      <alignment horizontal="center" vertical="center" wrapText="1"/>
    </xf>
    <xf numFmtId="10" fontId="32" fillId="0" borderId="45" xfId="0" applyNumberFormat="1" applyFont="1" applyBorder="1" applyAlignment="1">
      <alignment horizontal="center" vertical="center" wrapText="1"/>
    </xf>
    <xf numFmtId="0" fontId="32" fillId="0" borderId="47" xfId="0" applyFont="1" applyBorder="1" applyAlignment="1">
      <alignment horizontal="center" vertical="center"/>
    </xf>
    <xf numFmtId="0" fontId="32" fillId="5" borderId="47" xfId="0" applyFont="1" applyFill="1" applyBorder="1" applyAlignment="1">
      <alignment horizontal="center" vertical="center" wrapText="1"/>
    </xf>
    <xf numFmtId="0" fontId="32" fillId="5" borderId="45" xfId="0" applyFont="1" applyFill="1" applyBorder="1" applyAlignment="1">
      <alignment horizontal="center" vertical="center" wrapText="1"/>
    </xf>
    <xf numFmtId="10" fontId="32" fillId="5" borderId="47" xfId="0" applyNumberFormat="1" applyFont="1" applyFill="1" applyBorder="1" applyAlignment="1">
      <alignment horizontal="center" vertical="center" wrapText="1"/>
    </xf>
    <xf numFmtId="0" fontId="32" fillId="0" borderId="47" xfId="0" applyFont="1" applyBorder="1" applyAlignment="1">
      <alignment horizontal="left" vertical="center" wrapText="1"/>
    </xf>
    <xf numFmtId="0" fontId="32" fillId="0" borderId="0" xfId="13" applyNumberFormat="1" applyFont="1" applyFill="1" applyBorder="1" applyAlignment="1" applyProtection="1">
      <alignment horizontal="center" vertical="center"/>
      <protection hidden="1"/>
    </xf>
    <xf numFmtId="0" fontId="32" fillId="5" borderId="0" xfId="13" applyNumberFormat="1" applyFont="1" applyFill="1" applyBorder="1" applyAlignment="1" applyProtection="1">
      <alignment horizontal="center" vertical="center"/>
      <protection hidden="1"/>
    </xf>
    <xf numFmtId="2" fontId="46" fillId="5" borderId="0" xfId="0" applyNumberFormat="1" applyFont="1" applyFill="1" applyAlignment="1">
      <alignment horizontal="center" vertical="center" wrapText="1"/>
    </xf>
    <xf numFmtId="0" fontId="32" fillId="5" borderId="47" xfId="0" applyFont="1" applyFill="1" applyBorder="1" applyAlignment="1">
      <alignment horizontal="center" vertical="center"/>
    </xf>
    <xf numFmtId="0" fontId="39" fillId="5" borderId="0" xfId="0" applyFont="1" applyFill="1" applyAlignment="1">
      <alignment horizontal="center" vertical="center" wrapText="1"/>
    </xf>
    <xf numFmtId="0" fontId="32" fillId="0" borderId="44" xfId="0" applyFont="1" applyBorder="1" applyAlignment="1">
      <alignment horizontal="left" vertical="center" wrapText="1"/>
    </xf>
    <xf numFmtId="0" fontId="32" fillId="0" borderId="44" xfId="0" applyFont="1" applyBorder="1" applyAlignment="1">
      <alignment horizontal="center" vertical="center" wrapText="1"/>
    </xf>
    <xf numFmtId="0" fontId="32" fillId="0" borderId="47" xfId="0" applyFont="1" applyBorder="1" applyAlignment="1">
      <alignment horizontal="right" vertical="center"/>
    </xf>
    <xf numFmtId="0" fontId="32" fillId="5" borderId="47" xfId="0" applyFont="1" applyFill="1" applyBorder="1" applyAlignment="1">
      <alignment horizontal="right" vertical="center"/>
    </xf>
    <xf numFmtId="2" fontId="32" fillId="0" borderId="0" xfId="0" applyNumberFormat="1" applyFont="1" applyAlignment="1">
      <alignment horizontal="center"/>
    </xf>
    <xf numFmtId="2" fontId="40" fillId="5" borderId="0" xfId="0" applyNumberFormat="1" applyFont="1" applyFill="1" applyAlignment="1">
      <alignment horizontal="center"/>
    </xf>
    <xf numFmtId="0" fontId="41" fillId="5" borderId="0" xfId="0" applyFont="1" applyFill="1" applyAlignment="1">
      <alignment horizontal="center"/>
    </xf>
    <xf numFmtId="2" fontId="41" fillId="5" borderId="0" xfId="0" applyNumberFormat="1" applyFont="1" applyFill="1" applyAlignment="1">
      <alignment horizontal="center"/>
    </xf>
    <xf numFmtId="167" fontId="41" fillId="5" borderId="0" xfId="0" applyNumberFormat="1" applyFont="1" applyFill="1"/>
    <xf numFmtId="0" fontId="41" fillId="5" borderId="0" xfId="0" applyFont="1" applyFill="1" applyAlignment="1">
      <alignment horizontal="center" vertical="center"/>
    </xf>
    <xf numFmtId="0" fontId="37" fillId="0" borderId="44" xfId="0" applyFont="1" applyBorder="1" applyAlignment="1">
      <alignment horizontal="left" vertical="center" wrapText="1"/>
    </xf>
    <xf numFmtId="0" fontId="37" fillId="0" borderId="45" xfId="0" applyFont="1" applyBorder="1" applyAlignment="1">
      <alignment horizontal="left" vertical="center" wrapText="1"/>
    </xf>
    <xf numFmtId="0" fontId="40" fillId="5" borderId="0" xfId="0" applyFont="1" applyFill="1" applyAlignment="1">
      <alignment horizontal="right"/>
    </xf>
    <xf numFmtId="0" fontId="43" fillId="12" borderId="57" xfId="0" applyFont="1" applyFill="1" applyBorder="1" applyAlignment="1">
      <alignment horizontal="center" vertical="center"/>
    </xf>
    <xf numFmtId="0" fontId="43" fillId="12" borderId="58" xfId="0" applyFont="1" applyFill="1" applyBorder="1" applyAlignment="1">
      <alignment horizontal="center" vertical="center"/>
    </xf>
    <xf numFmtId="0" fontId="43" fillId="12" borderId="58" xfId="0" applyFont="1" applyFill="1" applyBorder="1" applyAlignment="1">
      <alignment horizontal="center" vertical="center" wrapText="1"/>
    </xf>
    <xf numFmtId="10" fontId="43" fillId="12" borderId="58" xfId="0" applyNumberFormat="1" applyFont="1" applyFill="1" applyBorder="1" applyAlignment="1">
      <alignment horizontal="center" vertical="center" wrapText="1"/>
    </xf>
    <xf numFmtId="0" fontId="43" fillId="12" borderId="59" xfId="0" applyFont="1" applyFill="1" applyBorder="1" applyAlignment="1">
      <alignment horizontal="center" vertical="center" wrapText="1"/>
    </xf>
    <xf numFmtId="0" fontId="39" fillId="11" borderId="42" xfId="0" applyFont="1" applyFill="1" applyBorder="1" applyAlignment="1">
      <alignment vertical="center"/>
    </xf>
    <xf numFmtId="4" fontId="39" fillId="11" borderId="42" xfId="0" applyNumberFormat="1" applyFont="1" applyFill="1" applyBorder="1" applyAlignment="1">
      <alignment horizontal="center" vertical="center"/>
    </xf>
    <xf numFmtId="10" fontId="39" fillId="11" borderId="42" xfId="0" applyNumberFormat="1" applyFont="1" applyFill="1" applyBorder="1" applyAlignment="1">
      <alignment horizontal="center" vertical="center"/>
    </xf>
    <xf numFmtId="166" fontId="39" fillId="11" borderId="56" xfId="14" applyNumberFormat="1" applyFont="1" applyFill="1" applyBorder="1" applyAlignment="1" applyProtection="1">
      <alignment horizontal="center" vertical="center"/>
    </xf>
    <xf numFmtId="0" fontId="39" fillId="11" borderId="70" xfId="0" applyFont="1" applyFill="1" applyBorder="1" applyAlignment="1">
      <alignment vertical="center"/>
    </xf>
    <xf numFmtId="4" fontId="39" fillId="11" borderId="70" xfId="0" applyNumberFormat="1" applyFont="1" applyFill="1" applyBorder="1" applyAlignment="1">
      <alignment horizontal="center" vertical="center"/>
    </xf>
    <xf numFmtId="166" fontId="39" fillId="11" borderId="53" xfId="14" applyNumberFormat="1" applyFont="1" applyFill="1" applyBorder="1" applyAlignment="1" applyProtection="1">
      <alignment horizontal="center" vertical="center"/>
    </xf>
    <xf numFmtId="0" fontId="43" fillId="9" borderId="70" xfId="0" applyFont="1" applyFill="1" applyBorder="1" applyAlignment="1">
      <alignment vertical="center"/>
    </xf>
    <xf numFmtId="4" fontId="43" fillId="9" borderId="70" xfId="0" applyNumberFormat="1" applyFont="1" applyFill="1" applyBorder="1" applyAlignment="1">
      <alignment horizontal="center" vertical="center"/>
    </xf>
    <xf numFmtId="0" fontId="39" fillId="11" borderId="70" xfId="0" applyFont="1" applyFill="1" applyBorder="1" applyAlignment="1">
      <alignment vertical="center" wrapText="1"/>
    </xf>
    <xf numFmtId="0" fontId="43" fillId="9" borderId="67" xfId="0" applyFont="1" applyFill="1" applyBorder="1" applyAlignment="1">
      <alignment vertical="center"/>
    </xf>
    <xf numFmtId="4" fontId="43" fillId="9" borderId="67" xfId="0" applyNumberFormat="1" applyFont="1" applyFill="1" applyBorder="1" applyAlignment="1">
      <alignment horizontal="center" vertical="center"/>
    </xf>
    <xf numFmtId="0" fontId="39" fillId="11" borderId="42" xfId="0" applyFont="1" applyFill="1" applyBorder="1" applyAlignment="1">
      <alignment vertical="center" wrapText="1"/>
    </xf>
    <xf numFmtId="10" fontId="43" fillId="9" borderId="70" xfId="0" applyNumberFormat="1" applyFont="1" applyFill="1" applyBorder="1" applyAlignment="1">
      <alignment horizontal="center" vertical="center"/>
    </xf>
    <xf numFmtId="166" fontId="43" fillId="9" borderId="53" xfId="14" applyNumberFormat="1" applyFont="1" applyFill="1" applyBorder="1" applyAlignment="1" applyProtection="1">
      <alignment horizontal="center" vertical="center"/>
    </xf>
    <xf numFmtId="4" fontId="43" fillId="12" borderId="58" xfId="0" applyNumberFormat="1" applyFont="1" applyFill="1" applyBorder="1" applyAlignment="1">
      <alignment horizontal="center" vertical="center"/>
    </xf>
    <xf numFmtId="0" fontId="43" fillId="12" borderId="57" xfId="0" applyFont="1" applyFill="1" applyBorder="1" applyAlignment="1">
      <alignment horizontal="center" vertical="center" wrapText="1"/>
    </xf>
    <xf numFmtId="4" fontId="39" fillId="11" borderId="42" xfId="0" applyNumberFormat="1" applyFont="1" applyFill="1" applyBorder="1" applyAlignment="1">
      <alignment horizontal="left" vertical="center" wrapText="1"/>
    </xf>
    <xf numFmtId="171" fontId="39" fillId="11" borderId="56" xfId="14" applyNumberFormat="1" applyFont="1" applyFill="1" applyBorder="1" applyAlignment="1" applyProtection="1">
      <alignment horizontal="center" vertical="center"/>
    </xf>
    <xf numFmtId="4" fontId="39" fillId="11" borderId="70" xfId="0" applyNumberFormat="1" applyFont="1" applyFill="1" applyBorder="1" applyAlignment="1">
      <alignment horizontal="left" vertical="center" wrapText="1"/>
    </xf>
    <xf numFmtId="171" fontId="39" fillId="11" borderId="53" xfId="14" applyNumberFormat="1" applyFont="1" applyFill="1" applyBorder="1" applyAlignment="1" applyProtection="1">
      <alignment horizontal="center" vertical="center"/>
    </xf>
    <xf numFmtId="4" fontId="39" fillId="11" borderId="67" xfId="0" applyNumberFormat="1" applyFont="1" applyFill="1" applyBorder="1" applyAlignment="1">
      <alignment horizontal="left" vertical="center" wrapText="1"/>
    </xf>
    <xf numFmtId="4" fontId="39" fillId="11" borderId="67" xfId="0" applyNumberFormat="1" applyFont="1" applyFill="1" applyBorder="1" applyAlignment="1">
      <alignment horizontal="center" vertical="center"/>
    </xf>
    <xf numFmtId="171" fontId="39" fillId="11" borderId="81" xfId="14" applyNumberFormat="1" applyFont="1" applyFill="1" applyBorder="1" applyAlignment="1" applyProtection="1">
      <alignment horizontal="center" vertical="center"/>
    </xf>
    <xf numFmtId="171" fontId="43" fillId="12" borderId="59" xfId="14" applyNumberFormat="1" applyFont="1" applyFill="1" applyBorder="1" applyAlignment="1" applyProtection="1">
      <alignment horizontal="center" vertical="center"/>
    </xf>
    <xf numFmtId="3" fontId="36" fillId="11" borderId="55" xfId="0" applyNumberFormat="1" applyFont="1" applyFill="1" applyBorder="1" applyAlignment="1">
      <alignment horizontal="center" vertical="center"/>
    </xf>
    <xf numFmtId="4" fontId="39" fillId="11" borderId="56" xfId="0" applyNumberFormat="1" applyFont="1" applyFill="1" applyBorder="1" applyAlignment="1">
      <alignment horizontal="center" vertical="center"/>
    </xf>
    <xf numFmtId="3" fontId="36" fillId="11" borderId="54" xfId="0" applyNumberFormat="1" applyFont="1" applyFill="1" applyBorder="1" applyAlignment="1">
      <alignment horizontal="center" vertical="center"/>
    </xf>
    <xf numFmtId="4" fontId="39" fillId="11" borderId="53" xfId="0" applyNumberFormat="1" applyFont="1" applyFill="1" applyBorder="1" applyAlignment="1">
      <alignment horizontal="center" vertical="center"/>
    </xf>
    <xf numFmtId="3" fontId="36" fillId="11" borderId="71" xfId="0" applyNumberFormat="1" applyFont="1" applyFill="1" applyBorder="1" applyAlignment="1">
      <alignment horizontal="center" vertical="center"/>
    </xf>
    <xf numFmtId="4" fontId="39" fillId="11" borderId="81" xfId="0" applyNumberFormat="1" applyFont="1" applyFill="1" applyBorder="1" applyAlignment="1">
      <alignment horizontal="center" vertical="center"/>
    </xf>
    <xf numFmtId="4" fontId="43" fillId="12" borderId="57" xfId="0" applyNumberFormat="1" applyFont="1" applyFill="1" applyBorder="1" applyAlignment="1">
      <alignment horizontal="center" vertical="center" wrapText="1"/>
    </xf>
    <xf numFmtId="168" fontId="22" fillId="5" borderId="0" xfId="0" applyNumberFormat="1" applyFont="1" applyFill="1" applyAlignment="1">
      <alignment horizontal="center" vertical="center" wrapText="1"/>
    </xf>
    <xf numFmtId="4" fontId="22" fillId="5" borderId="0" xfId="0" applyNumberFormat="1" applyFont="1" applyFill="1" applyAlignment="1">
      <alignment vertical="center" wrapText="1"/>
    </xf>
    <xf numFmtId="10" fontId="22" fillId="5" borderId="0" xfId="0" applyNumberFormat="1" applyFont="1" applyFill="1" applyAlignment="1">
      <alignment vertical="center" wrapText="1"/>
    </xf>
    <xf numFmtId="0" fontId="24" fillId="0" borderId="0" xfId="1" applyFont="1" applyFill="1" applyBorder="1" applyAlignment="1" applyProtection="1">
      <alignment vertical="center"/>
    </xf>
    <xf numFmtId="0" fontId="42" fillId="0" borderId="51" xfId="1" applyFont="1" applyFill="1" applyBorder="1" applyAlignment="1" applyProtection="1">
      <alignment vertical="center"/>
    </xf>
    <xf numFmtId="172" fontId="20" fillId="13" borderId="70" xfId="0" applyNumberFormat="1" applyFont="1" applyFill="1" applyBorder="1" applyAlignment="1">
      <alignment horizontal="center" vertical="center" wrapText="1"/>
    </xf>
    <xf numFmtId="2" fontId="23" fillId="12" borderId="77" xfId="0" applyNumberFormat="1" applyFont="1" applyFill="1" applyBorder="1" applyAlignment="1">
      <alignment vertical="center"/>
    </xf>
    <xf numFmtId="3" fontId="20" fillId="13" borderId="70" xfId="0" applyNumberFormat="1" applyFont="1" applyFill="1" applyBorder="1" applyAlignment="1">
      <alignment horizontal="center" vertical="center" wrapText="1"/>
    </xf>
    <xf numFmtId="171" fontId="18" fillId="13" borderId="53" xfId="0" applyNumberFormat="1" applyFont="1" applyFill="1" applyBorder="1" applyAlignment="1">
      <alignment horizontal="center" vertical="center" wrapText="1"/>
    </xf>
    <xf numFmtId="171" fontId="23" fillId="15" borderId="53" xfId="0" applyNumberFormat="1" applyFont="1" applyFill="1" applyBorder="1" applyAlignment="1">
      <alignment horizontal="center" vertical="center" wrapText="1"/>
    </xf>
    <xf numFmtId="166" fontId="49" fillId="12" borderId="70" xfId="0" applyNumberFormat="1" applyFont="1" applyFill="1" applyBorder="1" applyAlignment="1">
      <alignment horizontal="center" vertical="center" wrapText="1"/>
    </xf>
    <xf numFmtId="0" fontId="35" fillId="0" borderId="0" xfId="0" applyFont="1" applyAlignment="1">
      <alignment vertical="center"/>
    </xf>
    <xf numFmtId="0" fontId="35" fillId="0" borderId="0" xfId="0" applyFont="1"/>
    <xf numFmtId="0" fontId="50" fillId="0" borderId="0" xfId="0" applyFont="1" applyAlignment="1">
      <alignment vertical="center"/>
    </xf>
    <xf numFmtId="0" fontId="38" fillId="19" borderId="84" xfId="0" applyFont="1" applyFill="1" applyBorder="1" applyAlignment="1">
      <alignment vertical="center"/>
    </xf>
    <xf numFmtId="49" fontId="38" fillId="19" borderId="84" xfId="0" applyNumberFormat="1" applyFont="1" applyFill="1" applyBorder="1" applyAlignment="1">
      <alignment vertical="center"/>
    </xf>
    <xf numFmtId="0" fontId="35" fillId="20" borderId="84" xfId="0" applyFont="1" applyFill="1" applyBorder="1" applyAlignment="1">
      <alignment vertical="center"/>
    </xf>
    <xf numFmtId="1" fontId="35" fillId="0" borderId="84" xfId="0" applyNumberFormat="1" applyFont="1" applyBorder="1" applyAlignment="1">
      <alignment vertical="center"/>
    </xf>
    <xf numFmtId="1" fontId="35" fillId="0" borderId="84" xfId="0" applyNumberFormat="1" applyFont="1" applyBorder="1" applyAlignment="1">
      <alignment horizontal="left" vertical="center" indent="4"/>
    </xf>
    <xf numFmtId="2" fontId="35" fillId="0" borderId="84" xfId="0" applyNumberFormat="1" applyFont="1" applyBorder="1" applyAlignment="1">
      <alignment vertical="center"/>
    </xf>
    <xf numFmtId="0" fontId="35" fillId="0" borderId="84" xfId="0" applyFont="1" applyBorder="1" applyAlignment="1">
      <alignment vertical="center"/>
    </xf>
    <xf numFmtId="1" fontId="35" fillId="20" borderId="84" xfId="0" applyNumberFormat="1" applyFont="1" applyFill="1" applyBorder="1" applyAlignment="1">
      <alignment vertical="center"/>
    </xf>
    <xf numFmtId="2" fontId="35" fillId="20" borderId="84" xfId="0" applyNumberFormat="1" applyFont="1" applyFill="1" applyBorder="1"/>
    <xf numFmtId="0" fontId="35" fillId="20" borderId="84" xfId="0" applyFont="1" applyFill="1" applyBorder="1"/>
    <xf numFmtId="0" fontId="52" fillId="19" borderId="84" xfId="0" applyFont="1" applyFill="1" applyBorder="1" applyAlignment="1">
      <alignment vertical="center"/>
    </xf>
    <xf numFmtId="0" fontId="52" fillId="19" borderId="91" xfId="0" applyFont="1" applyFill="1" applyBorder="1" applyAlignment="1">
      <alignment horizontal="left" vertical="center"/>
    </xf>
    <xf numFmtId="2" fontId="53" fillId="20" borderId="84" xfId="0" applyNumberFormat="1" applyFont="1" applyFill="1" applyBorder="1" applyAlignment="1">
      <alignment vertical="center"/>
    </xf>
    <xf numFmtId="0" fontId="52" fillId="19" borderId="70" xfId="0" applyFont="1" applyFill="1" applyBorder="1" applyAlignment="1">
      <alignment horizontal="left" vertical="center"/>
    </xf>
    <xf numFmtId="0" fontId="54" fillId="20" borderId="84" xfId="0" applyFont="1" applyFill="1" applyBorder="1" applyAlignment="1">
      <alignment vertical="center"/>
    </xf>
    <xf numFmtId="0" fontId="53" fillId="20" borderId="84" xfId="0" applyFont="1" applyFill="1" applyBorder="1" applyAlignment="1">
      <alignment vertical="center"/>
    </xf>
    <xf numFmtId="0" fontId="53" fillId="20" borderId="94" xfId="0" applyFont="1" applyFill="1" applyBorder="1" applyAlignment="1">
      <alignment vertical="center"/>
    </xf>
    <xf numFmtId="49" fontId="38" fillId="21" borderId="84" xfId="0" applyNumberFormat="1" applyFont="1" applyFill="1" applyBorder="1" applyAlignment="1">
      <alignment vertical="center" wrapText="1"/>
    </xf>
    <xf numFmtId="0" fontId="38" fillId="21" borderId="84" xfId="0" applyFont="1" applyFill="1" applyBorder="1" applyAlignment="1">
      <alignment vertical="center" wrapText="1"/>
    </xf>
    <xf numFmtId="49" fontId="35" fillId="20" borderId="84" xfId="0" applyNumberFormat="1" applyFont="1" applyFill="1" applyBorder="1" applyAlignment="1">
      <alignment vertical="center" wrapText="1"/>
    </xf>
    <xf numFmtId="0" fontId="35" fillId="20" borderId="84" xfId="0" applyFont="1" applyFill="1" applyBorder="1" applyAlignment="1">
      <alignment vertical="center" wrapText="1"/>
    </xf>
    <xf numFmtId="0" fontId="38" fillId="22" borderId="84" xfId="0" applyFont="1" applyFill="1" applyBorder="1" applyAlignment="1">
      <alignment vertical="center"/>
    </xf>
    <xf numFmtId="0" fontId="35" fillId="23" borderId="84" xfId="0" applyFont="1" applyFill="1" applyBorder="1" applyAlignment="1">
      <alignment vertical="center"/>
    </xf>
    <xf numFmtId="3" fontId="23" fillId="12" borderId="77" xfId="0" applyNumberFormat="1" applyFont="1" applyFill="1" applyBorder="1" applyAlignment="1">
      <alignment vertical="center"/>
    </xf>
    <xf numFmtId="0" fontId="43" fillId="0" borderId="79" xfId="0" applyFont="1" applyBorder="1" applyAlignment="1">
      <alignment horizontal="left" vertical="center"/>
    </xf>
    <xf numFmtId="0" fontId="43" fillId="0" borderId="77" xfId="0" applyFont="1" applyBorder="1" applyAlignment="1">
      <alignment horizontal="left" vertical="center"/>
    </xf>
    <xf numFmtId="0" fontId="43" fillId="0" borderId="77" xfId="0" applyFont="1" applyBorder="1" applyAlignment="1">
      <alignment vertical="center"/>
    </xf>
    <xf numFmtId="2" fontId="43" fillId="0" borderId="77" xfId="0" applyNumberFormat="1" applyFont="1" applyBorder="1" applyAlignment="1">
      <alignment horizontal="center" vertical="center" wrapText="1"/>
    </xf>
    <xf numFmtId="171" fontId="43" fillId="0" borderId="77" xfId="0" applyNumberFormat="1" applyFont="1" applyBorder="1" applyAlignment="1">
      <alignment horizontal="center" vertical="center"/>
    </xf>
    <xf numFmtId="2" fontId="43" fillId="0" borderId="0" xfId="0" applyNumberFormat="1" applyFont="1" applyAlignment="1">
      <alignment horizontal="center" vertical="center"/>
    </xf>
    <xf numFmtId="1" fontId="43" fillId="12" borderId="44" xfId="0" applyNumberFormat="1" applyFont="1" applyFill="1" applyBorder="1" applyAlignment="1">
      <alignment horizontal="center" vertical="center"/>
    </xf>
    <xf numFmtId="0" fontId="20" fillId="13" borderId="89" xfId="0" applyFont="1" applyFill="1" applyBorder="1" applyAlignment="1">
      <alignment vertical="center" wrapText="1"/>
    </xf>
    <xf numFmtId="3" fontId="20" fillId="0" borderId="0" xfId="0" applyNumberFormat="1" applyFont="1"/>
    <xf numFmtId="0" fontId="52" fillId="19" borderId="84" xfId="0" applyFont="1" applyFill="1" applyBorder="1" applyAlignment="1">
      <alignment vertical="center" wrapText="1"/>
    </xf>
    <xf numFmtId="0" fontId="25" fillId="0" borderId="95" xfId="0" applyFont="1" applyBorder="1" applyAlignment="1">
      <alignment horizontal="center" vertical="center" wrapText="1"/>
    </xf>
    <xf numFmtId="0" fontId="25" fillId="0" borderId="47" xfId="0" applyFont="1" applyBorder="1" applyAlignment="1">
      <alignment horizontal="center" vertical="center" wrapText="1"/>
    </xf>
    <xf numFmtId="0" fontId="20" fillId="0" borderId="96" xfId="0" applyFont="1" applyBorder="1"/>
    <xf numFmtId="0" fontId="20" fillId="24" borderId="46" xfId="0" applyFont="1" applyFill="1" applyBorder="1" applyAlignment="1">
      <alignment horizontal="left" vertical="center" wrapText="1"/>
    </xf>
    <xf numFmtId="0" fontId="22" fillId="0" borderId="0" xfId="0" applyFont="1"/>
    <xf numFmtId="0" fontId="22" fillId="0" borderId="0" xfId="0" applyFont="1" applyAlignment="1">
      <alignment horizontal="left"/>
    </xf>
    <xf numFmtId="2" fontId="22" fillId="0" borderId="0" xfId="0" applyNumberFormat="1" applyFont="1"/>
    <xf numFmtId="0" fontId="18" fillId="0" borderId="0" xfId="0" applyFont="1" applyAlignment="1">
      <alignment horizontal="left"/>
    </xf>
    <xf numFmtId="172" fontId="22" fillId="0" borderId="0" xfId="0" applyNumberFormat="1" applyFont="1"/>
    <xf numFmtId="0" fontId="18" fillId="0" borderId="0" xfId="0" applyFont="1" applyAlignment="1">
      <alignment horizontal="center"/>
    </xf>
    <xf numFmtId="10" fontId="18" fillId="0" borderId="0" xfId="0" applyNumberFormat="1" applyFont="1" applyAlignment="1">
      <alignment horizontal="center"/>
    </xf>
    <xf numFmtId="0" fontId="22" fillId="0" borderId="48" xfId="0" applyFont="1" applyBorder="1" applyAlignment="1">
      <alignment horizontal="center" vertical="center" wrapText="1"/>
    </xf>
    <xf numFmtId="0" fontId="22" fillId="0" borderId="46" xfId="0" applyFont="1" applyBorder="1" applyAlignment="1">
      <alignment horizontal="center" vertical="center" wrapText="1"/>
    </xf>
    <xf numFmtId="9" fontId="18" fillId="0" borderId="0" xfId="0" applyNumberFormat="1" applyFont="1"/>
    <xf numFmtId="172" fontId="18" fillId="0" borderId="0" xfId="0" applyNumberFormat="1" applyFont="1"/>
    <xf numFmtId="0" fontId="18" fillId="0" borderId="46" xfId="0" applyFont="1" applyBorder="1" applyAlignment="1">
      <alignment horizontal="center" vertical="center" wrapText="1"/>
    </xf>
    <xf numFmtId="10" fontId="18" fillId="0" borderId="47" xfId="0" applyNumberFormat="1" applyFont="1" applyBorder="1" applyAlignment="1">
      <alignment horizontal="center" vertical="center" wrapText="1"/>
    </xf>
    <xf numFmtId="10" fontId="18" fillId="0" borderId="45" xfId="0" applyNumberFormat="1" applyFont="1" applyBorder="1" applyAlignment="1">
      <alignment horizontal="center" vertical="center" wrapText="1"/>
    </xf>
    <xf numFmtId="2" fontId="18" fillId="0" borderId="0" xfId="0" applyNumberFormat="1" applyFont="1" applyAlignment="1">
      <alignment horizontal="center"/>
    </xf>
    <xf numFmtId="0" fontId="20" fillId="24" borderId="44" xfId="0" applyFont="1" applyFill="1" applyBorder="1" applyAlignment="1">
      <alignment horizontal="left" vertical="center" wrapText="1"/>
    </xf>
    <xf numFmtId="3" fontId="25" fillId="10" borderId="70" xfId="0" applyNumberFormat="1" applyFont="1" applyFill="1" applyBorder="1" applyAlignment="1">
      <alignment horizontal="center" vertical="center"/>
    </xf>
    <xf numFmtId="4" fontId="39" fillId="17" borderId="84" xfId="0" applyNumberFormat="1" applyFont="1" applyFill="1" applyBorder="1" applyAlignment="1">
      <alignment horizontal="center" vertical="center"/>
    </xf>
    <xf numFmtId="169" fontId="32" fillId="25" borderId="70" xfId="0" applyNumberFormat="1" applyFont="1" applyFill="1" applyBorder="1" applyAlignment="1">
      <alignment horizontal="center" vertical="center" wrapText="1"/>
    </xf>
    <xf numFmtId="1" fontId="39" fillId="11" borderId="70" xfId="0" applyNumberFormat="1" applyFont="1" applyFill="1" applyBorder="1" applyAlignment="1">
      <alignment horizontal="center" vertical="center" wrapText="1"/>
    </xf>
    <xf numFmtId="166" fontId="39" fillId="13" borderId="70" xfId="0" applyNumberFormat="1" applyFont="1" applyFill="1" applyBorder="1" applyAlignment="1">
      <alignment horizontal="center" vertical="center" wrapText="1"/>
    </xf>
    <xf numFmtId="2" fontId="39" fillId="13" borderId="70" xfId="0" applyNumberFormat="1" applyFont="1" applyFill="1" applyBorder="1" applyAlignment="1">
      <alignment horizontal="center" vertical="center" wrapText="1"/>
    </xf>
    <xf numFmtId="1" fontId="18" fillId="13" borderId="70" xfId="0" applyNumberFormat="1" applyFont="1" applyFill="1" applyBorder="1" applyAlignment="1">
      <alignment horizontal="center" vertical="center" wrapText="1"/>
    </xf>
    <xf numFmtId="4" fontId="25" fillId="10" borderId="70" xfId="0" applyNumberFormat="1" applyFont="1" applyFill="1" applyBorder="1" applyAlignment="1">
      <alignment vertical="center"/>
    </xf>
    <xf numFmtId="4" fontId="18" fillId="13" borderId="70" xfId="0" applyNumberFormat="1" applyFont="1" applyFill="1" applyBorder="1" applyAlignment="1">
      <alignment horizontal="center" vertical="center" wrapText="1"/>
    </xf>
    <xf numFmtId="170" fontId="39" fillId="13" borderId="70" xfId="0" applyNumberFormat="1" applyFont="1" applyFill="1" applyBorder="1" applyAlignment="1">
      <alignment horizontal="center" vertical="center" wrapText="1"/>
    </xf>
    <xf numFmtId="1" fontId="39" fillId="13" borderId="70" xfId="0" applyNumberFormat="1" applyFont="1" applyFill="1" applyBorder="1" applyAlignment="1">
      <alignment horizontal="center" vertical="center" wrapText="1"/>
    </xf>
    <xf numFmtId="4" fontId="22" fillId="18" borderId="70" xfId="0" applyNumberFormat="1" applyFont="1" applyFill="1" applyBorder="1" applyAlignment="1">
      <alignment horizontal="center" vertical="center"/>
    </xf>
    <xf numFmtId="10" fontId="43" fillId="26" borderId="42" xfId="0" applyNumberFormat="1" applyFont="1" applyFill="1" applyBorder="1" applyAlignment="1">
      <alignment horizontal="center" vertical="center"/>
    </xf>
    <xf numFmtId="0" fontId="20" fillId="13" borderId="54" xfId="0" applyFont="1" applyFill="1" applyBorder="1" applyAlignment="1">
      <alignment horizontal="left" vertical="center" wrapText="1"/>
    </xf>
    <xf numFmtId="166" fontId="36" fillId="18" borderId="53" xfId="0" applyNumberFormat="1" applyFont="1" applyFill="1" applyBorder="1" applyAlignment="1">
      <alignment horizontal="center" vertical="center"/>
    </xf>
    <xf numFmtId="166" fontId="43" fillId="15" borderId="53" xfId="0" applyNumberFormat="1" applyFont="1" applyFill="1" applyBorder="1" applyAlignment="1">
      <alignment horizontal="center" vertical="center"/>
    </xf>
    <xf numFmtId="0" fontId="18" fillId="13" borderId="54" xfId="0" applyFont="1" applyFill="1" applyBorder="1" applyAlignment="1">
      <alignment vertical="center" wrapText="1"/>
    </xf>
    <xf numFmtId="2" fontId="23" fillId="12" borderId="77" xfId="0" applyNumberFormat="1" applyFont="1" applyFill="1" applyBorder="1" applyAlignment="1">
      <alignment horizontal="center" vertical="center"/>
    </xf>
    <xf numFmtId="0" fontId="39" fillId="0" borderId="0" xfId="0" applyFont="1" applyAlignment="1">
      <alignment horizontal="center"/>
    </xf>
    <xf numFmtId="0" fontId="20" fillId="25" borderId="70" xfId="0" applyFont="1" applyFill="1" applyBorder="1" applyAlignment="1">
      <alignment vertical="center"/>
    </xf>
    <xf numFmtId="170" fontId="20" fillId="25" borderId="70" xfId="0" applyNumberFormat="1" applyFont="1" applyFill="1" applyBorder="1" applyAlignment="1">
      <alignment vertical="center"/>
    </xf>
    <xf numFmtId="2" fontId="20" fillId="25" borderId="70" xfId="0" applyNumberFormat="1" applyFont="1" applyFill="1" applyBorder="1" applyAlignment="1">
      <alignment vertical="center"/>
    </xf>
    <xf numFmtId="4" fontId="20" fillId="25" borderId="70" xfId="0" applyNumberFormat="1" applyFont="1" applyFill="1" applyBorder="1" applyAlignment="1">
      <alignment horizontal="center" vertical="center"/>
    </xf>
    <xf numFmtId="166" fontId="18" fillId="25" borderId="70" xfId="0" applyNumberFormat="1" applyFont="1" applyFill="1" applyBorder="1" applyAlignment="1">
      <alignment horizontal="center" vertical="center" wrapText="1"/>
    </xf>
    <xf numFmtId="169" fontId="20" fillId="25" borderId="70" xfId="0" applyNumberFormat="1" applyFont="1" applyFill="1" applyBorder="1" applyAlignment="1">
      <alignment vertical="center"/>
    </xf>
    <xf numFmtId="168" fontId="20" fillId="25" borderId="70" xfId="0" applyNumberFormat="1" applyFont="1" applyFill="1" applyBorder="1" applyAlignment="1">
      <alignment vertical="center"/>
    </xf>
    <xf numFmtId="2" fontId="18" fillId="25" borderId="70" xfId="0" applyNumberFormat="1" applyFont="1" applyFill="1" applyBorder="1" applyAlignment="1">
      <alignment horizontal="center" vertical="center" wrapText="1"/>
    </xf>
    <xf numFmtId="10" fontId="20" fillId="25" borderId="70" xfId="0" applyNumberFormat="1" applyFont="1" applyFill="1" applyBorder="1" applyAlignment="1">
      <alignment horizontal="center" vertical="center"/>
    </xf>
    <xf numFmtId="2" fontId="20" fillId="25" borderId="70" xfId="0" applyNumberFormat="1" applyFont="1" applyFill="1" applyBorder="1" applyAlignment="1">
      <alignment horizontal="center" vertical="center"/>
    </xf>
    <xf numFmtId="166" fontId="35" fillId="17" borderId="84" xfId="0" applyNumberFormat="1" applyFont="1" applyFill="1" applyBorder="1" applyAlignment="1">
      <alignment horizontal="center" vertical="center" wrapText="1"/>
    </xf>
    <xf numFmtId="2" fontId="39" fillId="11" borderId="42" xfId="0" applyNumberFormat="1" applyFont="1" applyFill="1" applyBorder="1" applyAlignment="1">
      <alignment vertical="center"/>
    </xf>
    <xf numFmtId="2" fontId="43" fillId="9" borderId="70" xfId="0" applyNumberFormat="1" applyFont="1" applyFill="1" applyBorder="1" applyAlignment="1">
      <alignment vertical="center"/>
    </xf>
    <xf numFmtId="0" fontId="8" fillId="3" borderId="15" xfId="1" applyFont="1" applyFill="1" applyBorder="1" applyAlignment="1" applyProtection="1">
      <alignment horizontal="center" vertical="center" wrapText="1"/>
    </xf>
    <xf numFmtId="0" fontId="8" fillId="3" borderId="16" xfId="1" applyFont="1" applyFill="1" applyBorder="1" applyAlignment="1" applyProtection="1">
      <alignment horizontal="center" vertical="center" wrapText="1"/>
    </xf>
    <xf numFmtId="0" fontId="8" fillId="3" borderId="32" xfId="1" applyFont="1" applyFill="1" applyBorder="1" applyAlignment="1" applyProtection="1">
      <alignment horizontal="center" vertical="center" wrapText="1"/>
    </xf>
    <xf numFmtId="0" fontId="8" fillId="3" borderId="30" xfId="1" applyFont="1" applyFill="1" applyBorder="1" applyAlignment="1" applyProtection="1">
      <alignment horizontal="center" vertical="center" wrapText="1"/>
    </xf>
    <xf numFmtId="0" fontId="8" fillId="3" borderId="31" xfId="1" applyFont="1" applyFill="1" applyBorder="1" applyAlignment="1" applyProtection="1">
      <alignment horizontal="center" vertical="center" wrapText="1"/>
    </xf>
    <xf numFmtId="0" fontId="0" fillId="6" borderId="26" xfId="0" applyFill="1" applyBorder="1" applyAlignment="1">
      <alignment horizontal="left" vertical="center" wrapText="1"/>
    </xf>
    <xf numFmtId="0" fontId="0" fillId="6" borderId="16" xfId="0" applyFill="1" applyBorder="1" applyAlignment="1">
      <alignment horizontal="left" vertical="center" wrapText="1"/>
    </xf>
    <xf numFmtId="0" fontId="0" fillId="4" borderId="16" xfId="0" applyFill="1" applyBorder="1" applyAlignment="1">
      <alignment horizontal="left" vertical="center" wrapText="1"/>
    </xf>
    <xf numFmtId="0" fontId="0" fillId="4" borderId="32" xfId="0" applyFill="1" applyBorder="1" applyAlignment="1">
      <alignment horizontal="left" vertical="center" wrapText="1"/>
    </xf>
    <xf numFmtId="0" fontId="5" fillId="4" borderId="10" xfId="1" applyFill="1" applyBorder="1" applyAlignment="1" applyProtection="1">
      <alignment horizontal="center" vertical="center"/>
    </xf>
    <xf numFmtId="0" fontId="5" fillId="4" borderId="11" xfId="1" applyFill="1" applyBorder="1" applyAlignment="1" applyProtection="1">
      <alignment horizontal="center" vertical="center"/>
    </xf>
    <xf numFmtId="0" fontId="0" fillId="6" borderId="25" xfId="0" applyFill="1" applyBorder="1" applyAlignment="1">
      <alignment horizontal="left" vertical="center" wrapText="1"/>
    </xf>
    <xf numFmtId="0" fontId="0" fillId="6" borderId="0" xfId="0" applyFill="1" applyAlignment="1">
      <alignment horizontal="left" vertical="center" wrapText="1"/>
    </xf>
    <xf numFmtId="0" fontId="8" fillId="3" borderId="6" xfId="1" applyFont="1" applyFill="1" applyBorder="1" applyAlignment="1" applyProtection="1">
      <alignment horizontal="center" vertical="center" wrapText="1"/>
    </xf>
    <xf numFmtId="0" fontId="8" fillId="3" borderId="7" xfId="1" applyFont="1" applyFill="1" applyBorder="1" applyAlignment="1" applyProtection="1">
      <alignment horizontal="center" vertical="center" wrapText="1"/>
    </xf>
    <xf numFmtId="0" fontId="8" fillId="3" borderId="27" xfId="1" applyFont="1" applyFill="1" applyBorder="1" applyAlignment="1" applyProtection="1">
      <alignment horizontal="center" vertical="center" wrapText="1"/>
    </xf>
    <xf numFmtId="0" fontId="8" fillId="3" borderId="28" xfId="1" applyFont="1" applyFill="1" applyBorder="1" applyAlignment="1" applyProtection="1">
      <alignment horizontal="center" vertical="center" wrapText="1"/>
    </xf>
    <xf numFmtId="0" fontId="0" fillId="6" borderId="19" xfId="0" applyFill="1" applyBorder="1" applyAlignment="1">
      <alignment horizontal="center" vertical="center" wrapText="1"/>
    </xf>
    <xf numFmtId="0" fontId="13" fillId="6" borderId="26" xfId="0" applyFont="1" applyFill="1" applyBorder="1" applyAlignment="1">
      <alignment horizontal="left" vertical="center" wrapText="1"/>
    </xf>
    <xf numFmtId="0" fontId="2" fillId="6" borderId="16" xfId="0" applyFont="1" applyFill="1" applyBorder="1" applyAlignment="1">
      <alignment horizontal="left" vertical="center" wrapText="1"/>
    </xf>
    <xf numFmtId="0" fontId="0" fillId="4" borderId="21" xfId="0" applyFill="1" applyBorder="1" applyAlignment="1">
      <alignment horizontal="left" vertical="center" wrapText="1"/>
    </xf>
    <xf numFmtId="0" fontId="0" fillId="4" borderId="22" xfId="0" applyFill="1" applyBorder="1" applyAlignment="1">
      <alignment horizontal="left" vertical="center" wrapText="1"/>
    </xf>
    <xf numFmtId="0" fontId="3" fillId="5" borderId="0" xfId="0" applyFont="1" applyFill="1" applyAlignment="1" applyProtection="1">
      <alignment horizontal="center" vertical="center" wrapText="1"/>
      <protection locked="0"/>
    </xf>
    <xf numFmtId="0" fontId="3" fillId="5" borderId="5" xfId="0" applyFont="1" applyFill="1" applyBorder="1" applyAlignment="1" applyProtection="1">
      <alignment horizontal="center" vertical="center" wrapText="1"/>
      <protection locked="0"/>
    </xf>
    <xf numFmtId="0" fontId="8" fillId="3" borderId="17" xfId="1" applyFont="1" applyFill="1" applyBorder="1" applyAlignment="1" applyProtection="1">
      <alignment horizontal="center" vertical="center" wrapText="1"/>
    </xf>
    <xf numFmtId="0" fontId="8" fillId="3" borderId="8" xfId="1" applyFont="1" applyFill="1" applyBorder="1" applyAlignment="1" applyProtection="1">
      <alignment horizontal="center" vertical="center" wrapText="1"/>
    </xf>
    <xf numFmtId="0" fontId="8" fillId="3" borderId="9" xfId="1" applyFont="1" applyFill="1" applyBorder="1" applyAlignment="1" applyProtection="1">
      <alignment horizontal="center" vertical="center" wrapText="1"/>
    </xf>
    <xf numFmtId="0" fontId="8" fillId="3" borderId="23" xfId="1" applyFont="1" applyFill="1" applyBorder="1" applyAlignment="1" applyProtection="1">
      <alignment horizontal="center" vertical="center" wrapText="1"/>
    </xf>
    <xf numFmtId="0" fontId="8" fillId="3" borderId="24" xfId="1" applyFont="1" applyFill="1" applyBorder="1" applyAlignment="1" applyProtection="1">
      <alignment horizontal="center" vertical="center" wrapText="1"/>
    </xf>
    <xf numFmtId="0" fontId="0" fillId="6" borderId="36" xfId="0" applyFill="1" applyBorder="1" applyAlignment="1">
      <alignment horizontal="left" vertical="center" wrapText="1"/>
    </xf>
    <xf numFmtId="0" fontId="0" fillId="6" borderId="37" xfId="0"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8" fillId="3" borderId="29" xfId="1" applyFont="1" applyFill="1" applyBorder="1" applyAlignment="1" applyProtection="1">
      <alignment horizontal="center" vertical="center" wrapText="1"/>
    </xf>
    <xf numFmtId="0" fontId="8" fillId="3" borderId="39" xfId="1" applyFont="1" applyFill="1" applyBorder="1" applyAlignment="1" applyProtection="1">
      <alignment horizontal="center" vertical="center" wrapText="1"/>
    </xf>
    <xf numFmtId="0" fontId="0" fillId="6" borderId="33" xfId="0" applyFill="1" applyBorder="1" applyAlignment="1">
      <alignment horizontal="left" vertical="center" wrapText="1"/>
    </xf>
    <xf numFmtId="0" fontId="0" fillId="6" borderId="34" xfId="0" applyFill="1" applyBorder="1" applyAlignment="1">
      <alignment horizontal="left" vertical="center" wrapText="1"/>
    </xf>
    <xf numFmtId="0" fontId="4" fillId="2" borderId="73" xfId="0" applyFont="1" applyFill="1" applyBorder="1" applyAlignment="1">
      <alignment horizontal="center" vertical="center" wrapText="1"/>
    </xf>
    <xf numFmtId="0" fontId="4" fillId="2" borderId="74" xfId="0" applyFont="1" applyFill="1" applyBorder="1" applyAlignment="1">
      <alignment horizontal="center" vertical="center" wrapText="1"/>
    </xf>
    <xf numFmtId="0" fontId="4" fillId="2" borderId="75"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76"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0" fillId="5" borderId="0" xfId="0" applyFill="1" applyAlignment="1">
      <alignment horizontal="justify" vertical="center" wrapText="1"/>
    </xf>
    <xf numFmtId="0" fontId="14" fillId="6" borderId="19" xfId="0" applyFont="1" applyFill="1" applyBorder="1" applyAlignment="1">
      <alignment horizontal="center" vertical="center" wrapText="1"/>
    </xf>
    <xf numFmtId="0" fontId="0" fillId="5" borderId="74" xfId="0" applyFill="1" applyBorder="1" applyAlignment="1">
      <alignment horizontal="justify" vertical="center" wrapText="1"/>
    </xf>
    <xf numFmtId="0" fontId="8" fillId="3" borderId="40" xfId="1" applyFont="1" applyFill="1" applyBorder="1" applyAlignment="1" applyProtection="1">
      <alignment horizontal="center" vertical="center" wrapText="1"/>
    </xf>
    <xf numFmtId="0" fontId="8" fillId="3" borderId="41" xfId="1" applyFont="1" applyFill="1" applyBorder="1" applyAlignment="1" applyProtection="1">
      <alignment horizontal="center" vertical="center" wrapText="1"/>
    </xf>
    <xf numFmtId="0" fontId="0" fillId="6" borderId="17" xfId="0" applyFill="1" applyBorder="1" applyAlignment="1">
      <alignment horizontal="left" vertical="center" wrapText="1"/>
    </xf>
    <xf numFmtId="0" fontId="0" fillId="4" borderId="26" xfId="0" applyFill="1" applyBorder="1" applyAlignment="1">
      <alignment horizontal="left" vertical="center" wrapText="1"/>
    </xf>
    <xf numFmtId="0" fontId="0" fillId="4" borderId="34" xfId="0" applyFill="1" applyBorder="1" applyAlignment="1">
      <alignment horizontal="left" vertical="center" wrapText="1"/>
    </xf>
    <xf numFmtId="0" fontId="0" fillId="4" borderId="35" xfId="0" applyFill="1" applyBorder="1" applyAlignment="1">
      <alignment horizontal="left" vertical="center" wrapText="1"/>
    </xf>
    <xf numFmtId="0" fontId="15" fillId="4" borderId="10" xfId="1" applyFont="1" applyFill="1" applyBorder="1" applyAlignment="1" applyProtection="1">
      <alignment horizontal="center" vertical="center"/>
    </xf>
    <xf numFmtId="0" fontId="15" fillId="4" borderId="11" xfId="1" applyFont="1" applyFill="1" applyBorder="1" applyAlignment="1" applyProtection="1">
      <alignment horizontal="center" vertical="center"/>
    </xf>
    <xf numFmtId="0" fontId="23" fillId="12" borderId="79" xfId="0" applyFont="1" applyFill="1" applyBorder="1" applyAlignment="1">
      <alignment horizontal="left" vertical="center"/>
    </xf>
    <xf numFmtId="0" fontId="23" fillId="12" borderId="78" xfId="0" applyFont="1" applyFill="1" applyBorder="1" applyAlignment="1">
      <alignment horizontal="left" vertical="center"/>
    </xf>
    <xf numFmtId="0" fontId="25" fillId="0" borderId="48" xfId="0" applyFont="1" applyBorder="1" applyAlignment="1">
      <alignment horizontal="center" vertical="center" wrapText="1"/>
    </xf>
    <xf numFmtId="0" fontId="25" fillId="0" borderId="46" xfId="0" applyFont="1" applyBorder="1" applyAlignment="1">
      <alignment horizontal="center" vertical="center" wrapText="1"/>
    </xf>
    <xf numFmtId="0" fontId="25" fillId="0" borderId="95" xfId="0" applyFont="1" applyBorder="1" applyAlignment="1">
      <alignment horizontal="center" vertical="center" wrapText="1"/>
    </xf>
    <xf numFmtId="0" fontId="25" fillId="0" borderId="47" xfId="0" applyFont="1" applyBorder="1" applyAlignment="1">
      <alignment horizontal="center" vertical="center" wrapText="1"/>
    </xf>
    <xf numFmtId="0" fontId="22" fillId="0" borderId="48" xfId="0" applyFont="1" applyBorder="1" applyAlignment="1">
      <alignment horizontal="center" vertical="center" wrapText="1"/>
    </xf>
    <xf numFmtId="0" fontId="22" fillId="0" borderId="46" xfId="0" applyFont="1" applyBorder="1" applyAlignment="1">
      <alignment horizontal="center" vertical="center" wrapText="1"/>
    </xf>
    <xf numFmtId="4" fontId="25" fillId="10" borderId="70" xfId="0" applyNumberFormat="1" applyFont="1" applyFill="1" applyBorder="1" applyAlignment="1">
      <alignment horizontal="center" vertical="center" wrapText="1"/>
    </xf>
    <xf numFmtId="0" fontId="25" fillId="10" borderId="70" xfId="0" applyFont="1" applyFill="1" applyBorder="1" applyAlignment="1">
      <alignment horizontal="center" vertical="center" wrapText="1"/>
    </xf>
    <xf numFmtId="0" fontId="23" fillId="9" borderId="82" xfId="0" applyFont="1" applyFill="1" applyBorder="1" applyAlignment="1">
      <alignment horizontal="left" vertical="center" wrapText="1"/>
    </xf>
    <xf numFmtId="0" fontId="23" fillId="9" borderId="5" xfId="0" applyFont="1" applyFill="1" applyBorder="1" applyAlignment="1">
      <alignment horizontal="left" vertical="center" wrapText="1"/>
    </xf>
    <xf numFmtId="0" fontId="23" fillId="9" borderId="77" xfId="0" applyFont="1" applyFill="1" applyBorder="1" applyAlignment="1">
      <alignment horizontal="left" vertical="center" wrapText="1"/>
    </xf>
    <xf numFmtId="0" fontId="23" fillId="9" borderId="80" xfId="0" applyFont="1" applyFill="1" applyBorder="1" applyAlignment="1">
      <alignment horizontal="left" vertical="center" wrapText="1"/>
    </xf>
    <xf numFmtId="0" fontId="23" fillId="12" borderId="77" xfId="0" applyFont="1" applyFill="1" applyBorder="1" applyAlignment="1">
      <alignment horizontal="left" vertical="center"/>
    </xf>
    <xf numFmtId="0" fontId="25" fillId="10" borderId="70" xfId="0" applyFont="1" applyFill="1" applyBorder="1" applyAlignment="1">
      <alignment horizontal="center" vertical="center"/>
    </xf>
    <xf numFmtId="0" fontId="23" fillId="12" borderId="70" xfId="0" applyFont="1" applyFill="1" applyBorder="1" applyAlignment="1">
      <alignment horizontal="center" vertical="center"/>
    </xf>
    <xf numFmtId="0" fontId="23" fillId="12" borderId="0" xfId="0" applyFont="1" applyFill="1" applyAlignment="1">
      <alignment horizontal="center" vertical="center" wrapText="1"/>
    </xf>
    <xf numFmtId="0" fontId="23" fillId="12" borderId="90" xfId="0" applyFont="1" applyFill="1" applyBorder="1" applyAlignment="1">
      <alignment horizontal="center" vertical="center" wrapText="1"/>
    </xf>
    <xf numFmtId="0" fontId="18" fillId="5" borderId="79" xfId="0" applyFont="1" applyFill="1" applyBorder="1" applyAlignment="1" applyProtection="1">
      <alignment horizontal="left" vertical="center"/>
      <protection locked="0"/>
    </xf>
    <xf numFmtId="0" fontId="18" fillId="5" borderId="77" xfId="0" applyFont="1" applyFill="1" applyBorder="1" applyAlignment="1" applyProtection="1">
      <alignment horizontal="left" vertical="center"/>
      <protection locked="0"/>
    </xf>
    <xf numFmtId="0" fontId="18" fillId="5" borderId="78" xfId="0" applyFont="1" applyFill="1" applyBorder="1" applyAlignment="1" applyProtection="1">
      <alignment horizontal="left" vertical="center"/>
      <protection locked="0"/>
    </xf>
    <xf numFmtId="14" fontId="18" fillId="5" borderId="79" xfId="0" applyNumberFormat="1" applyFont="1" applyFill="1" applyBorder="1" applyAlignment="1" applyProtection="1">
      <alignment horizontal="left" vertical="center"/>
      <protection locked="0"/>
    </xf>
    <xf numFmtId="14" fontId="18" fillId="5" borderId="77" xfId="0" applyNumberFormat="1" applyFont="1" applyFill="1" applyBorder="1" applyAlignment="1" applyProtection="1">
      <alignment horizontal="left" vertical="center"/>
      <protection locked="0"/>
    </xf>
    <xf numFmtId="14" fontId="18" fillId="5" borderId="78" xfId="0" applyNumberFormat="1" applyFont="1" applyFill="1" applyBorder="1" applyAlignment="1" applyProtection="1">
      <alignment horizontal="left" vertical="center"/>
      <protection locked="0"/>
    </xf>
    <xf numFmtId="0" fontId="25" fillId="10" borderId="54" xfId="0" applyFont="1" applyFill="1" applyBorder="1" applyAlignment="1">
      <alignment horizontal="center" vertical="center" wrapText="1"/>
    </xf>
    <xf numFmtId="0" fontId="25" fillId="10" borderId="54" xfId="0" applyFont="1" applyFill="1" applyBorder="1" applyAlignment="1">
      <alignment horizontal="center" vertical="center"/>
    </xf>
    <xf numFmtId="0" fontId="23" fillId="12" borderId="3" xfId="0" applyFont="1" applyFill="1" applyBorder="1" applyAlignment="1">
      <alignment horizontal="left" vertical="center"/>
    </xf>
    <xf numFmtId="0" fontId="23" fillId="12" borderId="5" xfId="0" applyFont="1" applyFill="1" applyBorder="1" applyAlignment="1">
      <alignment horizontal="left" vertical="center"/>
    </xf>
    <xf numFmtId="4" fontId="25" fillId="10" borderId="53" xfId="0" applyNumberFormat="1" applyFont="1" applyFill="1" applyBorder="1" applyAlignment="1">
      <alignment horizontal="center" vertical="center" wrapText="1"/>
    </xf>
    <xf numFmtId="0" fontId="25" fillId="0" borderId="50" xfId="0" applyFont="1" applyBorder="1" applyAlignment="1">
      <alignment horizontal="center" vertical="center" wrapText="1"/>
    </xf>
    <xf numFmtId="0" fontId="25" fillId="0" borderId="49" xfId="0" applyFont="1" applyBorder="1" applyAlignment="1">
      <alignment horizontal="center" vertical="center" wrapText="1"/>
    </xf>
    <xf numFmtId="0" fontId="25" fillId="0" borderId="45" xfId="0" applyFont="1" applyBorder="1" applyAlignment="1">
      <alignment horizontal="center" vertical="center" wrapText="1"/>
    </xf>
    <xf numFmtId="0" fontId="23" fillId="9" borderId="82" xfId="0" applyFont="1" applyFill="1" applyBorder="1" applyAlignment="1">
      <alignment horizontal="left" vertical="center"/>
    </xf>
    <xf numFmtId="0" fontId="23" fillId="9" borderId="5" xfId="0" applyFont="1" applyFill="1" applyBorder="1" applyAlignment="1">
      <alignment horizontal="left" vertical="center"/>
    </xf>
    <xf numFmtId="0" fontId="23" fillId="9" borderId="77" xfId="0" applyFont="1" applyFill="1" applyBorder="1" applyAlignment="1">
      <alignment horizontal="left" vertical="center"/>
    </xf>
    <xf numFmtId="0" fontId="23" fillId="9" borderId="80" xfId="0" applyFont="1" applyFill="1" applyBorder="1" applyAlignment="1">
      <alignment horizontal="left" vertical="center"/>
    </xf>
    <xf numFmtId="0" fontId="19" fillId="0" borderId="0" xfId="0" applyFont="1" applyAlignment="1">
      <alignment horizontal="center" vertical="center" wrapText="1"/>
    </xf>
    <xf numFmtId="0" fontId="22" fillId="0" borderId="50" xfId="0" applyFont="1" applyBorder="1" applyAlignment="1">
      <alignment horizontal="center" vertical="center" wrapText="1"/>
    </xf>
    <xf numFmtId="0" fontId="22" fillId="0" borderId="49" xfId="0" applyFont="1" applyBorder="1" applyAlignment="1">
      <alignment horizontal="center" vertical="center" wrapText="1"/>
    </xf>
    <xf numFmtId="0" fontId="22" fillId="0" borderId="45" xfId="0" applyFont="1" applyBorder="1" applyAlignment="1">
      <alignment horizontal="center" vertical="center" wrapText="1"/>
    </xf>
    <xf numFmtId="0" fontId="19" fillId="0" borderId="0" xfId="0" applyFont="1" applyAlignment="1">
      <alignment horizontal="center" vertical="center"/>
    </xf>
    <xf numFmtId="0" fontId="37" fillId="0" borderId="48" xfId="0" applyFont="1" applyBorder="1" applyAlignment="1">
      <alignment horizontal="center" vertical="center" wrapText="1"/>
    </xf>
    <xf numFmtId="0" fontId="37" fillId="0" borderId="46" xfId="0" applyFont="1" applyBorder="1" applyAlignment="1">
      <alignment horizontal="center" vertical="center" wrapText="1"/>
    </xf>
    <xf numFmtId="0" fontId="22" fillId="0" borderId="0" xfId="0" applyFont="1" applyAlignment="1">
      <alignment horizontal="center"/>
    </xf>
    <xf numFmtId="0" fontId="43" fillId="12" borderId="79" xfId="0" applyFont="1" applyFill="1" applyBorder="1" applyAlignment="1">
      <alignment horizontal="left" vertical="center"/>
    </xf>
    <xf numFmtId="0" fontId="43" fillId="12" borderId="77" xfId="0" applyFont="1" applyFill="1" applyBorder="1" applyAlignment="1">
      <alignment horizontal="left" vertical="center"/>
    </xf>
    <xf numFmtId="0" fontId="37" fillId="0" borderId="50" xfId="0" applyFont="1" applyBorder="1" applyAlignment="1">
      <alignment horizontal="center" vertical="center" wrapText="1"/>
    </xf>
    <xf numFmtId="0" fontId="37" fillId="0" borderId="49" xfId="0" applyFont="1" applyBorder="1" applyAlignment="1">
      <alignment horizontal="center" vertical="center" wrapText="1"/>
    </xf>
    <xf numFmtId="0" fontId="37" fillId="0" borderId="45" xfId="0" applyFont="1" applyBorder="1" applyAlignment="1">
      <alignment horizontal="center" vertical="center" wrapText="1"/>
    </xf>
    <xf numFmtId="0" fontId="37" fillId="5" borderId="50" xfId="0" applyFont="1" applyFill="1" applyBorder="1" applyAlignment="1">
      <alignment horizontal="center" vertical="center" wrapText="1"/>
    </xf>
    <xf numFmtId="0" fontId="37" fillId="5" borderId="49" xfId="0" applyFont="1" applyFill="1" applyBorder="1" applyAlignment="1">
      <alignment horizontal="center" vertical="center" wrapText="1"/>
    </xf>
    <xf numFmtId="0" fontId="37" fillId="5" borderId="45" xfId="0" applyFont="1" applyFill="1" applyBorder="1" applyAlignment="1">
      <alignment horizontal="center" vertical="center" wrapText="1"/>
    </xf>
    <xf numFmtId="0" fontId="37" fillId="0" borderId="0" xfId="0" applyFont="1" applyAlignment="1">
      <alignment horizontal="center" vertical="center"/>
    </xf>
    <xf numFmtId="4" fontId="37" fillId="0" borderId="0" xfId="0" applyNumberFormat="1" applyFont="1" applyAlignment="1">
      <alignment horizontal="center" vertical="center" wrapText="1"/>
    </xf>
    <xf numFmtId="0" fontId="43" fillId="9" borderId="89" xfId="0" applyFont="1" applyFill="1" applyBorder="1" applyAlignment="1">
      <alignment horizontal="left" vertical="center"/>
    </xf>
    <xf numFmtId="0" fontId="43" fillId="9" borderId="77" xfId="0" applyFont="1" applyFill="1" applyBorder="1" applyAlignment="1">
      <alignment horizontal="left" vertical="center"/>
    </xf>
    <xf numFmtId="0" fontId="37" fillId="10" borderId="70" xfId="0" applyFont="1" applyFill="1" applyBorder="1" applyAlignment="1">
      <alignment horizontal="center" vertical="center" wrapText="1"/>
    </xf>
    <xf numFmtId="0" fontId="37" fillId="10" borderId="70" xfId="0" applyFont="1" applyFill="1" applyBorder="1" applyAlignment="1">
      <alignment horizontal="center" vertical="center"/>
    </xf>
    <xf numFmtId="0" fontId="37" fillId="10" borderId="79" xfId="0" applyFont="1" applyFill="1" applyBorder="1" applyAlignment="1">
      <alignment horizontal="center" vertical="center" wrapText="1"/>
    </xf>
    <xf numFmtId="0" fontId="37" fillId="10" borderId="77" xfId="0" applyFont="1" applyFill="1" applyBorder="1" applyAlignment="1">
      <alignment horizontal="center" vertical="center" wrapText="1"/>
    </xf>
    <xf numFmtId="0" fontId="37" fillId="10" borderId="78" xfId="0" applyFont="1" applyFill="1" applyBorder="1" applyAlignment="1">
      <alignment horizontal="center" vertical="center" wrapText="1"/>
    </xf>
    <xf numFmtId="0" fontId="36" fillId="10" borderId="86" xfId="0" applyFont="1" applyFill="1" applyBorder="1" applyAlignment="1">
      <alignment horizontal="center" vertical="center" wrapText="1"/>
    </xf>
    <xf numFmtId="0" fontId="36" fillId="10" borderId="52" xfId="0" applyFont="1" applyFill="1" applyBorder="1" applyAlignment="1">
      <alignment horizontal="center" vertical="center" wrapText="1"/>
    </xf>
    <xf numFmtId="0" fontId="36" fillId="10" borderId="87" xfId="0" applyFont="1" applyFill="1" applyBorder="1" applyAlignment="1">
      <alignment horizontal="center" vertical="center" wrapText="1"/>
    </xf>
    <xf numFmtId="0" fontId="36" fillId="10" borderId="85" xfId="0" applyFont="1" applyFill="1" applyBorder="1" applyAlignment="1">
      <alignment horizontal="center" vertical="center" wrapText="1"/>
    </xf>
    <xf numFmtId="0" fontId="36" fillId="10" borderId="42" xfId="0" applyFont="1" applyFill="1" applyBorder="1" applyAlignment="1">
      <alignment horizontal="center" vertical="center" wrapText="1"/>
    </xf>
    <xf numFmtId="0" fontId="36" fillId="10" borderId="88" xfId="0" applyFont="1" applyFill="1" applyBorder="1" applyAlignment="1">
      <alignment horizontal="center" vertical="center" wrapText="1"/>
    </xf>
    <xf numFmtId="0" fontId="36" fillId="10" borderId="56" xfId="0" applyFont="1" applyFill="1" applyBorder="1" applyAlignment="1">
      <alignment horizontal="center" vertical="center" wrapText="1"/>
    </xf>
    <xf numFmtId="0" fontId="37" fillId="10" borderId="89" xfId="0" applyFont="1" applyFill="1" applyBorder="1" applyAlignment="1">
      <alignment horizontal="left" vertical="center"/>
    </xf>
    <xf numFmtId="0" fontId="37" fillId="10" borderId="77" xfId="0" applyFont="1" applyFill="1" applyBorder="1" applyAlignment="1">
      <alignment horizontal="left" vertical="center"/>
    </xf>
    <xf numFmtId="0" fontId="37" fillId="10" borderId="78" xfId="0" applyFont="1" applyFill="1" applyBorder="1" applyAlignment="1">
      <alignment horizontal="left" vertical="center"/>
    </xf>
    <xf numFmtId="0" fontId="39" fillId="5" borderId="79" xfId="0" applyFont="1" applyFill="1" applyBorder="1" applyAlignment="1" applyProtection="1">
      <alignment horizontal="left" vertical="center"/>
      <protection locked="0"/>
    </xf>
    <xf numFmtId="0" fontId="39" fillId="5" borderId="77" xfId="0" applyFont="1" applyFill="1" applyBorder="1" applyAlignment="1" applyProtection="1">
      <alignment horizontal="left" vertical="center"/>
      <protection locked="0"/>
    </xf>
    <xf numFmtId="0" fontId="39" fillId="5" borderId="78" xfId="0" applyFont="1" applyFill="1" applyBorder="1" applyAlignment="1" applyProtection="1">
      <alignment horizontal="left" vertical="center"/>
      <protection locked="0"/>
    </xf>
    <xf numFmtId="14" fontId="39" fillId="5" borderId="79" xfId="0" applyNumberFormat="1" applyFont="1" applyFill="1" applyBorder="1" applyAlignment="1" applyProtection="1">
      <alignment horizontal="left" vertical="center"/>
      <protection locked="0"/>
    </xf>
    <xf numFmtId="14" fontId="39" fillId="5" borderId="77" xfId="0" applyNumberFormat="1" applyFont="1" applyFill="1" applyBorder="1" applyAlignment="1" applyProtection="1">
      <alignment horizontal="left" vertical="center"/>
      <protection locked="0"/>
    </xf>
    <xf numFmtId="14" fontId="39" fillId="5" borderId="78" xfId="0" applyNumberFormat="1" applyFont="1" applyFill="1" applyBorder="1" applyAlignment="1" applyProtection="1">
      <alignment horizontal="left" vertical="center"/>
      <protection locked="0"/>
    </xf>
    <xf numFmtId="0" fontId="43" fillId="12" borderId="70" xfId="0" applyFont="1" applyFill="1" applyBorder="1" applyAlignment="1">
      <alignment horizontal="center" vertical="center"/>
    </xf>
    <xf numFmtId="0" fontId="43" fillId="12" borderId="0" xfId="0" applyFont="1" applyFill="1" applyAlignment="1">
      <alignment horizontal="center" vertical="center" wrapText="1"/>
    </xf>
    <xf numFmtId="0" fontId="36" fillId="10" borderId="60" xfId="0" applyFont="1" applyFill="1" applyBorder="1" applyAlignment="1">
      <alignment horizontal="center" vertical="center" wrapText="1"/>
    </xf>
    <xf numFmtId="0" fontId="36" fillId="10" borderId="55" xfId="0" applyFont="1" applyFill="1" applyBorder="1" applyAlignment="1">
      <alignment horizontal="center" vertical="center" wrapText="1"/>
    </xf>
    <xf numFmtId="0" fontId="36" fillId="10" borderId="70" xfId="0" applyFont="1" applyFill="1" applyBorder="1" applyAlignment="1">
      <alignment horizontal="center" vertical="center" wrapText="1"/>
    </xf>
    <xf numFmtId="0" fontId="43" fillId="12" borderId="50" xfId="0" applyFont="1" applyFill="1" applyBorder="1" applyAlignment="1">
      <alignment horizontal="left" vertical="center"/>
    </xf>
    <xf numFmtId="0" fontId="43" fillId="12" borderId="49" xfId="0" applyFont="1" applyFill="1" applyBorder="1" applyAlignment="1">
      <alignment horizontal="left" vertical="center"/>
    </xf>
    <xf numFmtId="0" fontId="36" fillId="10" borderId="70" xfId="0" applyFont="1" applyFill="1" applyBorder="1" applyAlignment="1">
      <alignment horizontal="center" vertical="center"/>
    </xf>
    <xf numFmtId="0" fontId="43" fillId="12" borderId="83" xfId="0" applyFont="1" applyFill="1" applyBorder="1" applyAlignment="1">
      <alignment horizontal="center" vertical="center"/>
    </xf>
    <xf numFmtId="0" fontId="43" fillId="12" borderId="58" xfId="0" applyFont="1" applyFill="1" applyBorder="1" applyAlignment="1">
      <alignment horizontal="center" vertical="center"/>
    </xf>
    <xf numFmtId="0" fontId="43" fillId="27" borderId="51" xfId="0" applyFont="1" applyFill="1" applyBorder="1" applyAlignment="1">
      <alignment horizontal="center"/>
    </xf>
    <xf numFmtId="0" fontId="36" fillId="10" borderId="60" xfId="0" applyFont="1" applyFill="1" applyBorder="1" applyAlignment="1">
      <alignment horizontal="center" vertical="center"/>
    </xf>
    <xf numFmtId="0" fontId="36" fillId="10" borderId="61" xfId="0" applyFont="1" applyFill="1" applyBorder="1" applyAlignment="1">
      <alignment horizontal="center" vertical="center"/>
    </xf>
    <xf numFmtId="0" fontId="36" fillId="10" borderId="55" xfId="0" applyFont="1" applyFill="1" applyBorder="1" applyAlignment="1">
      <alignment horizontal="center" vertical="center"/>
    </xf>
    <xf numFmtId="0" fontId="36" fillId="10" borderId="54" xfId="0" applyFont="1" applyFill="1" applyBorder="1" applyAlignment="1">
      <alignment horizontal="center" vertical="center"/>
    </xf>
    <xf numFmtId="0" fontId="43" fillId="12" borderId="57" xfId="0" applyFont="1" applyFill="1" applyBorder="1" applyAlignment="1">
      <alignment horizontal="center" vertical="center"/>
    </xf>
    <xf numFmtId="0" fontId="43" fillId="12" borderId="57" xfId="0" applyFont="1" applyFill="1" applyBorder="1" applyAlignment="1">
      <alignment horizontal="center" vertical="center" wrapText="1"/>
    </xf>
    <xf numFmtId="0" fontId="43" fillId="12" borderId="58" xfId="0" applyFont="1" applyFill="1" applyBorder="1" applyAlignment="1">
      <alignment horizontal="center" vertical="center" wrapText="1"/>
    </xf>
    <xf numFmtId="0" fontId="39" fillId="10" borderId="55" xfId="0" applyFont="1" applyFill="1" applyBorder="1" applyAlignment="1">
      <alignment horizontal="center" vertical="center"/>
    </xf>
    <xf numFmtId="0" fontId="39" fillId="10" borderId="54" xfId="0" applyFont="1" applyFill="1" applyBorder="1" applyAlignment="1">
      <alignment horizontal="center" vertical="center"/>
    </xf>
    <xf numFmtId="0" fontId="39" fillId="10" borderId="71" xfId="0" applyFont="1" applyFill="1" applyBorder="1" applyAlignment="1">
      <alignment horizontal="center" vertical="center"/>
    </xf>
    <xf numFmtId="0" fontId="38" fillId="19" borderId="91" xfId="0" applyFont="1" applyFill="1" applyBorder="1" applyAlignment="1">
      <alignment vertical="center"/>
    </xf>
    <xf numFmtId="0" fontId="51" fillId="0" borderId="92" xfId="0" applyFont="1" applyBorder="1" applyAlignment="1"/>
    <xf numFmtId="0" fontId="51" fillId="0" borderId="93" xfId="0" applyFont="1" applyBorder="1" applyAlignment="1"/>
    <xf numFmtId="0" fontId="0" fillId="0" borderId="0" xfId="0" applyAlignment="1">
      <alignment horizontal="center" vertical="center" wrapText="1"/>
    </xf>
    <xf numFmtId="0" fontId="3" fillId="0" borderId="0" xfId="0" applyFont="1" applyAlignment="1">
      <alignment horizontal="center" vertical="center"/>
    </xf>
    <xf numFmtId="0" fontId="0" fillId="0" borderId="0" xfId="0" applyAlignment="1">
      <alignment horizontal="center" vertical="center"/>
    </xf>
    <xf numFmtId="0" fontId="38" fillId="0" borderId="0" xfId="0" applyFont="1" applyAlignment="1">
      <alignment vertical="center"/>
    </xf>
  </cellXfs>
  <cellStyles count="17">
    <cellStyle name="Euro" xfId="2" xr:uid="{00000000-0005-0000-0000-000000000000}"/>
    <cellStyle name="Excel Built-in Normal" xfId="15" xr:uid="{00000000-0005-0000-0000-000001000000}"/>
    <cellStyle name="Hipervínculo" xfId="1" builtinId="8"/>
    <cellStyle name="Hipervínculo 2" xfId="3" xr:uid="{00000000-0005-0000-0000-000003000000}"/>
    <cellStyle name="Millares" xfId="13" builtinId="3"/>
    <cellStyle name="Millares 2" xfId="4" xr:uid="{00000000-0005-0000-0000-000005000000}"/>
    <cellStyle name="Millares 3" xfId="16" xr:uid="{00000000-0005-0000-0000-000006000000}"/>
    <cellStyle name="Normal" xfId="0" builtinId="0"/>
    <cellStyle name="Normal 2" xfId="5" xr:uid="{00000000-0005-0000-0000-000008000000}"/>
    <cellStyle name="Normal 3" xfId="6" xr:uid="{00000000-0005-0000-0000-000009000000}"/>
    <cellStyle name="Normal 4" xfId="7" xr:uid="{00000000-0005-0000-0000-00000A000000}"/>
    <cellStyle name="Normal 5" xfId="8" xr:uid="{00000000-0005-0000-0000-00000B000000}"/>
    <cellStyle name="Normal 6" xfId="9" xr:uid="{00000000-0005-0000-0000-00000C000000}"/>
    <cellStyle name="Normal 7" xfId="10" xr:uid="{00000000-0005-0000-0000-00000D000000}"/>
    <cellStyle name="Normal 8" xfId="11" xr:uid="{00000000-0005-0000-0000-00000E000000}"/>
    <cellStyle name="Porcentaje" xfId="14" builtinId="5"/>
    <cellStyle name="Porcentaje 2" xfId="12" xr:uid="{00000000-0005-0000-0000-00001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barChart>
        <c:barDir val="col"/>
        <c:grouping val="clustered"/>
        <c:varyColors val="0"/>
        <c:ser>
          <c:idx val="0"/>
          <c:order val="0"/>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CO"/>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'RESUMEN Y GRAFICA'!$B$25:$B$27</c:f>
              <c:strCache>
                <c:ptCount val="3"/>
                <c:pt idx="0">
                  <c:v>SUBCATEGORIA 1.1. EMISIONES DIRECTAS A PARTIR DE COMBUSTIÓN MÓVIL.</c:v>
                </c:pt>
                <c:pt idx="1">
                  <c:v>SUBCATEGORIA 1.2. EMISIONES DIRECTAS A PARTIR DE COMBUSTIÓN ESTACIONARIA.</c:v>
                </c:pt>
                <c:pt idx="2">
                  <c:v>SUBCATEGORIA 3.1. EMISIONES CAUSADAS POR EL TRANSPORTE DIARIO DE LOS EMPLEADOS.</c:v>
                </c:pt>
              </c:strCache>
            </c:strRef>
          </c:cat>
          <c:val>
            <c:numRef>
              <c:f>'RESUMEN Y GRAFICA'!$C$25:$C$27</c:f>
              <c:numCache>
                <c:formatCode>#,##0.00</c:formatCode>
                <c:ptCount val="3"/>
                <c:pt idx="0">
                  <c:v>198.74555062649998</c:v>
                </c:pt>
                <c:pt idx="1">
                  <c:v>11811.211237168838</c:v>
                </c:pt>
                <c:pt idx="2">
                  <c:v>55.725153094619998</c:v>
                </c:pt>
              </c:numCache>
            </c:numRef>
          </c:val>
          <c:extLst>
            <c:ext xmlns:c16="http://schemas.microsoft.com/office/drawing/2014/chart" uri="{C3380CC4-5D6E-409C-BE32-E72D297353CC}">
              <c16:uniqueId val="{00000000-2E31-934D-A868-AAA3E4E24DDD}"/>
            </c:ext>
          </c:extLst>
        </c:ser>
        <c:dLbls>
          <c:dLblPos val="outEnd"/>
          <c:showLegendKey val="0"/>
          <c:showVal val="1"/>
          <c:showCatName val="0"/>
          <c:showSerName val="0"/>
          <c:showPercent val="0"/>
          <c:showBubbleSize val="0"/>
        </c:dLbls>
        <c:gapWidth val="219"/>
        <c:overlap val="-27"/>
        <c:axId val="1308572096"/>
        <c:axId val="1280343520"/>
      </c:barChart>
      <c:catAx>
        <c:axId val="13085720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1280343520"/>
        <c:crosses val="autoZero"/>
        <c:auto val="1"/>
        <c:lblAlgn val="ctr"/>
        <c:lblOffset val="100"/>
        <c:noMultiLvlLbl val="0"/>
      </c:catAx>
      <c:valAx>
        <c:axId val="128034352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_tradnl"/>
                  <a:t>Biomasa</a:t>
                </a:r>
              </a:p>
              <a:p>
                <a:pPr>
                  <a:defRPr/>
                </a:pPr>
                <a:r>
                  <a:rPr lang="es-ES_tradnl"/>
                  <a:t>T CO2 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CO"/>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130857209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cap="none" spc="20" baseline="0">
                <a:solidFill>
                  <a:schemeClr val="tx1">
                    <a:lumMod val="50000"/>
                    <a:lumOff val="50000"/>
                  </a:schemeClr>
                </a:solidFill>
                <a:latin typeface="+mn-lt"/>
                <a:ea typeface="+mn-ea"/>
                <a:cs typeface="+mn-cs"/>
              </a:defRPr>
            </a:pPr>
            <a:r>
              <a:rPr lang="en-US"/>
              <a:t>Emisiones discriminadas por categoría</a:t>
            </a:r>
            <a:endParaRPr lang="es-CO"/>
          </a:p>
        </c:rich>
      </c:tx>
      <c:overlay val="0"/>
      <c:spPr>
        <a:noFill/>
        <a:ln>
          <a:noFill/>
        </a:ln>
        <a:effectLst/>
      </c:spPr>
      <c:txPr>
        <a:bodyPr rot="0" spcFirstLastPara="1" vertOverflow="ellipsis" vert="horz" wrap="square" anchor="ctr" anchorCtr="1"/>
        <a:lstStyle/>
        <a:p>
          <a:pPr>
            <a:defRPr sz="1400" b="0" i="0" u="none" strike="noStrike" kern="1200" cap="none" spc="20" baseline="0">
              <a:solidFill>
                <a:schemeClr val="tx1">
                  <a:lumMod val="50000"/>
                  <a:lumOff val="50000"/>
                </a:schemeClr>
              </a:solidFill>
              <a:latin typeface="+mn-lt"/>
              <a:ea typeface="+mn-ea"/>
              <a:cs typeface="+mn-cs"/>
            </a:defRPr>
          </a:pPr>
          <a:endParaRPr lang="es-CO"/>
        </a:p>
      </c:txPr>
    </c:title>
    <c:autoTitleDeleted val="0"/>
    <c:plotArea>
      <c:layout/>
      <c:pieChart>
        <c:varyColors val="1"/>
        <c:ser>
          <c:idx val="0"/>
          <c:order val="0"/>
          <c:dPt>
            <c:idx val="0"/>
            <c:bubble3D val="0"/>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9525" cap="flat" cmpd="sng" algn="ctr">
                <a:solidFill>
                  <a:schemeClr val="accent1">
                    <a:shade val="95000"/>
                  </a:schemeClr>
                </a:solidFill>
                <a:round/>
              </a:ln>
              <a:effectLst>
                <a:outerShdw blurRad="40000" dist="20000" dir="5400000" rotWithShape="0">
                  <a:srgbClr val="000000">
                    <a:alpha val="38000"/>
                  </a:srgbClr>
                </a:outerShdw>
              </a:effectLst>
            </c:spPr>
            <c:extLst>
              <c:ext xmlns:c16="http://schemas.microsoft.com/office/drawing/2014/chart" uri="{C3380CC4-5D6E-409C-BE32-E72D297353CC}">
                <c16:uniqueId val="{00000005-D9C4-BB42-A732-E7FEBA8FE4BB}"/>
              </c:ext>
            </c:extLst>
          </c:dPt>
          <c:dPt>
            <c:idx val="1"/>
            <c:bubble3D val="0"/>
            <c:explosion val="5"/>
            <c:spPr>
              <a:gradFill rotWithShape="1">
                <a:gsLst>
                  <a:gs pos="0">
                    <a:schemeClr val="accent2">
                      <a:tint val="50000"/>
                      <a:satMod val="300000"/>
                    </a:schemeClr>
                  </a:gs>
                  <a:gs pos="35000">
                    <a:schemeClr val="accent2">
                      <a:tint val="37000"/>
                      <a:satMod val="300000"/>
                    </a:schemeClr>
                  </a:gs>
                  <a:gs pos="100000">
                    <a:schemeClr val="accent2">
                      <a:tint val="15000"/>
                      <a:satMod val="350000"/>
                    </a:schemeClr>
                  </a:gs>
                </a:gsLst>
                <a:lin ang="16200000" scaled="1"/>
              </a:gradFill>
              <a:ln w="9525" cap="flat" cmpd="sng" algn="ctr">
                <a:solidFill>
                  <a:schemeClr val="accent2">
                    <a:shade val="95000"/>
                  </a:schemeClr>
                </a:solidFill>
                <a:round/>
              </a:ln>
              <a:effectLst>
                <a:outerShdw blurRad="40000" dist="20000" dir="5400000" rotWithShape="0">
                  <a:srgbClr val="000000">
                    <a:alpha val="38000"/>
                  </a:srgbClr>
                </a:outerShdw>
              </a:effectLst>
            </c:spPr>
            <c:extLst>
              <c:ext xmlns:c16="http://schemas.microsoft.com/office/drawing/2014/chart" uri="{C3380CC4-5D6E-409C-BE32-E72D297353CC}">
                <c16:uniqueId val="{00000008-D9C4-BB42-A732-E7FEBA8FE4BB}"/>
              </c:ext>
            </c:extLst>
          </c:dPt>
          <c:dPt>
            <c:idx val="2"/>
            <c:bubble3D val="0"/>
            <c:spPr>
              <a:gradFill rotWithShape="1">
                <a:gsLst>
                  <a:gs pos="0">
                    <a:schemeClr val="accent3">
                      <a:tint val="50000"/>
                      <a:satMod val="300000"/>
                    </a:schemeClr>
                  </a:gs>
                  <a:gs pos="35000">
                    <a:schemeClr val="accent3">
                      <a:tint val="37000"/>
                      <a:satMod val="300000"/>
                    </a:schemeClr>
                  </a:gs>
                  <a:gs pos="100000">
                    <a:schemeClr val="accent3">
                      <a:tint val="15000"/>
                      <a:satMod val="350000"/>
                    </a:schemeClr>
                  </a:gs>
                </a:gsLst>
                <a:lin ang="16200000" scaled="1"/>
              </a:gradFill>
              <a:ln w="9525" cap="flat" cmpd="sng" algn="ctr">
                <a:solidFill>
                  <a:schemeClr val="accent3">
                    <a:shade val="95000"/>
                  </a:schemeClr>
                </a:solidFill>
                <a:round/>
              </a:ln>
              <a:effectLst>
                <a:outerShdw blurRad="40000" dist="20000" dir="5400000" rotWithShape="0">
                  <a:srgbClr val="000000">
                    <a:alpha val="38000"/>
                  </a:srgbClr>
                </a:outerShdw>
              </a:effectLst>
            </c:spPr>
            <c:extLst>
              <c:ext xmlns:c16="http://schemas.microsoft.com/office/drawing/2014/chart" uri="{C3380CC4-5D6E-409C-BE32-E72D297353CC}">
                <c16:uniqueId val="{00000003-D9C4-BB42-A732-E7FEBA8FE4BB}"/>
              </c:ext>
            </c:extLst>
          </c:dPt>
          <c:dPt>
            <c:idx val="3"/>
            <c:bubble3D val="0"/>
            <c:spPr>
              <a:gradFill rotWithShape="1">
                <a:gsLst>
                  <a:gs pos="0">
                    <a:schemeClr val="accent4">
                      <a:tint val="50000"/>
                      <a:satMod val="300000"/>
                    </a:schemeClr>
                  </a:gs>
                  <a:gs pos="35000">
                    <a:schemeClr val="accent4">
                      <a:tint val="37000"/>
                      <a:satMod val="300000"/>
                    </a:schemeClr>
                  </a:gs>
                  <a:gs pos="100000">
                    <a:schemeClr val="accent4">
                      <a:tint val="15000"/>
                      <a:satMod val="350000"/>
                    </a:schemeClr>
                  </a:gs>
                </a:gsLst>
                <a:lin ang="16200000" scaled="1"/>
              </a:gradFill>
              <a:ln w="9525" cap="flat" cmpd="sng" algn="ctr">
                <a:solidFill>
                  <a:schemeClr val="accent4">
                    <a:shade val="95000"/>
                  </a:schemeClr>
                </a:solidFill>
                <a:round/>
              </a:ln>
              <a:effectLst>
                <a:outerShdw blurRad="40000" dist="20000" dir="5400000" rotWithShape="0">
                  <a:srgbClr val="000000">
                    <a:alpha val="38000"/>
                  </a:srgbClr>
                </a:outerShdw>
              </a:effectLst>
            </c:spPr>
            <c:extLst>
              <c:ext xmlns:c16="http://schemas.microsoft.com/office/drawing/2014/chart" uri="{C3380CC4-5D6E-409C-BE32-E72D297353CC}">
                <c16:uniqueId val="{00000004-D9C4-BB42-A732-E7FEBA8FE4BB}"/>
              </c:ext>
            </c:extLst>
          </c:dPt>
          <c:dPt>
            <c:idx val="4"/>
            <c:bubble3D val="0"/>
            <c:spPr>
              <a:gradFill rotWithShape="1">
                <a:gsLst>
                  <a:gs pos="0">
                    <a:schemeClr val="accent5">
                      <a:tint val="50000"/>
                      <a:satMod val="300000"/>
                    </a:schemeClr>
                  </a:gs>
                  <a:gs pos="35000">
                    <a:schemeClr val="accent5">
                      <a:tint val="37000"/>
                      <a:satMod val="300000"/>
                    </a:schemeClr>
                  </a:gs>
                  <a:gs pos="100000">
                    <a:schemeClr val="accent5">
                      <a:tint val="15000"/>
                      <a:satMod val="350000"/>
                    </a:schemeClr>
                  </a:gs>
                </a:gsLst>
                <a:lin ang="16200000" scaled="1"/>
              </a:gradFill>
              <a:ln w="9525" cap="flat" cmpd="sng" algn="ctr">
                <a:solidFill>
                  <a:schemeClr val="accent5">
                    <a:shade val="95000"/>
                  </a:schemeClr>
                </a:solidFill>
                <a:round/>
              </a:ln>
              <a:effectLst>
                <a:outerShdw blurRad="40000" dist="20000" dir="5400000" rotWithShape="0">
                  <a:srgbClr val="000000">
                    <a:alpha val="38000"/>
                  </a:srgbClr>
                </a:outerShdw>
              </a:effectLst>
            </c:spPr>
            <c:extLst>
              <c:ext xmlns:c16="http://schemas.microsoft.com/office/drawing/2014/chart" uri="{C3380CC4-5D6E-409C-BE32-E72D297353CC}">
                <c16:uniqueId val="{00000007-D9C4-BB42-A732-E7FEBA8FE4BB}"/>
              </c:ext>
            </c:extLst>
          </c:dPt>
          <c:dPt>
            <c:idx val="5"/>
            <c:bubble3D val="0"/>
            <c:spPr>
              <a:gradFill rotWithShape="1">
                <a:gsLst>
                  <a:gs pos="0">
                    <a:schemeClr val="accent6">
                      <a:tint val="50000"/>
                      <a:satMod val="300000"/>
                    </a:schemeClr>
                  </a:gs>
                  <a:gs pos="35000">
                    <a:schemeClr val="accent6">
                      <a:tint val="37000"/>
                      <a:satMod val="300000"/>
                    </a:schemeClr>
                  </a:gs>
                  <a:gs pos="100000">
                    <a:schemeClr val="accent6">
                      <a:tint val="15000"/>
                      <a:satMod val="350000"/>
                    </a:schemeClr>
                  </a:gs>
                </a:gsLst>
                <a:lin ang="16200000" scaled="1"/>
              </a:gradFill>
              <a:ln w="9525" cap="flat" cmpd="sng" algn="ctr">
                <a:solidFill>
                  <a:schemeClr val="accent6">
                    <a:shade val="95000"/>
                  </a:schemeClr>
                </a:solidFill>
                <a:round/>
              </a:ln>
              <a:effectLst>
                <a:outerShdw blurRad="40000" dist="20000" dir="5400000" rotWithShape="0">
                  <a:srgbClr val="000000">
                    <a:alpha val="38000"/>
                  </a:srgbClr>
                </a:outerShdw>
              </a:effectLst>
            </c:spPr>
            <c:extLst>
              <c:ext xmlns:c16="http://schemas.microsoft.com/office/drawing/2014/chart" uri="{C3380CC4-5D6E-409C-BE32-E72D297353CC}">
                <c16:uniqueId val="{00000006-D9C4-BB42-A732-E7FEBA8FE4BB}"/>
              </c:ext>
            </c:extLst>
          </c:dPt>
          <c:dLbls>
            <c:dLbl>
              <c:idx val="0"/>
              <c:layout>
                <c:manualLayout>
                  <c:x val="0.18165787357388408"/>
                  <c:y val="7.1088764506846286E-2"/>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D9C4-BB42-A732-E7FEBA8FE4BB}"/>
                </c:ext>
              </c:extLst>
            </c:dLbl>
            <c:dLbl>
              <c:idx val="1"/>
              <c:layout>
                <c:manualLayout>
                  <c:x val="0.18366635413987356"/>
                  <c:y val="-3.9853808596506085E-2"/>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D9C4-BB42-A732-E7FEBA8FE4BB}"/>
                </c:ext>
              </c:extLst>
            </c:dLbl>
            <c:dLbl>
              <c:idx val="2"/>
              <c:layout>
                <c:manualLayout>
                  <c:x val="-4.5859469586503748E-2"/>
                  <c:y val="4.2554469847895522E-2"/>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D9C4-BB42-A732-E7FEBA8FE4BB}"/>
                </c:ext>
              </c:extLst>
            </c:dLbl>
            <c:dLbl>
              <c:idx val="3"/>
              <c:layout>
                <c:manualLayout>
                  <c:x val="-0.28898832587970763"/>
                  <c:y val="-5.1068213247537624E-2"/>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D9C4-BB42-A732-E7FEBA8FE4BB}"/>
                </c:ext>
              </c:extLst>
            </c:dLbl>
            <c:dLbl>
              <c:idx val="4"/>
              <c:layout>
                <c:manualLayout>
                  <c:x val="-6.1736348612989036E-3"/>
                  <c:y val="-2.6410523985706605E-2"/>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D9C4-BB42-A732-E7FEBA8FE4BB}"/>
                </c:ext>
              </c:extLst>
            </c:dLbl>
            <c:dLbl>
              <c:idx val="5"/>
              <c:layout>
                <c:manualLayout>
                  <c:x val="0.10325397456631052"/>
                  <c:y val="-2.2394459728678495E-2"/>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D9C4-BB42-A732-E7FEBA8FE4BB}"/>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es-CO"/>
              </a:p>
            </c:txPr>
            <c:dLblPos val="bestFit"/>
            <c:showLegendKey val="0"/>
            <c:showVal val="1"/>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val>
            <c:numRef>
              <c:f>'RESUMEN Y GRAFICA'!$C$37:$C$42</c:f>
              <c:numCache>
                <c:formatCode>#,##0.00</c:formatCode>
                <c:ptCount val="6"/>
                <c:pt idx="0">
                  <c:v>3472.8106190185554</c:v>
                </c:pt>
                <c:pt idx="1">
                  <c:v>34186.574569839999</c:v>
                </c:pt>
                <c:pt idx="2">
                  <c:v>741.15860768493417</c:v>
                </c:pt>
                <c:pt idx="3">
                  <c:v>10340.36439382</c:v>
                </c:pt>
                <c:pt idx="4">
                  <c:v>364919.31910453713</c:v>
                </c:pt>
                <c:pt idx="5">
                  <c:v>0</c:v>
                </c:pt>
              </c:numCache>
            </c:numRef>
          </c:val>
          <c:extLst>
            <c:ext xmlns:c16="http://schemas.microsoft.com/office/drawing/2014/chart" uri="{C3380CC4-5D6E-409C-BE32-E72D297353CC}">
              <c16:uniqueId val="{00000000-D9C4-BB42-A732-E7FEBA8FE4BB}"/>
            </c:ext>
          </c:extLst>
        </c:ser>
        <c:ser>
          <c:idx val="1"/>
          <c:order val="1"/>
          <c:dPt>
            <c:idx val="0"/>
            <c:bubble3D val="0"/>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9525" cap="flat" cmpd="sng" algn="ctr">
                <a:solidFill>
                  <a:schemeClr val="accent1">
                    <a:shade val="95000"/>
                  </a:schemeClr>
                </a:solidFill>
                <a:round/>
              </a:ln>
              <a:effectLst>
                <a:outerShdw blurRad="40000" dist="20000" dir="5400000" rotWithShape="0">
                  <a:srgbClr val="000000">
                    <a:alpha val="38000"/>
                  </a:srgbClr>
                </a:outerShdw>
              </a:effectLst>
            </c:spPr>
            <c:extLst>
              <c:ext xmlns:c16="http://schemas.microsoft.com/office/drawing/2014/chart" uri="{C3380CC4-5D6E-409C-BE32-E72D297353CC}">
                <c16:uniqueId val="{0000000D-1098-B042-9E09-6AE789AF39AB}"/>
              </c:ext>
            </c:extLst>
          </c:dPt>
          <c:dPt>
            <c:idx val="1"/>
            <c:bubble3D val="0"/>
            <c:spPr>
              <a:gradFill rotWithShape="1">
                <a:gsLst>
                  <a:gs pos="0">
                    <a:schemeClr val="accent2">
                      <a:tint val="50000"/>
                      <a:satMod val="300000"/>
                    </a:schemeClr>
                  </a:gs>
                  <a:gs pos="35000">
                    <a:schemeClr val="accent2">
                      <a:tint val="37000"/>
                      <a:satMod val="300000"/>
                    </a:schemeClr>
                  </a:gs>
                  <a:gs pos="100000">
                    <a:schemeClr val="accent2">
                      <a:tint val="15000"/>
                      <a:satMod val="350000"/>
                    </a:schemeClr>
                  </a:gs>
                </a:gsLst>
                <a:lin ang="16200000" scaled="1"/>
              </a:gradFill>
              <a:ln w="9525" cap="flat" cmpd="sng" algn="ctr">
                <a:solidFill>
                  <a:schemeClr val="accent2">
                    <a:shade val="95000"/>
                  </a:schemeClr>
                </a:solidFill>
                <a:round/>
              </a:ln>
              <a:effectLst>
                <a:outerShdw blurRad="40000" dist="20000" dir="5400000" rotWithShape="0">
                  <a:srgbClr val="000000">
                    <a:alpha val="38000"/>
                  </a:srgbClr>
                </a:outerShdw>
              </a:effectLst>
            </c:spPr>
            <c:extLst>
              <c:ext xmlns:c16="http://schemas.microsoft.com/office/drawing/2014/chart" uri="{C3380CC4-5D6E-409C-BE32-E72D297353CC}">
                <c16:uniqueId val="{0000000F-1098-B042-9E09-6AE789AF39AB}"/>
              </c:ext>
            </c:extLst>
          </c:dPt>
          <c:dPt>
            <c:idx val="2"/>
            <c:bubble3D val="0"/>
            <c:spPr>
              <a:gradFill rotWithShape="1">
                <a:gsLst>
                  <a:gs pos="0">
                    <a:schemeClr val="accent3">
                      <a:tint val="50000"/>
                      <a:satMod val="300000"/>
                    </a:schemeClr>
                  </a:gs>
                  <a:gs pos="35000">
                    <a:schemeClr val="accent3">
                      <a:tint val="37000"/>
                      <a:satMod val="300000"/>
                    </a:schemeClr>
                  </a:gs>
                  <a:gs pos="100000">
                    <a:schemeClr val="accent3">
                      <a:tint val="15000"/>
                      <a:satMod val="350000"/>
                    </a:schemeClr>
                  </a:gs>
                </a:gsLst>
                <a:lin ang="16200000" scaled="1"/>
              </a:gradFill>
              <a:ln w="9525" cap="flat" cmpd="sng" algn="ctr">
                <a:solidFill>
                  <a:schemeClr val="accent3">
                    <a:shade val="95000"/>
                  </a:schemeClr>
                </a:solidFill>
                <a:round/>
              </a:ln>
              <a:effectLst>
                <a:outerShdw blurRad="40000" dist="20000" dir="5400000" rotWithShape="0">
                  <a:srgbClr val="000000">
                    <a:alpha val="38000"/>
                  </a:srgbClr>
                </a:outerShdw>
              </a:effectLst>
            </c:spPr>
            <c:extLst>
              <c:ext xmlns:c16="http://schemas.microsoft.com/office/drawing/2014/chart" uri="{C3380CC4-5D6E-409C-BE32-E72D297353CC}">
                <c16:uniqueId val="{00000011-1098-B042-9E09-6AE789AF39AB}"/>
              </c:ext>
            </c:extLst>
          </c:dPt>
          <c:dPt>
            <c:idx val="3"/>
            <c:bubble3D val="0"/>
            <c:spPr>
              <a:gradFill rotWithShape="1">
                <a:gsLst>
                  <a:gs pos="0">
                    <a:schemeClr val="accent4">
                      <a:tint val="50000"/>
                      <a:satMod val="300000"/>
                    </a:schemeClr>
                  </a:gs>
                  <a:gs pos="35000">
                    <a:schemeClr val="accent4">
                      <a:tint val="37000"/>
                      <a:satMod val="300000"/>
                    </a:schemeClr>
                  </a:gs>
                  <a:gs pos="100000">
                    <a:schemeClr val="accent4">
                      <a:tint val="15000"/>
                      <a:satMod val="350000"/>
                    </a:schemeClr>
                  </a:gs>
                </a:gsLst>
                <a:lin ang="16200000" scaled="1"/>
              </a:gradFill>
              <a:ln w="9525" cap="flat" cmpd="sng" algn="ctr">
                <a:solidFill>
                  <a:schemeClr val="accent4">
                    <a:shade val="95000"/>
                  </a:schemeClr>
                </a:solidFill>
                <a:round/>
              </a:ln>
              <a:effectLst>
                <a:outerShdw blurRad="40000" dist="20000" dir="5400000" rotWithShape="0">
                  <a:srgbClr val="000000">
                    <a:alpha val="38000"/>
                  </a:srgbClr>
                </a:outerShdw>
              </a:effectLst>
            </c:spPr>
            <c:extLst>
              <c:ext xmlns:c16="http://schemas.microsoft.com/office/drawing/2014/chart" uri="{C3380CC4-5D6E-409C-BE32-E72D297353CC}">
                <c16:uniqueId val="{00000013-1098-B042-9E09-6AE789AF39AB}"/>
              </c:ext>
            </c:extLst>
          </c:dPt>
          <c:dPt>
            <c:idx val="4"/>
            <c:bubble3D val="0"/>
            <c:spPr>
              <a:gradFill rotWithShape="1">
                <a:gsLst>
                  <a:gs pos="0">
                    <a:schemeClr val="accent5">
                      <a:tint val="50000"/>
                      <a:satMod val="300000"/>
                    </a:schemeClr>
                  </a:gs>
                  <a:gs pos="35000">
                    <a:schemeClr val="accent5">
                      <a:tint val="37000"/>
                      <a:satMod val="300000"/>
                    </a:schemeClr>
                  </a:gs>
                  <a:gs pos="100000">
                    <a:schemeClr val="accent5">
                      <a:tint val="15000"/>
                      <a:satMod val="350000"/>
                    </a:schemeClr>
                  </a:gs>
                </a:gsLst>
                <a:lin ang="16200000" scaled="1"/>
              </a:gradFill>
              <a:ln w="9525" cap="flat" cmpd="sng" algn="ctr">
                <a:solidFill>
                  <a:schemeClr val="accent5">
                    <a:shade val="95000"/>
                  </a:schemeClr>
                </a:solidFill>
                <a:round/>
              </a:ln>
              <a:effectLst>
                <a:outerShdw blurRad="40000" dist="20000" dir="5400000" rotWithShape="0">
                  <a:srgbClr val="000000">
                    <a:alpha val="38000"/>
                  </a:srgbClr>
                </a:outerShdw>
              </a:effectLst>
            </c:spPr>
            <c:extLst>
              <c:ext xmlns:c16="http://schemas.microsoft.com/office/drawing/2014/chart" uri="{C3380CC4-5D6E-409C-BE32-E72D297353CC}">
                <c16:uniqueId val="{00000015-1098-B042-9E09-6AE789AF39AB}"/>
              </c:ext>
            </c:extLst>
          </c:dPt>
          <c:dPt>
            <c:idx val="5"/>
            <c:bubble3D val="0"/>
            <c:spPr>
              <a:gradFill rotWithShape="1">
                <a:gsLst>
                  <a:gs pos="0">
                    <a:schemeClr val="accent6">
                      <a:tint val="50000"/>
                      <a:satMod val="300000"/>
                    </a:schemeClr>
                  </a:gs>
                  <a:gs pos="35000">
                    <a:schemeClr val="accent6">
                      <a:tint val="37000"/>
                      <a:satMod val="300000"/>
                    </a:schemeClr>
                  </a:gs>
                  <a:gs pos="100000">
                    <a:schemeClr val="accent6">
                      <a:tint val="15000"/>
                      <a:satMod val="350000"/>
                    </a:schemeClr>
                  </a:gs>
                </a:gsLst>
                <a:lin ang="16200000" scaled="1"/>
              </a:gradFill>
              <a:ln w="9525" cap="flat" cmpd="sng" algn="ctr">
                <a:solidFill>
                  <a:schemeClr val="accent6">
                    <a:shade val="95000"/>
                  </a:schemeClr>
                </a:solidFill>
                <a:round/>
              </a:ln>
              <a:effectLst>
                <a:outerShdw blurRad="40000" dist="20000" dir="5400000" rotWithShape="0">
                  <a:srgbClr val="000000">
                    <a:alpha val="38000"/>
                  </a:srgbClr>
                </a:outerShdw>
              </a:effectLst>
            </c:spPr>
            <c:extLst>
              <c:ext xmlns:c16="http://schemas.microsoft.com/office/drawing/2014/chart" uri="{C3380CC4-5D6E-409C-BE32-E72D297353CC}">
                <c16:uniqueId val="{00000017-1098-B042-9E09-6AE789AF39AB}"/>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es-CO"/>
              </a:p>
            </c:txPr>
            <c:dLblPos val="bestFit"/>
            <c:showLegendKey val="0"/>
            <c:showVal val="1"/>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val>
            <c:numRef>
              <c:f>'RESUMEN Y GRAFICA'!$C$37:$C$42</c:f>
              <c:numCache>
                <c:formatCode>#,##0.00</c:formatCode>
                <c:ptCount val="6"/>
                <c:pt idx="0">
                  <c:v>3472.8106190185554</c:v>
                </c:pt>
                <c:pt idx="1">
                  <c:v>34186.574569839999</c:v>
                </c:pt>
                <c:pt idx="2">
                  <c:v>741.15860768493417</c:v>
                </c:pt>
                <c:pt idx="3">
                  <c:v>10340.36439382</c:v>
                </c:pt>
                <c:pt idx="4">
                  <c:v>364919.31910453713</c:v>
                </c:pt>
                <c:pt idx="5">
                  <c:v>0</c:v>
                </c:pt>
              </c:numCache>
            </c:numRef>
          </c:val>
          <c:extLst>
            <c:ext xmlns:c16="http://schemas.microsoft.com/office/drawing/2014/chart" uri="{C3380CC4-5D6E-409C-BE32-E72D297353CC}">
              <c16:uniqueId val="{00000001-D9C4-BB42-A732-E7FEBA8FE4BB}"/>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rtl="0">
            <a:defRPr sz="900" b="0" i="0" u="none" strike="noStrike" kern="1200" baseline="0">
              <a:solidFill>
                <a:schemeClr val="tx1">
                  <a:lumMod val="50000"/>
                  <a:lumOff val="50000"/>
                </a:schemeClr>
              </a:solidFill>
              <a:latin typeface="+mn-lt"/>
              <a:ea typeface="+mn-ea"/>
              <a:cs typeface="+mn-cs"/>
            </a:defRPr>
          </a:pPr>
          <a:endParaRPr lang="es-CO"/>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CO"/>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('RESUMEN Y GRAFICA'!$B$4:$B$6,'RESUMEN Y GRAFICA'!$B$8,'RESUMEN Y GRAFICA'!$B$10:$B$11,'RESUMEN Y GRAFICA'!$B$13:$B$15,'RESUMEN Y GRAFICA'!$B$17)</c:f>
              <c:strCache>
                <c:ptCount val="10"/>
                <c:pt idx="0">
                  <c:v>EMISIONES DIRECTAS A PARTIR DE COMBUSTIÓN MÓVIL</c:v>
                </c:pt>
                <c:pt idx="1">
                  <c:v>EMISIONES DIRECTAS A PARTIR DE COMBUSTIÓN ESTACIONARIA</c:v>
                </c:pt>
                <c:pt idx="2">
                  <c:v>EMISIONES FUGITIVAS DIRECTAS CAUSADAS POR LA LIBERACIÓN DE GEI EN SISTEMAS ANTROPOGÉNICOS</c:v>
                </c:pt>
                <c:pt idx="3">
                  <c:v>CONSUMO DE ENERGÍA ELÉCTRICA DE LA RED</c:v>
                </c:pt>
                <c:pt idx="4">
                  <c:v>EMISIONES CAUSADAS POR EL TRANSPORTE DIARIO DE LOS EMPLEADOS</c:v>
                </c:pt>
                <c:pt idx="5">
                  <c:v>EMISIONES CAUSADAS POR VIAJES DE NEGOCIOS</c:v>
                </c:pt>
                <c:pt idx="6">
                  <c:v>EMISIONES PROVENIENTES DE LOS PRODUCTOS COMPRADOS, LAS CUALES ESTÁN ASOCIADAS CON LA FABRICACIÓN DEL PRODUCTO</c:v>
                </c:pt>
                <c:pt idx="7">
                  <c:v>EMISIONES PROVENIENTES DE LA DISPOSICIÓN DE RESIDUOS SÓLIDOS </c:v>
                </c:pt>
                <c:pt idx="8">
                  <c:v>EMISIONES INDIRECTAS CAUSADAS POR BIENES/SERVICIOS QUE UTILIZA LA ORGANIZACIÓN</c:v>
                </c:pt>
                <c:pt idx="9">
                  <c:v>TRATAMIENTO Y ELIMINACIÓN DE LAS AGUAS RESIDUALES DOMÉSTICAS DE  BOGOTÁ D.C.</c:v>
                </c:pt>
              </c:strCache>
            </c:strRef>
          </c:cat>
          <c:val>
            <c:numRef>
              <c:f>('RESUMEN Y GRAFICA'!$H$4:$H$6,'RESUMEN Y GRAFICA'!$H$8,'RESUMEN Y GRAFICA'!$H$10:$H$11,'RESUMEN Y GRAFICA'!$H$13:$H$15,'RESUMEN Y GRAFICA'!$H$17)</c:f>
              <c:numCache>
                <c:formatCode>#,##0.00</c:formatCode>
                <c:ptCount val="10"/>
                <c:pt idx="0">
                  <c:v>2648.0797667413535</c:v>
                </c:pt>
                <c:pt idx="1">
                  <c:v>161.50515022920229</c:v>
                </c:pt>
                <c:pt idx="2">
                  <c:v>663.2257020479999</c:v>
                </c:pt>
                <c:pt idx="3">
                  <c:v>34186.574569839999</c:v>
                </c:pt>
                <c:pt idx="4">
                  <c:v>740.44860768493413</c:v>
                </c:pt>
                <c:pt idx="5">
                  <c:v>0.71</c:v>
                </c:pt>
                <c:pt idx="6">
                  <c:v>9420.5379100000009</c:v>
                </c:pt>
                <c:pt idx="7">
                  <c:v>827.91468971999984</c:v>
                </c:pt>
                <c:pt idx="8">
                  <c:v>91.911794100000009</c:v>
                </c:pt>
                <c:pt idx="9">
                  <c:v>364919.31910453713</c:v>
                </c:pt>
              </c:numCache>
            </c:numRef>
          </c:val>
          <c:extLst>
            <c:ext xmlns:c16="http://schemas.microsoft.com/office/drawing/2014/chart" uri="{C3380CC4-5D6E-409C-BE32-E72D297353CC}">
              <c16:uniqueId val="{00000000-5B26-B440-ACD1-456BD6F4FD02}"/>
            </c:ext>
          </c:extLst>
        </c:ser>
        <c:dLbls>
          <c:dLblPos val="outEnd"/>
          <c:showLegendKey val="0"/>
          <c:showVal val="1"/>
          <c:showCatName val="0"/>
          <c:showSerName val="0"/>
          <c:showPercent val="0"/>
          <c:showBubbleSize val="0"/>
        </c:dLbls>
        <c:gapWidth val="150"/>
        <c:axId val="1252450432"/>
        <c:axId val="1252638944"/>
      </c:barChart>
      <c:catAx>
        <c:axId val="1252450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1252638944"/>
        <c:crosses val="autoZero"/>
        <c:auto val="1"/>
        <c:lblAlgn val="ctr"/>
        <c:lblOffset val="100"/>
        <c:noMultiLvlLbl val="0"/>
      </c:catAx>
      <c:valAx>
        <c:axId val="125263894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1252450432"/>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s-CO"/>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_tradnl"/>
              <a:t>Comparativo</a:t>
            </a:r>
            <a:r>
              <a:rPr lang="es-ES_tradnl" baseline="0"/>
              <a:t> t</a:t>
            </a:r>
            <a:r>
              <a:rPr lang="es-ES_tradnl"/>
              <a:t>CO2</a:t>
            </a:r>
            <a:r>
              <a:rPr lang="es-ES_tradnl" baseline="0"/>
              <a:t>e 2019-2020</a:t>
            </a:r>
            <a:endParaRPr lang="es-ES_tradnl"/>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CO"/>
        </a:p>
      </c:txPr>
    </c:title>
    <c:autoTitleDeleted val="0"/>
    <c:plotArea>
      <c:layout/>
      <c:barChart>
        <c:barDir val="col"/>
        <c:grouping val="clustered"/>
        <c:varyColors val="0"/>
        <c:ser>
          <c:idx val="0"/>
          <c:order val="0"/>
          <c:tx>
            <c:v>2019</c:v>
          </c:tx>
          <c:spPr>
            <a:solidFill>
              <a:schemeClr val="accent1"/>
            </a:solidFill>
            <a:ln>
              <a:noFill/>
            </a:ln>
            <a:effectLst/>
          </c:spPr>
          <c:invertIfNegative val="0"/>
          <c:cat>
            <c:strRef>
              <c:f>('RESUMEN Y GRAFICA'!$Z$4:$Z$6,'RESUMEN Y GRAFICA'!$Z$8,'RESUMEN Y GRAFICA'!$Z$10:$Z$11,'RESUMEN Y GRAFICA'!$Z$13:$Z$15,'RESUMEN Y GRAFICA'!$Z$17)</c:f>
              <c:strCache>
                <c:ptCount val="10"/>
                <c:pt idx="0">
                  <c:v>EMISIONES DIRECTAS A PARTIR DE COMBUSTIÓN MÓVIL</c:v>
                </c:pt>
                <c:pt idx="1">
                  <c:v>EMISIONES DIRECTAS A PARTIR DE COMBUSTIÓN ESTACIONARIA</c:v>
                </c:pt>
                <c:pt idx="2">
                  <c:v>EMISIONES FUGITIVAS DIRECTAS CAUSADAS POR LA LIBERACIÓN DE GEI EN SISTEMAS ANTROPOGÉNICOS</c:v>
                </c:pt>
                <c:pt idx="3">
                  <c:v>CONSUMO DE ENERGÍA ELÉCTRICA DE LA RED</c:v>
                </c:pt>
                <c:pt idx="4">
                  <c:v>EMISIONES CAUSADAS POR EL TRANSPORTE DIARIO DE LOS EMPLEADOS</c:v>
                </c:pt>
                <c:pt idx="5">
                  <c:v>EMISIONES CAUSADAS POR VIAJES DE NEGOCIOS</c:v>
                </c:pt>
                <c:pt idx="6">
                  <c:v>EMISIONES PROVENIENTES DE LOS PRODUCTOS COMPRADOS, LAS CUALES ESTÁN ASOCIADAS CON LA FABRICACIÓN DEL PRODUCTO</c:v>
                </c:pt>
                <c:pt idx="7">
                  <c:v>EMISIONES PROVENIENTES DE LA DISPOSICIÓN DE RESIDUOS SÓLIDOS </c:v>
                </c:pt>
                <c:pt idx="8">
                  <c:v>EMISIONES INDIRECTAS CAUSADAS POR BIENES/SERVICIOS QUE UTILIZA LA ORGANIZACIÓN</c:v>
                </c:pt>
                <c:pt idx="9">
                  <c:v>TRATAMIENTO Y ELIMINACIÓN DE LAS AGUAS RESIDUALES DOMÉSTICAS DE  BOGOTÁ D.C.</c:v>
                </c:pt>
              </c:strCache>
            </c:strRef>
          </c:cat>
          <c:val>
            <c:numRef>
              <c:f>('RESUMEN Y GRAFICA'!$AA$4:$AA$6,'RESUMEN Y GRAFICA'!$AA$8,'RESUMEN Y GRAFICA'!$AA$10:$AA$11,'RESUMEN Y GRAFICA'!$AA$13:$AA$15,'RESUMEN Y GRAFICA'!$AA$17)</c:f>
              <c:numCache>
                <c:formatCode>0.00</c:formatCode>
                <c:ptCount val="10"/>
                <c:pt idx="0">
                  <c:v>3197.1000055901336</c:v>
                </c:pt>
                <c:pt idx="1">
                  <c:v>241.48398834114923</c:v>
                </c:pt>
                <c:pt idx="2">
                  <c:v>675.23406404799994</c:v>
                </c:pt>
                <c:pt idx="3">
                  <c:v>29641.627818000001</c:v>
                </c:pt>
                <c:pt idx="4">
                  <c:v>1053.2290871128585</c:v>
                </c:pt>
                <c:pt idx="5">
                  <c:v>13.91</c:v>
                </c:pt>
                <c:pt idx="6">
                  <c:v>9659.4844200000007</c:v>
                </c:pt>
                <c:pt idx="7">
                  <c:v>972.20837330266659</c:v>
                </c:pt>
                <c:pt idx="8">
                  <c:v>199.40820690000001</c:v>
                </c:pt>
                <c:pt idx="9">
                  <c:v>346810.03342648258</c:v>
                </c:pt>
              </c:numCache>
            </c:numRef>
          </c:val>
          <c:extLst>
            <c:ext xmlns:c16="http://schemas.microsoft.com/office/drawing/2014/chart" uri="{C3380CC4-5D6E-409C-BE32-E72D297353CC}">
              <c16:uniqueId val="{00000000-148F-6543-90C9-1A75FB4162B4}"/>
            </c:ext>
          </c:extLst>
        </c:ser>
        <c:ser>
          <c:idx val="1"/>
          <c:order val="1"/>
          <c:tx>
            <c:v>2020</c:v>
          </c:tx>
          <c:spPr>
            <a:solidFill>
              <a:schemeClr val="accent2"/>
            </a:solidFill>
            <a:ln>
              <a:noFill/>
            </a:ln>
            <a:effectLst/>
          </c:spPr>
          <c:invertIfNegative val="0"/>
          <c:cat>
            <c:strRef>
              <c:f>('RESUMEN Y GRAFICA'!$Z$4:$Z$6,'RESUMEN Y GRAFICA'!$Z$8,'RESUMEN Y GRAFICA'!$Z$10:$Z$11,'RESUMEN Y GRAFICA'!$Z$13:$Z$15,'RESUMEN Y GRAFICA'!$Z$17)</c:f>
              <c:strCache>
                <c:ptCount val="10"/>
                <c:pt idx="0">
                  <c:v>EMISIONES DIRECTAS A PARTIR DE COMBUSTIÓN MÓVIL</c:v>
                </c:pt>
                <c:pt idx="1">
                  <c:v>EMISIONES DIRECTAS A PARTIR DE COMBUSTIÓN ESTACIONARIA</c:v>
                </c:pt>
                <c:pt idx="2">
                  <c:v>EMISIONES FUGITIVAS DIRECTAS CAUSADAS POR LA LIBERACIÓN DE GEI EN SISTEMAS ANTROPOGÉNICOS</c:v>
                </c:pt>
                <c:pt idx="3">
                  <c:v>CONSUMO DE ENERGÍA ELÉCTRICA DE LA RED</c:v>
                </c:pt>
                <c:pt idx="4">
                  <c:v>EMISIONES CAUSADAS POR EL TRANSPORTE DIARIO DE LOS EMPLEADOS</c:v>
                </c:pt>
                <c:pt idx="5">
                  <c:v>EMISIONES CAUSADAS POR VIAJES DE NEGOCIOS</c:v>
                </c:pt>
                <c:pt idx="6">
                  <c:v>EMISIONES PROVENIENTES DE LOS PRODUCTOS COMPRADOS, LAS CUALES ESTÁN ASOCIADAS CON LA FABRICACIÓN DEL PRODUCTO</c:v>
                </c:pt>
                <c:pt idx="7">
                  <c:v>EMISIONES PROVENIENTES DE LA DISPOSICIÓN DE RESIDUOS SÓLIDOS </c:v>
                </c:pt>
                <c:pt idx="8">
                  <c:v>EMISIONES INDIRECTAS CAUSADAS POR BIENES/SERVICIOS QUE UTILIZA LA ORGANIZACIÓN</c:v>
                </c:pt>
                <c:pt idx="9">
                  <c:v>TRATAMIENTO Y ELIMINACIÓN DE LAS AGUAS RESIDUALES DOMÉSTICAS DE  BOGOTÁ D.C.</c:v>
                </c:pt>
              </c:strCache>
            </c:strRef>
          </c:cat>
          <c:val>
            <c:numRef>
              <c:f>('RESUMEN Y GRAFICA'!$AB$4:$AB$6,'RESUMEN Y GRAFICA'!$AB$8,'RESUMEN Y GRAFICA'!$AB$10:$AB$11,'RESUMEN Y GRAFICA'!$AB$13:$AB$15,'RESUMEN Y GRAFICA'!$AB$17)</c:f>
              <c:numCache>
                <c:formatCode>0.00</c:formatCode>
                <c:ptCount val="10"/>
                <c:pt idx="0">
                  <c:v>2648.0797667413535</c:v>
                </c:pt>
                <c:pt idx="1">
                  <c:v>161.50515022920229</c:v>
                </c:pt>
                <c:pt idx="2">
                  <c:v>663.2257020479999</c:v>
                </c:pt>
                <c:pt idx="3">
                  <c:v>34186.574569839999</c:v>
                </c:pt>
                <c:pt idx="4">
                  <c:v>740.44860768493413</c:v>
                </c:pt>
                <c:pt idx="5">
                  <c:v>0.71</c:v>
                </c:pt>
                <c:pt idx="6">
                  <c:v>9420.5379100000009</c:v>
                </c:pt>
                <c:pt idx="7">
                  <c:v>827.91468971999984</c:v>
                </c:pt>
                <c:pt idx="8">
                  <c:v>91.911794100000009</c:v>
                </c:pt>
                <c:pt idx="9">
                  <c:v>364919.31910453713</c:v>
                </c:pt>
              </c:numCache>
            </c:numRef>
          </c:val>
          <c:extLst>
            <c:ext xmlns:c16="http://schemas.microsoft.com/office/drawing/2014/chart" uri="{C3380CC4-5D6E-409C-BE32-E72D297353CC}">
              <c16:uniqueId val="{00000001-148F-6543-90C9-1A75FB4162B4}"/>
            </c:ext>
          </c:extLst>
        </c:ser>
        <c:dLbls>
          <c:showLegendKey val="0"/>
          <c:showVal val="0"/>
          <c:showCatName val="0"/>
          <c:showSerName val="0"/>
          <c:showPercent val="0"/>
          <c:showBubbleSize val="0"/>
        </c:dLbls>
        <c:gapWidth val="150"/>
        <c:axId val="807798943"/>
        <c:axId val="811789135"/>
      </c:barChart>
      <c:catAx>
        <c:axId val="80779894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811789135"/>
        <c:crosses val="autoZero"/>
        <c:auto val="1"/>
        <c:lblAlgn val="ctr"/>
        <c:lblOffset val="100"/>
        <c:noMultiLvlLbl val="0"/>
      </c:catAx>
      <c:valAx>
        <c:axId val="81178913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_tradnl"/>
                  <a:t>tCO</a:t>
                </a:r>
                <a:r>
                  <a:rPr lang="es-ES_tradnl" baseline="0"/>
                  <a:t>2 e</a:t>
                </a:r>
                <a:endParaRPr lang="es-ES_tradnl"/>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CO"/>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807798943"/>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s-CO"/>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 id="16">
  <a:schemeClr val="accent3"/>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withinLinear" id="15">
  <a:schemeClr val="accent2"/>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4">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fillRef idx="2">
      <cs:styleClr val="auto"/>
    </cs:fillRef>
    <cs:effectRef idx="1"/>
    <cs:fontRef idx="minor">
      <a:schemeClr val="dk1"/>
    </cs:fontRef>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gif"/><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5.jpeg"/><Relationship Id="rId1" Type="http://schemas.openxmlformats.org/officeDocument/2006/relationships/image" Target="../media/image2.png"/><Relationship Id="rId4" Type="http://schemas.openxmlformats.org/officeDocument/2006/relationships/hyperlink" Target="#'HC CORPORATIVA-INCERTIDUMBRE'!A1"/></Relationships>
</file>

<file path=xl/drawings/_rels/drawing3.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6.jpeg"/></Relationships>
</file>

<file path=xl/drawings/_rels/drawing4.xml.rels><?xml version="1.0" encoding="UTF-8" standalone="yes"?>
<Relationships xmlns="http://schemas.openxmlformats.org/package/2006/relationships"><Relationship Id="rId3" Type="http://schemas.openxmlformats.org/officeDocument/2006/relationships/image" Target="../media/image9.jpeg"/><Relationship Id="rId2" Type="http://schemas.openxmlformats.org/officeDocument/2006/relationships/image" Target="../media/image8.jpeg"/><Relationship Id="rId1" Type="http://schemas.openxmlformats.org/officeDocument/2006/relationships/image" Target="../media/image2.png"/><Relationship Id="rId4" Type="http://schemas.openxmlformats.org/officeDocument/2006/relationships/image" Target="../media/image7.png"/></Relationships>
</file>

<file path=xl/drawings/_rels/drawing5.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279400</xdr:colOff>
      <xdr:row>7</xdr:row>
      <xdr:rowOff>171450</xdr:rowOff>
    </xdr:from>
    <xdr:to>
      <xdr:col>12</xdr:col>
      <xdr:colOff>660400</xdr:colOff>
      <xdr:row>10</xdr:row>
      <xdr:rowOff>1905000</xdr:rowOff>
    </xdr:to>
    <xdr:sp macro="" textlink="">
      <xdr:nvSpPr>
        <xdr:cNvPr id="17" name="16 Rectángulo redondeado">
          <a:extLst>
            <a:ext uri="{FF2B5EF4-FFF2-40B4-BE49-F238E27FC236}">
              <a16:creationId xmlns:a16="http://schemas.microsoft.com/office/drawing/2014/main" id="{00000000-0008-0000-0100-000011000000}"/>
            </a:ext>
          </a:extLst>
        </xdr:cNvPr>
        <xdr:cNvSpPr/>
      </xdr:nvSpPr>
      <xdr:spPr>
        <a:xfrm>
          <a:off x="1549400" y="2584450"/>
          <a:ext cx="7467600" cy="4425950"/>
        </a:xfrm>
        <a:prstGeom prst="roundRect">
          <a:avLst>
            <a:gd name="adj" fmla="val 11318"/>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s-CO" sz="1100"/>
        </a:p>
      </xdr:txBody>
    </xdr:sp>
    <xdr:clientData/>
  </xdr:twoCellAnchor>
  <xdr:twoCellAnchor editAs="oneCell">
    <xdr:from>
      <xdr:col>10</xdr:col>
      <xdr:colOff>247650</xdr:colOff>
      <xdr:row>15</xdr:row>
      <xdr:rowOff>657225</xdr:rowOff>
    </xdr:from>
    <xdr:to>
      <xdr:col>15</xdr:col>
      <xdr:colOff>628650</xdr:colOff>
      <xdr:row>15</xdr:row>
      <xdr:rowOff>2886075</xdr:rowOff>
    </xdr:to>
    <xdr:pic>
      <xdr:nvPicPr>
        <xdr:cNvPr id="3" name="2 Imagen" descr="http://www.accionrse.cl/uploads/doc/reporte2008/images/graficos/emisiones-co2.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391650" y="11077575"/>
          <a:ext cx="4191000" cy="2228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13</xdr:col>
      <xdr:colOff>71120</xdr:colOff>
      <xdr:row>0</xdr:row>
      <xdr:rowOff>100239</xdr:rowOff>
    </xdr:from>
    <xdr:to>
      <xdr:col>16</xdr:col>
      <xdr:colOff>165110</xdr:colOff>
      <xdr:row>2</xdr:row>
      <xdr:rowOff>173777</xdr:rowOff>
    </xdr:to>
    <xdr:pic>
      <xdr:nvPicPr>
        <xdr:cNvPr id="13" name="12 Imagen">
          <a:extLst>
            <a:ext uri="{FF2B5EF4-FFF2-40B4-BE49-F238E27FC236}">
              <a16:creationId xmlns:a16="http://schemas.microsoft.com/office/drawing/2014/main" id="{00000000-0008-0000-0100-00000D00000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7709" t="41636" r="17945" b="40729"/>
        <a:stretch/>
      </xdr:blipFill>
      <xdr:spPr>
        <a:xfrm>
          <a:off x="11938000" y="100239"/>
          <a:ext cx="2471430" cy="520578"/>
        </a:xfrm>
        <a:prstGeom prst="rect">
          <a:avLst/>
        </a:prstGeom>
      </xdr:spPr>
    </xdr:pic>
    <xdr:clientData/>
  </xdr:twoCellAnchor>
  <xdr:twoCellAnchor editAs="oneCell">
    <xdr:from>
      <xdr:col>16</xdr:col>
      <xdr:colOff>193502</xdr:colOff>
      <xdr:row>0</xdr:row>
      <xdr:rowOff>119742</xdr:rowOff>
    </xdr:from>
    <xdr:to>
      <xdr:col>17</xdr:col>
      <xdr:colOff>1361</xdr:colOff>
      <xdr:row>5</xdr:row>
      <xdr:rowOff>56589</xdr:rowOff>
    </xdr:to>
    <xdr:pic>
      <xdr:nvPicPr>
        <xdr:cNvPr id="14" name="13 Imagen">
          <a:extLst>
            <a:ext uri="{FF2B5EF4-FFF2-40B4-BE49-F238E27FC236}">
              <a16:creationId xmlns:a16="http://schemas.microsoft.com/office/drawing/2014/main" id="{00000000-0008-0000-0100-00000E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3495845" y="119742"/>
          <a:ext cx="579384" cy="1014533"/>
        </a:xfrm>
        <a:prstGeom prst="rect">
          <a:avLst/>
        </a:prstGeom>
      </xdr:spPr>
    </xdr:pic>
    <xdr:clientData/>
  </xdr:twoCellAnchor>
  <xdr:twoCellAnchor editAs="oneCell">
    <xdr:from>
      <xdr:col>0</xdr:col>
      <xdr:colOff>150950</xdr:colOff>
      <xdr:row>0</xdr:row>
      <xdr:rowOff>65314</xdr:rowOff>
    </xdr:from>
    <xdr:to>
      <xdr:col>3</xdr:col>
      <xdr:colOff>1362</xdr:colOff>
      <xdr:row>4</xdr:row>
      <xdr:rowOff>24673</xdr:rowOff>
    </xdr:to>
    <xdr:pic>
      <xdr:nvPicPr>
        <xdr:cNvPr id="15" name="14 Imagen">
          <a:extLst>
            <a:ext uri="{FF2B5EF4-FFF2-40B4-BE49-F238E27FC236}">
              <a16:creationId xmlns:a16="http://schemas.microsoft.com/office/drawing/2014/main" id="{00000000-0008-0000-0100-00000F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50950" y="65314"/>
          <a:ext cx="1100908" cy="8084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558800</xdr:colOff>
      <xdr:row>10</xdr:row>
      <xdr:rowOff>1511300</xdr:rowOff>
    </xdr:from>
    <xdr:to>
      <xdr:col>14</xdr:col>
      <xdr:colOff>12700</xdr:colOff>
      <xdr:row>10</xdr:row>
      <xdr:rowOff>2819400</xdr:rowOff>
    </xdr:to>
    <xdr:sp macro="" textlink="">
      <xdr:nvSpPr>
        <xdr:cNvPr id="2" name="1 Rectángulo redondeado">
          <a:extLst>
            <a:ext uri="{FF2B5EF4-FFF2-40B4-BE49-F238E27FC236}">
              <a16:creationId xmlns:a16="http://schemas.microsoft.com/office/drawing/2014/main" id="{00000000-0008-0000-0400-000002000000}"/>
            </a:ext>
          </a:extLst>
        </xdr:cNvPr>
        <xdr:cNvSpPr/>
      </xdr:nvSpPr>
      <xdr:spPr>
        <a:xfrm>
          <a:off x="6553200" y="6083300"/>
          <a:ext cx="3390900" cy="13081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s-CO" sz="1100"/>
        </a:p>
      </xdr:txBody>
    </xdr:sp>
    <xdr:clientData/>
  </xdr:twoCellAnchor>
  <xdr:twoCellAnchor editAs="oneCell">
    <xdr:from>
      <xdr:col>12</xdr:col>
      <xdr:colOff>71120</xdr:colOff>
      <xdr:row>0</xdr:row>
      <xdr:rowOff>100239</xdr:rowOff>
    </xdr:from>
    <xdr:to>
      <xdr:col>15</xdr:col>
      <xdr:colOff>165110</xdr:colOff>
      <xdr:row>2</xdr:row>
      <xdr:rowOff>173777</xdr:rowOff>
    </xdr:to>
    <xdr:pic>
      <xdr:nvPicPr>
        <xdr:cNvPr id="6" name="5 Imagen">
          <a:extLst>
            <a:ext uri="{FF2B5EF4-FFF2-40B4-BE49-F238E27FC236}">
              <a16:creationId xmlns:a16="http://schemas.microsoft.com/office/drawing/2014/main" id="{00000000-0008-0000-0400-000006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7709" t="41636" r="17945" b="40729"/>
        <a:stretch/>
      </xdr:blipFill>
      <xdr:spPr>
        <a:xfrm>
          <a:off x="10853420" y="100239"/>
          <a:ext cx="2471430" cy="515498"/>
        </a:xfrm>
        <a:prstGeom prst="rect">
          <a:avLst/>
        </a:prstGeom>
      </xdr:spPr>
    </xdr:pic>
    <xdr:clientData/>
  </xdr:twoCellAnchor>
  <xdr:twoCellAnchor editAs="oneCell">
    <xdr:from>
      <xdr:col>15</xdr:col>
      <xdr:colOff>193502</xdr:colOff>
      <xdr:row>0</xdr:row>
      <xdr:rowOff>119742</xdr:rowOff>
    </xdr:from>
    <xdr:to>
      <xdr:col>16</xdr:col>
      <xdr:colOff>1361</xdr:colOff>
      <xdr:row>5</xdr:row>
      <xdr:rowOff>56589</xdr:rowOff>
    </xdr:to>
    <xdr:pic>
      <xdr:nvPicPr>
        <xdr:cNvPr id="7" name="6 Imagen">
          <a:extLst>
            <a:ext uri="{FF2B5EF4-FFF2-40B4-BE49-F238E27FC236}">
              <a16:creationId xmlns:a16="http://schemas.microsoft.com/office/drawing/2014/main" id="{00000000-0008-0000-04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353242" y="119742"/>
          <a:ext cx="592719" cy="1018887"/>
        </a:xfrm>
        <a:prstGeom prst="rect">
          <a:avLst/>
        </a:prstGeom>
      </xdr:spPr>
    </xdr:pic>
    <xdr:clientData/>
  </xdr:twoCellAnchor>
  <xdr:twoCellAnchor editAs="oneCell">
    <xdr:from>
      <xdr:col>0</xdr:col>
      <xdr:colOff>150950</xdr:colOff>
      <xdr:row>0</xdr:row>
      <xdr:rowOff>65314</xdr:rowOff>
    </xdr:from>
    <xdr:to>
      <xdr:col>3</xdr:col>
      <xdr:colOff>1362</xdr:colOff>
      <xdr:row>4</xdr:row>
      <xdr:rowOff>24673</xdr:rowOff>
    </xdr:to>
    <xdr:pic>
      <xdr:nvPicPr>
        <xdr:cNvPr id="8" name="7 Imagen">
          <a:extLst>
            <a:ext uri="{FF2B5EF4-FFF2-40B4-BE49-F238E27FC236}">
              <a16:creationId xmlns:a16="http://schemas.microsoft.com/office/drawing/2014/main" id="{00000000-0008-0000-0400-00000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50950" y="65314"/>
          <a:ext cx="1122952" cy="812799"/>
        </a:xfrm>
        <a:prstGeom prst="rect">
          <a:avLst/>
        </a:prstGeom>
      </xdr:spPr>
    </xdr:pic>
    <xdr:clientData/>
  </xdr:twoCellAnchor>
  <xdr:twoCellAnchor>
    <xdr:from>
      <xdr:col>12</xdr:col>
      <xdr:colOff>576580</xdr:colOff>
      <xdr:row>10</xdr:row>
      <xdr:rowOff>1475740</xdr:rowOff>
    </xdr:from>
    <xdr:to>
      <xdr:col>13</xdr:col>
      <xdr:colOff>662940</xdr:colOff>
      <xdr:row>10</xdr:row>
      <xdr:rowOff>1971040</xdr:rowOff>
    </xdr:to>
    <xdr:sp macro="" textlink="">
      <xdr:nvSpPr>
        <xdr:cNvPr id="10" name="9 Elipse">
          <a:hlinkClick xmlns:r="http://schemas.openxmlformats.org/officeDocument/2006/relationships" r:id="rId4"/>
          <a:extLst>
            <a:ext uri="{FF2B5EF4-FFF2-40B4-BE49-F238E27FC236}">
              <a16:creationId xmlns:a16="http://schemas.microsoft.com/office/drawing/2014/main" id="{00000000-0008-0000-0400-00000A000000}"/>
            </a:ext>
          </a:extLst>
        </xdr:cNvPr>
        <xdr:cNvSpPr/>
      </xdr:nvSpPr>
      <xdr:spPr>
        <a:xfrm>
          <a:off x="8933180" y="6047740"/>
          <a:ext cx="873760" cy="495300"/>
        </a:xfrm>
        <a:prstGeom prst="ellipse">
          <a:avLst/>
        </a:prstGeom>
      </xdr:spPr>
      <xdr:style>
        <a:lnRef idx="2">
          <a:schemeClr val="accent1"/>
        </a:lnRef>
        <a:fillRef idx="1">
          <a:schemeClr val="lt1"/>
        </a:fillRef>
        <a:effectRef idx="0">
          <a:schemeClr val="accent1"/>
        </a:effectRef>
        <a:fontRef idx="minor">
          <a:schemeClr val="dk1"/>
        </a:fontRef>
      </xdr:style>
      <xdr:txBody>
        <a:bodyPr vertOverflow="clip" horzOverflow="clip" lIns="0" rIns="0" rtlCol="0" anchor="ctr"/>
        <a:lstStyle/>
        <a:p>
          <a:pPr algn="ctr"/>
          <a:r>
            <a:rPr lang="es-CO" sz="800"/>
            <a:t>Click</a:t>
          </a:r>
          <a:r>
            <a:rPr lang="es-CO" sz="800" baseline="0"/>
            <a:t> para la herramienta</a:t>
          </a:r>
          <a:endParaRPr lang="es-CO" sz="8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2139221</xdr:colOff>
      <xdr:row>1</xdr:row>
      <xdr:rowOff>79636</xdr:rowOff>
    </xdr:from>
    <xdr:to>
      <xdr:col>2</xdr:col>
      <xdr:colOff>3893</xdr:colOff>
      <xdr:row>2</xdr:row>
      <xdr:rowOff>573814</xdr:rowOff>
    </xdr:to>
    <xdr:pic>
      <xdr:nvPicPr>
        <xdr:cNvPr id="7" name="11 Imagen">
          <a:extLst>
            <a:ext uri="{FF2B5EF4-FFF2-40B4-BE49-F238E27FC236}">
              <a16:creationId xmlns:a16="http://schemas.microsoft.com/office/drawing/2014/main" id="{CF032BC5-D833-4949-80F2-CB6027486A6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57902" y="275021"/>
          <a:ext cx="1217472" cy="1191980"/>
        </a:xfrm>
        <a:prstGeom prst="rect">
          <a:avLst/>
        </a:prstGeom>
      </xdr:spPr>
    </xdr:pic>
    <xdr:clientData/>
  </xdr:twoCellAnchor>
  <xdr:twoCellAnchor editAs="oneCell">
    <xdr:from>
      <xdr:col>1</xdr:col>
      <xdr:colOff>186750</xdr:colOff>
      <xdr:row>1</xdr:row>
      <xdr:rowOff>101007</xdr:rowOff>
    </xdr:from>
    <xdr:to>
      <xdr:col>1</xdr:col>
      <xdr:colOff>1857156</xdr:colOff>
      <xdr:row>2</xdr:row>
      <xdr:rowOff>480804</xdr:rowOff>
    </xdr:to>
    <xdr:pic>
      <xdr:nvPicPr>
        <xdr:cNvPr id="9" name="Imagen 8">
          <a:extLst>
            <a:ext uri="{FF2B5EF4-FFF2-40B4-BE49-F238E27FC236}">
              <a16:creationId xmlns:a16="http://schemas.microsoft.com/office/drawing/2014/main" id="{2FAD9B42-1C13-7C4C-A9BF-AE94827168BA}"/>
            </a:ext>
          </a:extLst>
        </xdr:cNvPr>
        <xdr:cNvPicPr>
          <a:picLocks noChangeAspect="1"/>
        </xdr:cNvPicPr>
      </xdr:nvPicPr>
      <xdr:blipFill>
        <a:blip xmlns:r="http://schemas.openxmlformats.org/officeDocument/2006/relationships" r:embed="rId2"/>
        <a:stretch>
          <a:fillRect/>
        </a:stretch>
      </xdr:blipFill>
      <xdr:spPr>
        <a:xfrm>
          <a:off x="605431" y="296392"/>
          <a:ext cx="1670406" cy="107759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30</xdr:col>
      <xdr:colOff>0</xdr:colOff>
      <xdr:row>0</xdr:row>
      <xdr:rowOff>282840</xdr:rowOff>
    </xdr:from>
    <xdr:to>
      <xdr:col>31</xdr:col>
      <xdr:colOff>1063182</xdr:colOff>
      <xdr:row>2</xdr:row>
      <xdr:rowOff>30089</xdr:rowOff>
    </xdr:to>
    <xdr:pic>
      <xdr:nvPicPr>
        <xdr:cNvPr id="2" name="1 Imagen">
          <a:extLst>
            <a:ext uri="{FF2B5EF4-FFF2-40B4-BE49-F238E27FC236}">
              <a16:creationId xmlns:a16="http://schemas.microsoft.com/office/drawing/2014/main" id="{00000000-0008-0000-06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7709" t="41636" r="17945" b="40729"/>
        <a:stretch/>
      </xdr:blipFill>
      <xdr:spPr>
        <a:xfrm>
          <a:off x="49978123" y="282840"/>
          <a:ext cx="2323657" cy="503252"/>
        </a:xfrm>
        <a:prstGeom prst="rect">
          <a:avLst/>
        </a:prstGeom>
      </xdr:spPr>
    </xdr:pic>
    <xdr:clientData/>
  </xdr:twoCellAnchor>
  <xdr:twoCellAnchor editAs="oneCell">
    <xdr:from>
      <xdr:col>31</xdr:col>
      <xdr:colOff>857072</xdr:colOff>
      <xdr:row>0</xdr:row>
      <xdr:rowOff>38100</xdr:rowOff>
    </xdr:from>
    <xdr:to>
      <xdr:col>31</xdr:col>
      <xdr:colOff>1651000</xdr:colOff>
      <xdr:row>2</xdr:row>
      <xdr:rowOff>300566</xdr:rowOff>
    </xdr:to>
    <xdr:pic>
      <xdr:nvPicPr>
        <xdr:cNvPr id="3" name="2 Imagen">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8955822" y="38100"/>
          <a:ext cx="603428" cy="886883"/>
        </a:xfrm>
        <a:prstGeom prst="rect">
          <a:avLst/>
        </a:prstGeom>
      </xdr:spPr>
    </xdr:pic>
    <xdr:clientData/>
  </xdr:twoCellAnchor>
  <xdr:twoCellAnchor editAs="oneCell">
    <xdr:from>
      <xdr:col>28</xdr:col>
      <xdr:colOff>0</xdr:colOff>
      <xdr:row>0</xdr:row>
      <xdr:rowOff>282840</xdr:rowOff>
    </xdr:from>
    <xdr:to>
      <xdr:col>29</xdr:col>
      <xdr:colOff>680771</xdr:colOff>
      <xdr:row>2</xdr:row>
      <xdr:rowOff>32911</xdr:rowOff>
    </xdr:to>
    <xdr:pic>
      <xdr:nvPicPr>
        <xdr:cNvPr id="9" name="1 Imagen">
          <a:extLst>
            <a:ext uri="{FF2B5EF4-FFF2-40B4-BE49-F238E27FC236}">
              <a16:creationId xmlns:a16="http://schemas.microsoft.com/office/drawing/2014/main" id="{0BADDE60-2AE8-C448-9152-B002FB71DF44}"/>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7709" t="41636" r="17945" b="40729"/>
        <a:stretch/>
      </xdr:blipFill>
      <xdr:spPr>
        <a:xfrm>
          <a:off x="33731200" y="282840"/>
          <a:ext cx="2320482" cy="482438"/>
        </a:xfrm>
        <a:prstGeom prst="rect">
          <a:avLst/>
        </a:prstGeom>
      </xdr:spPr>
    </xdr:pic>
    <xdr:clientData/>
  </xdr:twoCellAnchor>
  <xdr:twoCellAnchor editAs="oneCell">
    <xdr:from>
      <xdr:col>29</xdr:col>
      <xdr:colOff>857072</xdr:colOff>
      <xdr:row>0</xdr:row>
      <xdr:rowOff>38100</xdr:rowOff>
    </xdr:from>
    <xdr:to>
      <xdr:col>30</xdr:col>
      <xdr:colOff>3175</xdr:colOff>
      <xdr:row>2</xdr:row>
      <xdr:rowOff>300566</xdr:rowOff>
    </xdr:to>
    <xdr:pic>
      <xdr:nvPicPr>
        <xdr:cNvPr id="10" name="2 Imagen">
          <a:extLst>
            <a:ext uri="{FF2B5EF4-FFF2-40B4-BE49-F238E27FC236}">
              <a16:creationId xmlns:a16="http://schemas.microsoft.com/office/drawing/2014/main" id="{AAA3907A-E2CF-A74C-8EA3-35F632C0471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6226572" y="38100"/>
          <a:ext cx="793928" cy="896055"/>
        </a:xfrm>
        <a:prstGeom prst="rect">
          <a:avLst/>
        </a:prstGeom>
      </xdr:spPr>
    </xdr:pic>
    <xdr:clientData/>
  </xdr:twoCellAnchor>
  <xdr:twoCellAnchor editAs="oneCell">
    <xdr:from>
      <xdr:col>28</xdr:col>
      <xdr:colOff>0</xdr:colOff>
      <xdr:row>0</xdr:row>
      <xdr:rowOff>282840</xdr:rowOff>
    </xdr:from>
    <xdr:to>
      <xdr:col>29</xdr:col>
      <xdr:colOff>682182</xdr:colOff>
      <xdr:row>2</xdr:row>
      <xdr:rowOff>7512</xdr:rowOff>
    </xdr:to>
    <xdr:pic>
      <xdr:nvPicPr>
        <xdr:cNvPr id="15" name="1 Imagen">
          <a:extLst>
            <a:ext uri="{FF2B5EF4-FFF2-40B4-BE49-F238E27FC236}">
              <a16:creationId xmlns:a16="http://schemas.microsoft.com/office/drawing/2014/main" id="{98BB962A-22CF-9C40-A040-136CD20CF633}"/>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7709" t="41636" r="17945" b="40729"/>
        <a:stretch/>
      </xdr:blipFill>
      <xdr:spPr>
        <a:xfrm>
          <a:off x="33794700" y="282840"/>
          <a:ext cx="2320482" cy="479616"/>
        </a:xfrm>
        <a:prstGeom prst="rect">
          <a:avLst/>
        </a:prstGeom>
      </xdr:spPr>
    </xdr:pic>
    <xdr:clientData/>
  </xdr:twoCellAnchor>
  <xdr:twoCellAnchor editAs="oneCell">
    <xdr:from>
      <xdr:col>29</xdr:col>
      <xdr:colOff>857072</xdr:colOff>
      <xdr:row>0</xdr:row>
      <xdr:rowOff>38100</xdr:rowOff>
    </xdr:from>
    <xdr:to>
      <xdr:col>30</xdr:col>
      <xdr:colOff>3175</xdr:colOff>
      <xdr:row>2</xdr:row>
      <xdr:rowOff>163688</xdr:rowOff>
    </xdr:to>
    <xdr:pic>
      <xdr:nvPicPr>
        <xdr:cNvPr id="16" name="2 Imagen">
          <a:extLst>
            <a:ext uri="{FF2B5EF4-FFF2-40B4-BE49-F238E27FC236}">
              <a16:creationId xmlns:a16="http://schemas.microsoft.com/office/drawing/2014/main" id="{830012EE-65C5-D34A-9EA4-9233C301F292}"/>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6290072" y="38100"/>
          <a:ext cx="793928" cy="898877"/>
        </a:xfrm>
        <a:prstGeom prst="rect">
          <a:avLst/>
        </a:prstGeom>
      </xdr:spPr>
    </xdr:pic>
    <xdr:clientData/>
  </xdr:twoCellAnchor>
  <xdr:twoCellAnchor editAs="oneCell">
    <xdr:from>
      <xdr:col>1</xdr:col>
      <xdr:colOff>1714490</xdr:colOff>
      <xdr:row>1</xdr:row>
      <xdr:rowOff>173560</xdr:rowOff>
    </xdr:from>
    <xdr:to>
      <xdr:col>2</xdr:col>
      <xdr:colOff>3554</xdr:colOff>
      <xdr:row>3</xdr:row>
      <xdr:rowOff>55237</xdr:rowOff>
    </xdr:to>
    <xdr:pic>
      <xdr:nvPicPr>
        <xdr:cNvPr id="17" name="11 Imagen">
          <a:extLst>
            <a:ext uri="{FF2B5EF4-FFF2-40B4-BE49-F238E27FC236}">
              <a16:creationId xmlns:a16="http://schemas.microsoft.com/office/drawing/2014/main" id="{582A2932-FCE0-6445-9864-77D8D979E12E}"/>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137823" y="371116"/>
          <a:ext cx="1213239" cy="784789"/>
        </a:xfrm>
        <a:prstGeom prst="rect">
          <a:avLst/>
        </a:prstGeom>
      </xdr:spPr>
    </xdr:pic>
    <xdr:clientData/>
  </xdr:twoCellAnchor>
  <xdr:twoCellAnchor editAs="oneCell">
    <xdr:from>
      <xdr:col>0</xdr:col>
      <xdr:colOff>370504</xdr:colOff>
      <xdr:row>1</xdr:row>
      <xdr:rowOff>164987</xdr:rowOff>
    </xdr:from>
    <xdr:to>
      <xdr:col>1</xdr:col>
      <xdr:colOff>1617577</xdr:colOff>
      <xdr:row>2</xdr:row>
      <xdr:rowOff>378536</xdr:rowOff>
    </xdr:to>
    <xdr:pic>
      <xdr:nvPicPr>
        <xdr:cNvPr id="18" name="Imagen 17">
          <a:extLst>
            <a:ext uri="{FF2B5EF4-FFF2-40B4-BE49-F238E27FC236}">
              <a16:creationId xmlns:a16="http://schemas.microsoft.com/office/drawing/2014/main" id="{DF438521-3351-C049-927F-D2779C9B9C77}"/>
            </a:ext>
          </a:extLst>
        </xdr:cNvPr>
        <xdr:cNvPicPr>
          <a:picLocks noChangeAspect="1"/>
        </xdr:cNvPicPr>
      </xdr:nvPicPr>
      <xdr:blipFill>
        <a:blip xmlns:r="http://schemas.openxmlformats.org/officeDocument/2006/relationships" r:embed="rId4"/>
        <a:stretch>
          <a:fillRect/>
        </a:stretch>
      </xdr:blipFill>
      <xdr:spPr>
        <a:xfrm>
          <a:off x="370504" y="362543"/>
          <a:ext cx="1670406" cy="66510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11</xdr:col>
      <xdr:colOff>863599</xdr:colOff>
      <xdr:row>20</xdr:row>
      <xdr:rowOff>7391</xdr:rowOff>
    </xdr:from>
    <xdr:to>
      <xdr:col>14</xdr:col>
      <xdr:colOff>850900</xdr:colOff>
      <xdr:row>20</xdr:row>
      <xdr:rowOff>215900</xdr:rowOff>
    </xdr:to>
    <xdr:sp macro="" textlink="">
      <xdr:nvSpPr>
        <xdr:cNvPr id="3" name="2 Rectángulo">
          <a:extLst>
            <a:ext uri="{FF2B5EF4-FFF2-40B4-BE49-F238E27FC236}">
              <a16:creationId xmlns:a16="http://schemas.microsoft.com/office/drawing/2014/main" id="{BB4E83B0-4C02-574A-9AC3-8797C2AB86F4}"/>
            </a:ext>
          </a:extLst>
        </xdr:cNvPr>
        <xdr:cNvSpPr/>
      </xdr:nvSpPr>
      <xdr:spPr>
        <a:xfrm>
          <a:off x="15811499" y="6458991"/>
          <a:ext cx="2616201" cy="208509"/>
        </a:xfrm>
        <a:prstGeom prst="rect">
          <a:avLst/>
        </a:prstGeom>
        <a:solidFill>
          <a:schemeClr val="bg1"/>
        </a:solidFill>
        <a:ln>
          <a:solidFill>
            <a:schemeClr val="tx2">
              <a:lumMod val="60000"/>
              <a:lumOff val="40000"/>
            </a:schemeClr>
          </a:solidFill>
        </a:ln>
      </xdr:spPr>
      <xdr:style>
        <a:lnRef idx="2">
          <a:schemeClr val="accent3"/>
        </a:lnRef>
        <a:fillRef idx="1">
          <a:schemeClr val="lt1"/>
        </a:fillRef>
        <a:effectRef idx="0">
          <a:schemeClr val="accent3"/>
        </a:effectRef>
        <a:fontRef idx="minor">
          <a:schemeClr val="dk1"/>
        </a:fontRef>
      </xdr:style>
      <xdr:txBody>
        <a:bodyPr vertOverflow="clip" rtlCol="0" anchor="ctr"/>
        <a:lstStyle/>
        <a:p>
          <a:pPr algn="ctr"/>
          <a:r>
            <a:rPr lang="es-ES" sz="1100"/>
            <a:t>1</a:t>
          </a:r>
        </a:p>
      </xdr:txBody>
    </xdr:sp>
    <xdr:clientData/>
  </xdr:twoCellAnchor>
  <xdr:twoCellAnchor>
    <xdr:from>
      <xdr:col>15</xdr:col>
      <xdr:colOff>43392</xdr:colOff>
      <xdr:row>20</xdr:row>
      <xdr:rowOff>7391</xdr:rowOff>
    </xdr:from>
    <xdr:to>
      <xdr:col>15</xdr:col>
      <xdr:colOff>812800</xdr:colOff>
      <xdr:row>20</xdr:row>
      <xdr:rowOff>215900</xdr:rowOff>
    </xdr:to>
    <xdr:sp macro="" textlink="">
      <xdr:nvSpPr>
        <xdr:cNvPr id="5" name="4 Rectángulo">
          <a:extLst>
            <a:ext uri="{FF2B5EF4-FFF2-40B4-BE49-F238E27FC236}">
              <a16:creationId xmlns:a16="http://schemas.microsoft.com/office/drawing/2014/main" id="{D33F740A-EBF3-3441-87AA-CA17E75B7E82}"/>
            </a:ext>
          </a:extLst>
        </xdr:cNvPr>
        <xdr:cNvSpPr/>
      </xdr:nvSpPr>
      <xdr:spPr>
        <a:xfrm>
          <a:off x="18496492" y="6458991"/>
          <a:ext cx="769408" cy="208509"/>
        </a:xfrm>
        <a:prstGeom prst="rect">
          <a:avLst/>
        </a:prstGeom>
        <a:solidFill>
          <a:schemeClr val="bg1"/>
        </a:solidFill>
        <a:ln>
          <a:solidFill>
            <a:schemeClr val="tx2">
              <a:lumMod val="60000"/>
              <a:lumOff val="40000"/>
            </a:schemeClr>
          </a:solidFill>
        </a:ln>
      </xdr:spPr>
      <xdr:style>
        <a:lnRef idx="2">
          <a:schemeClr val="accent3"/>
        </a:lnRef>
        <a:fillRef idx="1">
          <a:schemeClr val="lt1"/>
        </a:fillRef>
        <a:effectRef idx="0">
          <a:schemeClr val="accent3"/>
        </a:effectRef>
        <a:fontRef idx="minor">
          <a:schemeClr val="dk1"/>
        </a:fontRef>
      </xdr:style>
      <xdr:txBody>
        <a:bodyPr vertOverflow="clip" rtlCol="0" anchor="ctr"/>
        <a:lstStyle/>
        <a:p>
          <a:pPr algn="ctr"/>
          <a:r>
            <a:rPr lang="es-ES" sz="1100"/>
            <a:t>2</a:t>
          </a:r>
        </a:p>
      </xdr:txBody>
    </xdr:sp>
    <xdr:clientData/>
  </xdr:twoCellAnchor>
  <xdr:twoCellAnchor>
    <xdr:from>
      <xdr:col>5</xdr:col>
      <xdr:colOff>755650</xdr:colOff>
      <xdr:row>21</xdr:row>
      <xdr:rowOff>152400</xdr:rowOff>
    </xdr:from>
    <xdr:to>
      <xdr:col>10</xdr:col>
      <xdr:colOff>152400</xdr:colOff>
      <xdr:row>31</xdr:row>
      <xdr:rowOff>101600</xdr:rowOff>
    </xdr:to>
    <xdr:graphicFrame macro="">
      <xdr:nvGraphicFramePr>
        <xdr:cNvPr id="2" name="Gráfico 1">
          <a:extLst>
            <a:ext uri="{FF2B5EF4-FFF2-40B4-BE49-F238E27FC236}">
              <a16:creationId xmlns:a16="http://schemas.microsoft.com/office/drawing/2014/main" id="{A067E912-E440-2E43-A473-0D89275CA28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438150</xdr:colOff>
      <xdr:row>31</xdr:row>
      <xdr:rowOff>165100</xdr:rowOff>
    </xdr:from>
    <xdr:to>
      <xdr:col>17</xdr:col>
      <xdr:colOff>330200</xdr:colOff>
      <xdr:row>50</xdr:row>
      <xdr:rowOff>63500</xdr:rowOff>
    </xdr:to>
    <xdr:graphicFrame macro="">
      <xdr:nvGraphicFramePr>
        <xdr:cNvPr id="4" name="Gráfico 3">
          <a:extLst>
            <a:ext uri="{FF2B5EF4-FFF2-40B4-BE49-F238E27FC236}">
              <a16:creationId xmlns:a16="http://schemas.microsoft.com/office/drawing/2014/main" id="{63DC14FF-8DE7-754E-BF5B-055D7D5656A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21</xdr:col>
      <xdr:colOff>17992</xdr:colOff>
      <xdr:row>19</xdr:row>
      <xdr:rowOff>261391</xdr:rowOff>
    </xdr:from>
    <xdr:to>
      <xdr:col>21</xdr:col>
      <xdr:colOff>749300</xdr:colOff>
      <xdr:row>20</xdr:row>
      <xdr:rowOff>215900</xdr:rowOff>
    </xdr:to>
    <xdr:sp macro="" textlink="">
      <xdr:nvSpPr>
        <xdr:cNvPr id="7" name="4 Rectángulo">
          <a:extLst>
            <a:ext uri="{FF2B5EF4-FFF2-40B4-BE49-F238E27FC236}">
              <a16:creationId xmlns:a16="http://schemas.microsoft.com/office/drawing/2014/main" id="{6E40C48A-5398-0642-AA66-9ECA3F7AE2C3}"/>
            </a:ext>
          </a:extLst>
        </xdr:cNvPr>
        <xdr:cNvSpPr/>
      </xdr:nvSpPr>
      <xdr:spPr>
        <a:xfrm>
          <a:off x="23728892" y="6433591"/>
          <a:ext cx="731308" cy="233909"/>
        </a:xfrm>
        <a:prstGeom prst="rect">
          <a:avLst/>
        </a:prstGeom>
        <a:solidFill>
          <a:schemeClr val="bg1"/>
        </a:solidFill>
        <a:ln>
          <a:solidFill>
            <a:schemeClr val="tx2">
              <a:lumMod val="60000"/>
              <a:lumOff val="40000"/>
            </a:schemeClr>
          </a:solidFill>
        </a:ln>
      </xdr:spPr>
      <xdr:style>
        <a:lnRef idx="2">
          <a:schemeClr val="accent3"/>
        </a:lnRef>
        <a:fillRef idx="1">
          <a:schemeClr val="lt1"/>
        </a:fillRef>
        <a:effectRef idx="0">
          <a:schemeClr val="accent3"/>
        </a:effectRef>
        <a:fontRef idx="minor">
          <a:schemeClr val="dk1"/>
        </a:fontRef>
      </xdr:style>
      <xdr:txBody>
        <a:bodyPr vertOverflow="clip" rtlCol="0" anchor="ctr"/>
        <a:lstStyle/>
        <a:p>
          <a:pPr algn="ctr"/>
          <a:r>
            <a:rPr lang="es-ES" sz="1100"/>
            <a:t>5</a:t>
          </a:r>
        </a:p>
      </xdr:txBody>
    </xdr:sp>
    <xdr:clientData/>
  </xdr:twoCellAnchor>
  <xdr:twoCellAnchor>
    <xdr:from>
      <xdr:col>16</xdr:col>
      <xdr:colOff>12700</xdr:colOff>
      <xdr:row>19</xdr:row>
      <xdr:rowOff>274091</xdr:rowOff>
    </xdr:from>
    <xdr:to>
      <xdr:col>17</xdr:col>
      <xdr:colOff>825500</xdr:colOff>
      <xdr:row>20</xdr:row>
      <xdr:rowOff>241300</xdr:rowOff>
    </xdr:to>
    <xdr:sp macro="" textlink="">
      <xdr:nvSpPr>
        <xdr:cNvPr id="8" name="4 Rectángulo">
          <a:extLst>
            <a:ext uri="{FF2B5EF4-FFF2-40B4-BE49-F238E27FC236}">
              <a16:creationId xmlns:a16="http://schemas.microsoft.com/office/drawing/2014/main" id="{B57FBF3C-9026-5F4A-BE67-34614E47AFBB}"/>
            </a:ext>
          </a:extLst>
        </xdr:cNvPr>
        <xdr:cNvSpPr/>
      </xdr:nvSpPr>
      <xdr:spPr>
        <a:xfrm>
          <a:off x="19342100" y="6446291"/>
          <a:ext cx="1689100" cy="246609"/>
        </a:xfrm>
        <a:prstGeom prst="rect">
          <a:avLst/>
        </a:prstGeom>
        <a:solidFill>
          <a:schemeClr val="bg1"/>
        </a:solidFill>
        <a:ln>
          <a:solidFill>
            <a:schemeClr val="tx2">
              <a:lumMod val="60000"/>
              <a:lumOff val="40000"/>
            </a:schemeClr>
          </a:solidFill>
        </a:ln>
      </xdr:spPr>
      <xdr:style>
        <a:lnRef idx="2">
          <a:schemeClr val="accent3"/>
        </a:lnRef>
        <a:fillRef idx="1">
          <a:schemeClr val="lt1"/>
        </a:fillRef>
        <a:effectRef idx="0">
          <a:schemeClr val="accent3"/>
        </a:effectRef>
        <a:fontRef idx="minor">
          <a:schemeClr val="dk1"/>
        </a:fontRef>
      </xdr:style>
      <xdr:txBody>
        <a:bodyPr vertOverflow="clip" rtlCol="0" anchor="ctr"/>
        <a:lstStyle/>
        <a:p>
          <a:pPr algn="ctr"/>
          <a:r>
            <a:rPr lang="es-ES" sz="1100"/>
            <a:t>3</a:t>
          </a:r>
        </a:p>
      </xdr:txBody>
    </xdr:sp>
    <xdr:clientData/>
  </xdr:twoCellAnchor>
  <xdr:twoCellAnchor>
    <xdr:from>
      <xdr:col>18</xdr:col>
      <xdr:colOff>25400</xdr:colOff>
      <xdr:row>19</xdr:row>
      <xdr:rowOff>261391</xdr:rowOff>
    </xdr:from>
    <xdr:to>
      <xdr:col>20</xdr:col>
      <xdr:colOff>812800</xdr:colOff>
      <xdr:row>20</xdr:row>
      <xdr:rowOff>228600</xdr:rowOff>
    </xdr:to>
    <xdr:sp macro="" textlink="">
      <xdr:nvSpPr>
        <xdr:cNvPr id="10" name="4 Rectángulo">
          <a:extLst>
            <a:ext uri="{FF2B5EF4-FFF2-40B4-BE49-F238E27FC236}">
              <a16:creationId xmlns:a16="http://schemas.microsoft.com/office/drawing/2014/main" id="{BD33F492-AF4E-1C41-A2CB-3B32C5B30E62}"/>
            </a:ext>
          </a:extLst>
        </xdr:cNvPr>
        <xdr:cNvSpPr/>
      </xdr:nvSpPr>
      <xdr:spPr>
        <a:xfrm>
          <a:off x="21107400" y="6433591"/>
          <a:ext cx="2540000" cy="246609"/>
        </a:xfrm>
        <a:prstGeom prst="rect">
          <a:avLst/>
        </a:prstGeom>
        <a:solidFill>
          <a:schemeClr val="bg1"/>
        </a:solidFill>
        <a:ln>
          <a:solidFill>
            <a:schemeClr val="tx2">
              <a:lumMod val="60000"/>
              <a:lumOff val="40000"/>
            </a:schemeClr>
          </a:solidFill>
        </a:ln>
      </xdr:spPr>
      <xdr:style>
        <a:lnRef idx="2">
          <a:schemeClr val="accent3"/>
        </a:lnRef>
        <a:fillRef idx="1">
          <a:schemeClr val="lt1"/>
        </a:fillRef>
        <a:effectRef idx="0">
          <a:schemeClr val="accent3"/>
        </a:effectRef>
        <a:fontRef idx="minor">
          <a:schemeClr val="dk1"/>
        </a:fontRef>
      </xdr:style>
      <xdr:txBody>
        <a:bodyPr vertOverflow="clip" rtlCol="0" anchor="ctr"/>
        <a:lstStyle/>
        <a:p>
          <a:pPr algn="ctr"/>
          <a:r>
            <a:rPr lang="es-ES" sz="1100"/>
            <a:t>4</a:t>
          </a:r>
        </a:p>
      </xdr:txBody>
    </xdr:sp>
    <xdr:clientData/>
  </xdr:twoCellAnchor>
  <xdr:twoCellAnchor>
    <xdr:from>
      <xdr:col>10</xdr:col>
      <xdr:colOff>749300</xdr:colOff>
      <xdr:row>5</xdr:row>
      <xdr:rowOff>266700</xdr:rowOff>
    </xdr:from>
    <xdr:to>
      <xdr:col>22</xdr:col>
      <xdr:colOff>69850</xdr:colOff>
      <xdr:row>19</xdr:row>
      <xdr:rowOff>25400</xdr:rowOff>
    </xdr:to>
    <xdr:graphicFrame macro="">
      <xdr:nvGraphicFramePr>
        <xdr:cNvPr id="11" name="Gráfico 10">
          <a:extLst>
            <a:ext uri="{FF2B5EF4-FFF2-40B4-BE49-F238E27FC236}">
              <a16:creationId xmlns:a16="http://schemas.microsoft.com/office/drawing/2014/main" id="{8A2FF7DC-5006-1143-854B-6C709D7ABCF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30</xdr:col>
      <xdr:colOff>132524</xdr:colOff>
      <xdr:row>18</xdr:row>
      <xdr:rowOff>134178</xdr:rowOff>
    </xdr:from>
    <xdr:to>
      <xdr:col>33</xdr:col>
      <xdr:colOff>40864</xdr:colOff>
      <xdr:row>19</xdr:row>
      <xdr:rowOff>176696</xdr:rowOff>
    </xdr:to>
    <xdr:sp macro="" textlink="">
      <xdr:nvSpPr>
        <xdr:cNvPr id="13" name="2 Rectángulo">
          <a:extLst>
            <a:ext uri="{FF2B5EF4-FFF2-40B4-BE49-F238E27FC236}">
              <a16:creationId xmlns:a16="http://schemas.microsoft.com/office/drawing/2014/main" id="{EFC35B4F-2798-154C-954F-652BAFBC6D30}"/>
            </a:ext>
          </a:extLst>
        </xdr:cNvPr>
        <xdr:cNvSpPr/>
      </xdr:nvSpPr>
      <xdr:spPr>
        <a:xfrm>
          <a:off x="36244698" y="5666961"/>
          <a:ext cx="2525644" cy="197126"/>
        </a:xfrm>
        <a:prstGeom prst="rect">
          <a:avLst/>
        </a:prstGeom>
        <a:solidFill>
          <a:schemeClr val="bg1"/>
        </a:solidFill>
        <a:ln>
          <a:solidFill>
            <a:schemeClr val="tx2">
              <a:lumMod val="60000"/>
              <a:lumOff val="40000"/>
            </a:schemeClr>
          </a:solidFill>
        </a:ln>
      </xdr:spPr>
      <xdr:style>
        <a:lnRef idx="2">
          <a:schemeClr val="accent3"/>
        </a:lnRef>
        <a:fillRef idx="1">
          <a:schemeClr val="lt1"/>
        </a:fillRef>
        <a:effectRef idx="0">
          <a:schemeClr val="accent3"/>
        </a:effectRef>
        <a:fontRef idx="minor">
          <a:schemeClr val="dk1"/>
        </a:fontRef>
      </xdr:style>
      <xdr:txBody>
        <a:bodyPr vertOverflow="clip" rtlCol="0" anchor="ctr"/>
        <a:lstStyle/>
        <a:p>
          <a:pPr algn="ctr"/>
          <a:r>
            <a:rPr lang="es-ES" sz="1100"/>
            <a:t>1</a:t>
          </a:r>
        </a:p>
      </xdr:txBody>
    </xdr:sp>
    <xdr:clientData/>
  </xdr:twoCellAnchor>
  <xdr:twoCellAnchor>
    <xdr:from>
      <xdr:col>33</xdr:col>
      <xdr:colOff>132293</xdr:colOff>
      <xdr:row>18</xdr:row>
      <xdr:rowOff>146878</xdr:rowOff>
    </xdr:from>
    <xdr:to>
      <xdr:col>34</xdr:col>
      <xdr:colOff>25401</xdr:colOff>
      <xdr:row>19</xdr:row>
      <xdr:rowOff>172618</xdr:rowOff>
    </xdr:to>
    <xdr:sp macro="" textlink="">
      <xdr:nvSpPr>
        <xdr:cNvPr id="14" name="4 Rectángulo">
          <a:extLst>
            <a:ext uri="{FF2B5EF4-FFF2-40B4-BE49-F238E27FC236}">
              <a16:creationId xmlns:a16="http://schemas.microsoft.com/office/drawing/2014/main" id="{AEF12F85-5BAA-CB48-9EDA-35DBAF1828BF}"/>
            </a:ext>
          </a:extLst>
        </xdr:cNvPr>
        <xdr:cNvSpPr/>
      </xdr:nvSpPr>
      <xdr:spPr>
        <a:xfrm>
          <a:off x="38861771" y="5679661"/>
          <a:ext cx="765543" cy="180348"/>
        </a:xfrm>
        <a:prstGeom prst="rect">
          <a:avLst/>
        </a:prstGeom>
        <a:solidFill>
          <a:schemeClr val="bg1"/>
        </a:solidFill>
        <a:ln>
          <a:solidFill>
            <a:schemeClr val="tx2">
              <a:lumMod val="60000"/>
              <a:lumOff val="40000"/>
            </a:schemeClr>
          </a:solidFill>
        </a:ln>
      </xdr:spPr>
      <xdr:style>
        <a:lnRef idx="2">
          <a:schemeClr val="accent3"/>
        </a:lnRef>
        <a:fillRef idx="1">
          <a:schemeClr val="lt1"/>
        </a:fillRef>
        <a:effectRef idx="0">
          <a:schemeClr val="accent3"/>
        </a:effectRef>
        <a:fontRef idx="minor">
          <a:schemeClr val="dk1"/>
        </a:fontRef>
      </xdr:style>
      <xdr:txBody>
        <a:bodyPr vertOverflow="clip" rtlCol="0" anchor="ctr"/>
        <a:lstStyle/>
        <a:p>
          <a:pPr algn="ctr"/>
          <a:r>
            <a:rPr lang="es-ES" sz="1100"/>
            <a:t>2</a:t>
          </a:r>
        </a:p>
      </xdr:txBody>
    </xdr:sp>
    <xdr:clientData/>
  </xdr:twoCellAnchor>
  <xdr:twoCellAnchor>
    <xdr:from>
      <xdr:col>38</xdr:col>
      <xdr:colOff>843493</xdr:colOff>
      <xdr:row>18</xdr:row>
      <xdr:rowOff>139700</xdr:rowOff>
    </xdr:from>
    <xdr:to>
      <xdr:col>39</xdr:col>
      <xdr:colOff>698501</xdr:colOff>
      <xdr:row>19</xdr:row>
      <xdr:rowOff>183109</xdr:rowOff>
    </xdr:to>
    <xdr:sp macro="" textlink="">
      <xdr:nvSpPr>
        <xdr:cNvPr id="15" name="4 Rectángulo">
          <a:extLst>
            <a:ext uri="{FF2B5EF4-FFF2-40B4-BE49-F238E27FC236}">
              <a16:creationId xmlns:a16="http://schemas.microsoft.com/office/drawing/2014/main" id="{19C97F5D-4749-0445-8046-EEE7017EFB16}"/>
            </a:ext>
          </a:extLst>
        </xdr:cNvPr>
        <xdr:cNvSpPr/>
      </xdr:nvSpPr>
      <xdr:spPr>
        <a:xfrm>
          <a:off x="51440293" y="5854700"/>
          <a:ext cx="731308" cy="195809"/>
        </a:xfrm>
        <a:prstGeom prst="rect">
          <a:avLst/>
        </a:prstGeom>
        <a:solidFill>
          <a:schemeClr val="bg1"/>
        </a:solidFill>
        <a:ln>
          <a:solidFill>
            <a:schemeClr val="tx2">
              <a:lumMod val="60000"/>
              <a:lumOff val="40000"/>
            </a:schemeClr>
          </a:solidFill>
        </a:ln>
      </xdr:spPr>
      <xdr:style>
        <a:lnRef idx="2">
          <a:schemeClr val="accent3"/>
        </a:lnRef>
        <a:fillRef idx="1">
          <a:schemeClr val="lt1"/>
        </a:fillRef>
        <a:effectRef idx="0">
          <a:schemeClr val="accent3"/>
        </a:effectRef>
        <a:fontRef idx="minor">
          <a:schemeClr val="dk1"/>
        </a:fontRef>
      </xdr:style>
      <xdr:txBody>
        <a:bodyPr vertOverflow="clip" rtlCol="0" anchor="ctr"/>
        <a:lstStyle/>
        <a:p>
          <a:pPr algn="ctr"/>
          <a:r>
            <a:rPr lang="es-ES" sz="1100"/>
            <a:t>5</a:t>
          </a:r>
        </a:p>
      </xdr:txBody>
    </xdr:sp>
    <xdr:clientData/>
  </xdr:twoCellAnchor>
  <xdr:twoCellAnchor>
    <xdr:from>
      <xdr:col>34</xdr:col>
      <xdr:colOff>66260</xdr:colOff>
      <xdr:row>18</xdr:row>
      <xdr:rowOff>134178</xdr:rowOff>
    </xdr:from>
    <xdr:to>
      <xdr:col>35</xdr:col>
      <xdr:colOff>808382</xdr:colOff>
      <xdr:row>19</xdr:row>
      <xdr:rowOff>176696</xdr:rowOff>
    </xdr:to>
    <xdr:sp macro="" textlink="">
      <xdr:nvSpPr>
        <xdr:cNvPr id="16" name="4 Rectángulo">
          <a:extLst>
            <a:ext uri="{FF2B5EF4-FFF2-40B4-BE49-F238E27FC236}">
              <a16:creationId xmlns:a16="http://schemas.microsoft.com/office/drawing/2014/main" id="{E4472C10-3C33-A14A-AF43-988D24254AE4}"/>
            </a:ext>
          </a:extLst>
        </xdr:cNvPr>
        <xdr:cNvSpPr/>
      </xdr:nvSpPr>
      <xdr:spPr>
        <a:xfrm>
          <a:off x="39668173" y="5666961"/>
          <a:ext cx="1614557" cy="197126"/>
        </a:xfrm>
        <a:prstGeom prst="rect">
          <a:avLst/>
        </a:prstGeom>
        <a:solidFill>
          <a:schemeClr val="bg1"/>
        </a:solidFill>
        <a:ln>
          <a:solidFill>
            <a:schemeClr val="tx2">
              <a:lumMod val="60000"/>
              <a:lumOff val="40000"/>
            </a:schemeClr>
          </a:solidFill>
        </a:ln>
      </xdr:spPr>
      <xdr:style>
        <a:lnRef idx="2">
          <a:schemeClr val="accent3"/>
        </a:lnRef>
        <a:fillRef idx="1">
          <a:schemeClr val="lt1"/>
        </a:fillRef>
        <a:effectRef idx="0">
          <a:schemeClr val="accent3"/>
        </a:effectRef>
        <a:fontRef idx="minor">
          <a:schemeClr val="dk1"/>
        </a:fontRef>
      </xdr:style>
      <xdr:txBody>
        <a:bodyPr vertOverflow="clip" rtlCol="0" anchor="ctr"/>
        <a:lstStyle/>
        <a:p>
          <a:pPr algn="ctr"/>
          <a:r>
            <a:rPr lang="es-ES" sz="1100"/>
            <a:t>3</a:t>
          </a:r>
        </a:p>
      </xdr:txBody>
    </xdr:sp>
    <xdr:clientData/>
  </xdr:twoCellAnchor>
  <xdr:twoCellAnchor>
    <xdr:from>
      <xdr:col>35</xdr:col>
      <xdr:colOff>848692</xdr:colOff>
      <xdr:row>18</xdr:row>
      <xdr:rowOff>143564</xdr:rowOff>
    </xdr:from>
    <xdr:to>
      <xdr:col>38</xdr:col>
      <xdr:colOff>759792</xdr:colOff>
      <xdr:row>19</xdr:row>
      <xdr:rowOff>182004</xdr:rowOff>
    </xdr:to>
    <xdr:sp macro="" textlink="">
      <xdr:nvSpPr>
        <xdr:cNvPr id="17" name="4 Rectángulo">
          <a:extLst>
            <a:ext uri="{FF2B5EF4-FFF2-40B4-BE49-F238E27FC236}">
              <a16:creationId xmlns:a16="http://schemas.microsoft.com/office/drawing/2014/main" id="{5E49995D-24DD-7F4F-8757-99DF6D2E89B9}"/>
            </a:ext>
          </a:extLst>
        </xdr:cNvPr>
        <xdr:cNvSpPr/>
      </xdr:nvSpPr>
      <xdr:spPr>
        <a:xfrm>
          <a:off x="41323040" y="5676347"/>
          <a:ext cx="2528404" cy="193048"/>
        </a:xfrm>
        <a:prstGeom prst="rect">
          <a:avLst/>
        </a:prstGeom>
        <a:solidFill>
          <a:schemeClr val="bg1"/>
        </a:solidFill>
        <a:ln>
          <a:solidFill>
            <a:schemeClr val="tx2">
              <a:lumMod val="60000"/>
              <a:lumOff val="40000"/>
            </a:schemeClr>
          </a:solidFill>
        </a:ln>
      </xdr:spPr>
      <xdr:style>
        <a:lnRef idx="2">
          <a:schemeClr val="accent3"/>
        </a:lnRef>
        <a:fillRef idx="1">
          <a:schemeClr val="lt1"/>
        </a:fillRef>
        <a:effectRef idx="0">
          <a:schemeClr val="accent3"/>
        </a:effectRef>
        <a:fontRef idx="minor">
          <a:schemeClr val="dk1"/>
        </a:fontRef>
      </xdr:style>
      <xdr:txBody>
        <a:bodyPr vertOverflow="clip" rtlCol="0" anchor="ctr"/>
        <a:lstStyle/>
        <a:p>
          <a:pPr algn="ctr"/>
          <a:r>
            <a:rPr lang="es-ES" sz="1100"/>
            <a:t>4</a:t>
          </a:r>
        </a:p>
      </xdr:txBody>
    </xdr:sp>
    <xdr:clientData/>
  </xdr:twoCellAnchor>
  <xdr:twoCellAnchor>
    <xdr:from>
      <xdr:col>29</xdr:col>
      <xdr:colOff>68193</xdr:colOff>
      <xdr:row>4</xdr:row>
      <xdr:rowOff>301211</xdr:rowOff>
    </xdr:from>
    <xdr:to>
      <xdr:col>40</xdr:col>
      <xdr:colOff>36443</xdr:colOff>
      <xdr:row>18</xdr:row>
      <xdr:rowOff>82825</xdr:rowOff>
    </xdr:to>
    <xdr:graphicFrame macro="">
      <xdr:nvGraphicFramePr>
        <xdr:cNvPr id="9" name="Gráfico 8">
          <a:extLst>
            <a:ext uri="{FF2B5EF4-FFF2-40B4-BE49-F238E27FC236}">
              <a16:creationId xmlns:a16="http://schemas.microsoft.com/office/drawing/2014/main" id="{B25163F0-998E-6048-952F-364C375872D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acueducto-my.sharepoint.com/Users/natashaforero/Documents/Contrato%202022/Marzo%202022/HC%20definitivas/HC%20-%202019/Huella_Carbono_2019(NUEV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acueducto-my.sharepoint.com/Users/natashaforero/Downloads/20220308%204D1%20Aguas%20residuales%20dome&#769;stica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CIONES GESTIÓN DE LA INF"/>
      <sheetName val="ÁREAS"/>
      <sheetName val="INSTRUCCIONES INCERTIDUMBRE"/>
      <sheetName val="HC CORPORATIVA-INCERTIDUMBRE"/>
      <sheetName val="HC CORPORATIVA-BIOMASA"/>
      <sheetName val="Resumen y gráfica"/>
      <sheetName val="Otros factores"/>
    </sheetNames>
    <sheetDataSet>
      <sheetData sheetId="0" refreshError="1"/>
      <sheetData sheetId="1" refreshError="1"/>
      <sheetData sheetId="2" refreshError="1"/>
      <sheetData sheetId="3">
        <row r="111">
          <cell r="BH111" t="str">
            <v>Bagazo</v>
          </cell>
        </row>
        <row r="112">
          <cell r="BH112" t="str">
            <v>Fibra de palma</v>
          </cell>
        </row>
        <row r="113">
          <cell r="BH113" t="str">
            <v>Cuesco de palma</v>
          </cell>
        </row>
        <row r="114">
          <cell r="BH114" t="str">
            <v>Raquis de palma</v>
          </cell>
        </row>
        <row r="115">
          <cell r="BH115" t="str">
            <v>Cascarilla de Arroz</v>
          </cell>
        </row>
        <row r="116">
          <cell r="BH116" t="str">
            <v>Borra de Café</v>
          </cell>
        </row>
        <row r="117">
          <cell r="BH117" t="str">
            <v>Cisco de Café</v>
          </cell>
        </row>
        <row r="118">
          <cell r="BH118" t="str">
            <v>Leña</v>
          </cell>
        </row>
        <row r="119">
          <cell r="BH119" t="str">
            <v>Madera Genérico</v>
          </cell>
        </row>
        <row r="120">
          <cell r="BH120" t="str">
            <v>Madera Eucalipto</v>
          </cell>
        </row>
        <row r="121">
          <cell r="BH121" t="str">
            <v>Madera Pino</v>
          </cell>
        </row>
        <row r="122">
          <cell r="BH122" t="str">
            <v>Madera Acacia</v>
          </cell>
        </row>
        <row r="123">
          <cell r="BH123" t="str">
            <v>Madera Melina</v>
          </cell>
        </row>
        <row r="136">
          <cell r="BH136" t="str">
            <v>Biodiesel palma</v>
          </cell>
        </row>
        <row r="137">
          <cell r="BH137" t="str">
            <v>Bioetanol Anhidro</v>
          </cell>
        </row>
        <row r="146">
          <cell r="BH146" t="str">
            <v>Biogás Genérico</v>
          </cell>
        </row>
      </sheetData>
      <sheetData sheetId="4"/>
      <sheetData sheetId="5">
        <row r="25">
          <cell r="B25" t="str">
            <v>SUBCATEGORIA 1.1. EMISIONES DIRECTAS A PARTIR DE COMBUSTIÓN MÓVIL.</v>
          </cell>
        </row>
      </sheetData>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talles"/>
      <sheetName val="4D1"/>
      <sheetName val="Constantes"/>
    </sheetNames>
    <sheetDataSet>
      <sheetData sheetId="0" refreshError="1"/>
      <sheetData sheetId="1" refreshError="1"/>
      <sheetData sheetId="2" refreshError="1">
        <row r="6">
          <cell r="A6" t="str">
            <v>ID</v>
          </cell>
          <cell r="B6" t="str">
            <v>IPCC</v>
          </cell>
          <cell r="C6" t="str">
            <v>Tipo</v>
          </cell>
          <cell r="D6" t="str">
            <v>Gas</v>
          </cell>
          <cell r="E6" t="str">
            <v>Descriptor</v>
          </cell>
          <cell r="F6" t="str">
            <v>Detalles</v>
          </cell>
          <cell r="G6" t="str">
            <v>Valor</v>
          </cell>
          <cell r="H6" t="str">
            <v>Unidad</v>
          </cell>
        </row>
        <row r="7">
          <cell r="A7">
            <v>51</v>
          </cell>
          <cell r="B7" t="str">
            <v>4D1</v>
          </cell>
          <cell r="C7" t="str">
            <v>Constante</v>
          </cell>
          <cell r="D7" t="str">
            <v>N/A</v>
          </cell>
          <cell r="E7" t="str">
            <v>Cte_4D1_N/Lodo</v>
          </cell>
          <cell r="F7" t="str">
            <v>Nitrogeno separado con el lodo residual</v>
          </cell>
          <cell r="G7">
            <v>0</v>
          </cell>
          <cell r="H7" t="str">
            <v>kg N /año</v>
          </cell>
        </row>
        <row r="8">
          <cell r="A8">
            <v>52</v>
          </cell>
          <cell r="B8" t="str">
            <v>4D1</v>
          </cell>
          <cell r="C8" t="str">
            <v>Constante</v>
          </cell>
          <cell r="D8" t="str">
            <v>N/A</v>
          </cell>
          <cell r="E8" t="str">
            <v>Cte_4D1_Proteinas co-eliminadas</v>
          </cell>
          <cell r="F8" t="str">
            <v>Factor de proteinas industriales y comerciales co-eliminadas en los sistemas de alcantarillado</v>
          </cell>
          <cell r="G8">
            <v>1.25</v>
          </cell>
          <cell r="H8" t="str">
            <v>adimensional</v>
          </cell>
        </row>
        <row r="9">
          <cell r="A9">
            <v>53</v>
          </cell>
          <cell r="B9" t="str">
            <v>4D1</v>
          </cell>
          <cell r="C9" t="str">
            <v>Constante</v>
          </cell>
          <cell r="D9" t="str">
            <v>N/A</v>
          </cell>
          <cell r="E9" t="str">
            <v>Cte_4D1_Proteinas no consumidas</v>
          </cell>
          <cell r="F9" t="str">
            <v>Factor de proteinas no consumidas añadidas a las aguas residuales</v>
          </cell>
          <cell r="G9">
            <v>1.1000000000000001</v>
          </cell>
          <cell r="H9" t="str">
            <v>adimensional</v>
          </cell>
        </row>
        <row r="10">
          <cell r="A10">
            <v>54</v>
          </cell>
          <cell r="B10" t="str">
            <v>4D1</v>
          </cell>
          <cell r="C10" t="str">
            <v>Constante</v>
          </cell>
          <cell r="D10" t="str">
            <v>N/A</v>
          </cell>
          <cell r="E10" t="str">
            <v>Cte_4D1_N/Proteinas</v>
          </cell>
          <cell r="F10" t="str">
            <v>Fraccion de nitrogeno en las proteinas</v>
          </cell>
          <cell r="G10">
            <v>0.16</v>
          </cell>
          <cell r="H10" t="str">
            <v>kg N / kg proteina</v>
          </cell>
        </row>
        <row r="11">
          <cell r="A11">
            <v>55</v>
          </cell>
          <cell r="B11" t="str">
            <v>4D1</v>
          </cell>
          <cell r="C11" t="str">
            <v>Constante</v>
          </cell>
          <cell r="D11" t="str">
            <v>N/A</v>
          </cell>
          <cell r="E11" t="str">
            <v>Cte_4D1_Proteina percapita</v>
          </cell>
          <cell r="F11" t="str">
            <v>Consumo percapita anual de proteinas</v>
          </cell>
          <cell r="G11">
            <v>29.2</v>
          </cell>
          <cell r="H11" t="str">
            <v>kg / persona / año</v>
          </cell>
        </row>
        <row r="12">
          <cell r="A12">
            <v>56</v>
          </cell>
          <cell r="B12" t="str">
            <v>4D1</v>
          </cell>
          <cell r="C12" t="str">
            <v>Factor de emision</v>
          </cell>
          <cell r="D12" t="str">
            <v>N2O</v>
          </cell>
          <cell r="E12" t="str">
            <v>FE_N2O_Eliminacion aguas residuales_IPCC</v>
          </cell>
          <cell r="F12" t="str">
            <v>Emision de N2O por eliminacion de aguas residuales</v>
          </cell>
          <cell r="G12">
            <v>5.0000000000000001E-3</v>
          </cell>
          <cell r="H12" t="str">
            <v>kg N2O-N / kg N</v>
          </cell>
        </row>
        <row r="13">
          <cell r="A13">
            <v>57</v>
          </cell>
          <cell r="B13" t="str">
            <v>4D1</v>
          </cell>
          <cell r="C13" t="str">
            <v>Constante</v>
          </cell>
          <cell r="D13" t="str">
            <v>CH4</v>
          </cell>
          <cell r="E13" t="str">
            <v>Cte_4D1_CH4/DBO</v>
          </cell>
          <cell r="F13" t="str">
            <v>Capacidad maxima de produccion de CH4 por DBO</v>
          </cell>
          <cell r="G13">
            <v>0.6</v>
          </cell>
          <cell r="H13" t="str">
            <v>kg CH4 / kg COD</v>
          </cell>
        </row>
        <row r="14">
          <cell r="A14">
            <v>58</v>
          </cell>
          <cell r="B14" t="str">
            <v>4D1</v>
          </cell>
          <cell r="C14" t="str">
            <v>Constante</v>
          </cell>
          <cell r="D14" t="str">
            <v>N/A</v>
          </cell>
          <cell r="E14" t="str">
            <v>Cte_4D1_DBO_Industrial</v>
          </cell>
          <cell r="F14" t="str">
            <v>Factor de correccion para DBO industrial adicional eliminado en las cloacas</v>
          </cell>
          <cell r="G14">
            <v>1.25</v>
          </cell>
          <cell r="H14" t="str">
            <v>adimensional</v>
          </cell>
        </row>
        <row r="15">
          <cell r="A15">
            <v>59</v>
          </cell>
          <cell r="B15" t="str">
            <v>4D1</v>
          </cell>
          <cell r="C15" t="str">
            <v>Constante</v>
          </cell>
          <cell r="D15" t="str">
            <v>N/A</v>
          </cell>
          <cell r="E15" t="str">
            <v>Cte_4D1_DBO percapita</v>
          </cell>
          <cell r="F15" t="str">
            <v>DBO percapita especifico del pais</v>
          </cell>
          <cell r="G15">
            <v>40</v>
          </cell>
          <cell r="H15" t="str">
            <v>g DBO / persona</v>
          </cell>
        </row>
        <row r="16">
          <cell r="A16">
            <v>60</v>
          </cell>
          <cell r="B16" t="str">
            <v>4D1, 4D2</v>
          </cell>
          <cell r="C16" t="str">
            <v>Constante</v>
          </cell>
          <cell r="D16" t="str">
            <v>CH4</v>
          </cell>
          <cell r="E16" t="str">
            <v>Cte_4D_CH4_Letrina</v>
          </cell>
          <cell r="F16" t="str">
            <v>Factor de correccion para CH4. Sistema de tratamiento tipo: letrina</v>
          </cell>
          <cell r="G16">
            <v>0.5</v>
          </cell>
          <cell r="H16" t="str">
            <v>adimensional</v>
          </cell>
        </row>
        <row r="17">
          <cell r="A17">
            <v>61</v>
          </cell>
          <cell r="B17" t="str">
            <v>4D1, 4D2</v>
          </cell>
          <cell r="C17" t="str">
            <v>Constante</v>
          </cell>
          <cell r="D17" t="str">
            <v>CH4</v>
          </cell>
          <cell r="E17" t="str">
            <v>Cte_4D_CH4_Sistema septico</v>
          </cell>
          <cell r="F17" t="str">
            <v>Factor de correccion para CH4. Sistema de tratamiento tipo: sistema septico</v>
          </cell>
          <cell r="G17">
            <v>0.5</v>
          </cell>
          <cell r="H17" t="str">
            <v>adimensional</v>
          </cell>
        </row>
        <row r="18">
          <cell r="A18">
            <v>62</v>
          </cell>
          <cell r="B18" t="str">
            <v>4D1, 4D2</v>
          </cell>
          <cell r="C18" t="str">
            <v>Constante</v>
          </cell>
          <cell r="D18" t="str">
            <v>CH4</v>
          </cell>
          <cell r="E18" t="str">
            <v>Cte_4D_CH4_Laguna anaerobia profunda</v>
          </cell>
          <cell r="F18" t="str">
            <v>Factor de correccion para CH4. Sistema de tratamiento tipo: laguna anaerobica profunda</v>
          </cell>
          <cell r="G18">
            <v>0.8</v>
          </cell>
          <cell r="H18" t="str">
            <v>adimensional</v>
          </cell>
        </row>
        <row r="19">
          <cell r="A19">
            <v>63</v>
          </cell>
          <cell r="B19" t="str">
            <v>4D1, 4D2</v>
          </cell>
          <cell r="C19" t="str">
            <v>Constante</v>
          </cell>
          <cell r="D19" t="str">
            <v>CH4</v>
          </cell>
          <cell r="E19" t="str">
            <v>Cte_4D_CH4_Laguna anaerobia</v>
          </cell>
          <cell r="F19" t="str">
            <v>Factor de correccion para CH4. Sistema de tratamiento tipo: laguna anaerobica poco profunda</v>
          </cell>
          <cell r="G19">
            <v>0.2</v>
          </cell>
          <cell r="H19" t="str">
            <v>adimensional</v>
          </cell>
        </row>
        <row r="20">
          <cell r="A20">
            <v>64</v>
          </cell>
          <cell r="B20" t="str">
            <v>4D1, 4D2</v>
          </cell>
          <cell r="C20" t="str">
            <v>Constante</v>
          </cell>
          <cell r="D20" t="str">
            <v>CH4</v>
          </cell>
          <cell r="E20" t="str">
            <v>Cte_4D_CH4_Reactor anaerobico</v>
          </cell>
          <cell r="F20" t="str">
            <v>Factor de correccion para CH4. Sistema de tratamiento tipo: reactor anaerobico</v>
          </cell>
          <cell r="G20">
            <v>0.8</v>
          </cell>
          <cell r="H20" t="str">
            <v>adimensional</v>
          </cell>
        </row>
        <row r="21">
          <cell r="A21">
            <v>65</v>
          </cell>
          <cell r="B21" t="str">
            <v>4D1, 4D2</v>
          </cell>
          <cell r="C21" t="str">
            <v>Constante</v>
          </cell>
          <cell r="D21" t="str">
            <v>CH4</v>
          </cell>
          <cell r="E21" t="str">
            <v>Cte_4D_CH4_Digestor anaerobio lodos</v>
          </cell>
          <cell r="F21" t="str">
            <v>Factor de correccion para CH4. Sistema de tratamiento tipo: digestor anaerobico para lodos</v>
          </cell>
          <cell r="G21">
            <v>0.8</v>
          </cell>
          <cell r="H21" t="str">
            <v>adimensional</v>
          </cell>
        </row>
        <row r="22">
          <cell r="A22">
            <v>66</v>
          </cell>
          <cell r="B22" t="str">
            <v>4D1, 4D2</v>
          </cell>
          <cell r="C22" t="str">
            <v>Constante</v>
          </cell>
          <cell r="D22" t="str">
            <v>CH4</v>
          </cell>
          <cell r="E22" t="str">
            <v>Cte_4D_CH4_Planta tratamiento centralizado</v>
          </cell>
          <cell r="F22" t="str">
            <v>Factor de correccion para CH4. Sistema de tratamiento tipo: planta de tratamiento centralizado aerobico</v>
          </cell>
          <cell r="G22">
            <v>0.3</v>
          </cell>
          <cell r="H22" t="str">
            <v>adimensional</v>
          </cell>
        </row>
        <row r="23">
          <cell r="A23">
            <v>67</v>
          </cell>
          <cell r="B23" t="str">
            <v>4D1, 4D2</v>
          </cell>
          <cell r="C23" t="str">
            <v>Constante</v>
          </cell>
          <cell r="D23" t="str">
            <v>CH4</v>
          </cell>
          <cell r="E23" t="str">
            <v>Cte_4D_CH4_Cloaca en movimiento</v>
          </cell>
          <cell r="F23" t="str">
            <v>Factor de correccion para CH4. Sistema de tratamiento tipo: cloaca en movimiento (tambien tratamiento aerobico bien gestionado)</v>
          </cell>
          <cell r="G23">
            <v>0</v>
          </cell>
          <cell r="H23" t="str">
            <v>adimensional</v>
          </cell>
        </row>
        <row r="24">
          <cell r="A24">
            <v>68</v>
          </cell>
          <cell r="B24" t="str">
            <v>4D1, 4D2</v>
          </cell>
          <cell r="C24" t="str">
            <v>Constante</v>
          </cell>
          <cell r="D24" t="str">
            <v>CH4</v>
          </cell>
          <cell r="E24" t="str">
            <v>Cte_4D_CH4_Cloaca estancada</v>
          </cell>
          <cell r="F24" t="str">
            <v>Factor de correccion para CH4. Sistema de tratamiento tipo: cloaca estancada</v>
          </cell>
          <cell r="G24">
            <v>0.5</v>
          </cell>
          <cell r="H24" t="str">
            <v>adimensional</v>
          </cell>
        </row>
        <row r="25">
          <cell r="A25">
            <v>69</v>
          </cell>
          <cell r="B25" t="str">
            <v>4D1, 4D2</v>
          </cell>
          <cell r="C25" t="str">
            <v>Constante</v>
          </cell>
          <cell r="D25" t="str">
            <v>CH4</v>
          </cell>
          <cell r="E25" t="str">
            <v>Cte_4D_CH4_Eliminacion en cuerpo de agua</v>
          </cell>
          <cell r="F25" t="str">
            <v>Factor de correccion para CH4. Sistema de tratamiento tipo: eliminacion en rio, lago y mar</v>
          </cell>
          <cell r="G25">
            <v>0.1</v>
          </cell>
          <cell r="H25" t="str">
            <v>adimensional</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mailto:mpcruz@acueducto.com.co" TargetMode="External"/><Relationship Id="rId2" Type="http://schemas.openxmlformats.org/officeDocument/2006/relationships/hyperlink" Target="http://www.lindeus.com/internet.lg.lg.usa/en/images/Linde%20R290%20Refrigerant%20Grade%20Propane138_11493.pdf" TargetMode="External"/><Relationship Id="rId1" Type="http://schemas.openxmlformats.org/officeDocument/2006/relationships/hyperlink" Target="http://www.gas-servei.com/images/Ficha-tecnica-R404A.pdf" TargetMode="Externa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mpcruz@acueducto.com.co" TargetMode="Externa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249977111117893"/>
  </sheetPr>
  <dimension ref="A1:T41"/>
  <sheetViews>
    <sheetView topLeftCell="A24" zoomScale="62" zoomScaleNormal="62" workbookViewId="0">
      <selection activeCell="C27" sqref="C27:D27"/>
    </sheetView>
  </sheetViews>
  <sheetFormatPr baseColWidth="10" defaultColWidth="0" defaultRowHeight="14.5" zeroHeight="1" x14ac:dyDescent="0.35"/>
  <cols>
    <col min="1" max="1" width="2.26953125" style="1" customWidth="1"/>
    <col min="2" max="2" width="4.7265625" style="1" customWidth="1"/>
    <col min="3" max="16" width="11.453125" customWidth="1"/>
    <col min="17" max="17" width="11.453125" style="1" customWidth="1"/>
    <col min="18" max="18" width="3.7265625" style="1" customWidth="1"/>
    <col min="19" max="20" width="0" hidden="1" customWidth="1"/>
    <col min="21" max="16384" width="11.453125" hidden="1"/>
  </cols>
  <sheetData>
    <row r="1" spans="3:16" ht="19.5" customHeight="1" thickBot="1" x14ac:dyDescent="0.4">
      <c r="C1" s="1"/>
      <c r="D1" s="1"/>
      <c r="E1" s="1"/>
      <c r="F1" s="531" t="s">
        <v>0</v>
      </c>
      <c r="G1" s="532"/>
      <c r="H1" s="1"/>
      <c r="I1" s="1"/>
      <c r="J1" s="1"/>
      <c r="K1" s="1"/>
      <c r="L1" s="1"/>
      <c r="M1" s="1"/>
      <c r="N1" s="1"/>
      <c r="O1" s="1"/>
      <c r="P1" s="1"/>
    </row>
    <row r="2" spans="3:16" ht="15.5" x14ac:dyDescent="0.35">
      <c r="D2" s="544" t="s">
        <v>1</v>
      </c>
      <c r="E2" s="544"/>
      <c r="F2" s="559" t="s">
        <v>2</v>
      </c>
      <c r="G2" s="560"/>
      <c r="H2" s="560"/>
      <c r="I2" s="560"/>
      <c r="J2" s="560"/>
      <c r="K2" s="560"/>
      <c r="L2" s="560"/>
      <c r="M2" s="561"/>
      <c r="N2" s="12"/>
      <c r="O2" s="12"/>
      <c r="P2" s="1"/>
    </row>
    <row r="3" spans="3:16" ht="18.5" x14ac:dyDescent="0.35">
      <c r="C3" s="10"/>
      <c r="D3" s="544"/>
      <c r="E3" s="544"/>
      <c r="F3" s="562"/>
      <c r="G3" s="563"/>
      <c r="H3" s="563"/>
      <c r="I3" s="563"/>
      <c r="J3" s="563"/>
      <c r="K3" s="563"/>
      <c r="L3" s="563"/>
      <c r="M3" s="564"/>
      <c r="N3" s="13"/>
      <c r="O3" s="13"/>
      <c r="P3" s="1"/>
    </row>
    <row r="4" spans="3:16" x14ac:dyDescent="0.35">
      <c r="C4" s="1"/>
      <c r="D4" s="545"/>
      <c r="E4" s="545"/>
      <c r="F4" s="1"/>
      <c r="G4" s="1"/>
      <c r="H4" s="1"/>
      <c r="I4" s="1"/>
      <c r="J4" s="1"/>
      <c r="K4" s="1"/>
      <c r="L4" s="1"/>
      <c r="M4" s="1"/>
      <c r="N4" s="26"/>
      <c r="O4" s="26"/>
      <c r="P4" s="1"/>
    </row>
    <row r="5" spans="3:16" ht="18.5" x14ac:dyDescent="0.35">
      <c r="D5" s="565" t="s">
        <v>3</v>
      </c>
      <c r="E5" s="566"/>
      <c r="F5" s="566"/>
      <c r="G5" s="567"/>
      <c r="H5" s="567"/>
      <c r="I5" s="567"/>
      <c r="J5" s="567"/>
      <c r="K5" s="567"/>
      <c r="L5" s="567"/>
      <c r="M5" s="567"/>
      <c r="N5" s="567"/>
      <c r="O5" s="568"/>
    </row>
    <row r="6" spans="3:16" ht="15" thickBot="1" x14ac:dyDescent="0.4">
      <c r="C6" s="1"/>
      <c r="D6" s="569"/>
      <c r="E6" s="569"/>
      <c r="F6" s="569"/>
      <c r="G6" s="569"/>
      <c r="H6" s="569"/>
      <c r="I6" s="569"/>
      <c r="J6" s="569"/>
      <c r="K6" s="569"/>
      <c r="L6" s="569"/>
      <c r="M6" s="569"/>
      <c r="N6" s="569"/>
      <c r="O6" s="569"/>
      <c r="P6" s="1"/>
    </row>
    <row r="7" spans="3:16" ht="87.75" customHeight="1" x14ac:dyDescent="0.35">
      <c r="C7" s="11"/>
      <c r="D7" s="570" t="s">
        <v>4</v>
      </c>
      <c r="E7" s="570"/>
      <c r="F7" s="570"/>
      <c r="G7" s="570"/>
      <c r="H7" s="570"/>
      <c r="I7" s="570"/>
      <c r="J7" s="570"/>
      <c r="K7" s="570"/>
      <c r="L7" s="570"/>
      <c r="M7" s="570"/>
      <c r="N7" s="570"/>
      <c r="O7" s="570"/>
      <c r="P7" s="3"/>
    </row>
    <row r="8" spans="3:16" ht="69.75" customHeight="1" x14ac:dyDescent="0.35">
      <c r="C8" s="24"/>
      <c r="D8" s="571"/>
      <c r="E8" s="571"/>
      <c r="F8" s="571"/>
      <c r="G8" s="571"/>
      <c r="H8" s="571"/>
      <c r="I8" s="571"/>
      <c r="J8" s="571"/>
      <c r="K8" s="571"/>
      <c r="L8" s="571"/>
      <c r="M8" s="571"/>
      <c r="N8" s="571"/>
      <c r="O8" s="571"/>
      <c r="P8" s="25"/>
    </row>
    <row r="9" spans="3:16" ht="55.5" customHeight="1" x14ac:dyDescent="0.35">
      <c r="C9" s="4"/>
      <c r="D9" s="5"/>
      <c r="E9" s="5"/>
      <c r="F9" s="5"/>
      <c r="G9" s="5"/>
      <c r="H9" s="5"/>
      <c r="I9" s="5"/>
      <c r="J9" s="5"/>
      <c r="K9" s="5"/>
      <c r="L9" s="5"/>
      <c r="M9" s="5"/>
      <c r="N9" s="5"/>
      <c r="O9" s="5"/>
      <c r="P9" s="6"/>
    </row>
    <row r="10" spans="3:16" ht="85.5" customHeight="1" x14ac:dyDescent="0.35">
      <c r="C10" s="4"/>
      <c r="D10" s="5"/>
      <c r="E10" s="5"/>
      <c r="F10" s="5"/>
      <c r="G10" s="5"/>
      <c r="H10" s="5"/>
      <c r="I10" s="5"/>
      <c r="J10" s="5"/>
      <c r="K10" s="5"/>
      <c r="L10" s="5"/>
      <c r="M10" s="5"/>
      <c r="N10" s="5"/>
      <c r="O10" s="5"/>
      <c r="P10" s="6"/>
    </row>
    <row r="11" spans="3:16" ht="256.5" customHeight="1" thickBot="1" x14ac:dyDescent="0.4">
      <c r="C11" s="7"/>
      <c r="D11" s="8"/>
      <c r="E11" s="8"/>
      <c r="F11" s="8"/>
      <c r="G11" s="8"/>
      <c r="H11" s="8"/>
      <c r="I11" s="8"/>
      <c r="J11" s="8"/>
      <c r="K11" s="8"/>
      <c r="L11" s="8"/>
      <c r="M11" s="8"/>
      <c r="N11" s="8"/>
      <c r="O11" s="8"/>
      <c r="P11" s="9"/>
    </row>
    <row r="12" spans="3:16" ht="59.25" customHeight="1" thickBot="1" x14ac:dyDescent="0.4">
      <c r="C12" s="2"/>
      <c r="D12" s="539" t="s">
        <v>5</v>
      </c>
      <c r="E12" s="539"/>
      <c r="F12" s="539"/>
      <c r="G12" s="539"/>
      <c r="H12" s="539"/>
      <c r="I12" s="539"/>
      <c r="J12" s="539"/>
      <c r="K12" s="539"/>
      <c r="L12" s="539"/>
      <c r="M12" s="539"/>
      <c r="N12" s="539"/>
      <c r="O12" s="539"/>
      <c r="P12" s="3"/>
    </row>
    <row r="13" spans="3:16" ht="23.25" customHeight="1" thickTop="1" thickBot="1" x14ac:dyDescent="0.4">
      <c r="C13" s="522" t="s">
        <v>6</v>
      </c>
      <c r="D13" s="523"/>
      <c r="E13" s="523"/>
      <c r="F13" s="523"/>
      <c r="G13" s="523"/>
      <c r="H13" s="523"/>
      <c r="I13" s="523"/>
      <c r="J13" s="523"/>
      <c r="K13" s="523"/>
      <c r="L13" s="523"/>
      <c r="M13" s="523"/>
      <c r="N13" s="523"/>
      <c r="O13" s="523"/>
      <c r="P13" s="546"/>
    </row>
    <row r="14" spans="3:16" ht="162.75" customHeight="1" thickTop="1" thickBot="1" x14ac:dyDescent="0.4">
      <c r="C14" s="535" t="s">
        <v>7</v>
      </c>
      <c r="D14" s="536"/>
      <c r="E14" s="540" t="s">
        <v>8</v>
      </c>
      <c r="F14" s="541"/>
      <c r="G14" s="541"/>
      <c r="H14" s="541"/>
      <c r="I14" s="541"/>
      <c r="J14" s="541"/>
      <c r="K14" s="542" t="s">
        <v>9</v>
      </c>
      <c r="L14" s="542"/>
      <c r="M14" s="542"/>
      <c r="N14" s="542"/>
      <c r="O14" s="542"/>
      <c r="P14" s="543"/>
    </row>
    <row r="15" spans="3:16" ht="96.75" customHeight="1" thickTop="1" thickBot="1" x14ac:dyDescent="0.4">
      <c r="C15" s="535" t="s">
        <v>10</v>
      </c>
      <c r="D15" s="536"/>
      <c r="E15" s="527" t="s">
        <v>11</v>
      </c>
      <c r="F15" s="528"/>
      <c r="G15" s="528"/>
      <c r="H15" s="528"/>
      <c r="I15" s="528"/>
      <c r="J15" s="528"/>
      <c r="K15" s="529" t="s">
        <v>12</v>
      </c>
      <c r="L15" s="529"/>
      <c r="M15" s="529"/>
      <c r="N15" s="529"/>
      <c r="O15" s="529"/>
      <c r="P15" s="530"/>
    </row>
    <row r="16" spans="3:16" ht="284.25" customHeight="1" thickTop="1" thickBot="1" x14ac:dyDescent="0.4">
      <c r="C16" s="535" t="s">
        <v>13</v>
      </c>
      <c r="D16" s="536"/>
      <c r="E16" s="527" t="s">
        <v>14</v>
      </c>
      <c r="F16" s="528"/>
      <c r="G16" s="528"/>
      <c r="H16" s="528"/>
      <c r="I16" s="528"/>
      <c r="J16" s="528"/>
      <c r="K16" s="529" t="s">
        <v>15</v>
      </c>
      <c r="L16" s="529"/>
      <c r="M16" s="529"/>
      <c r="N16" s="529"/>
      <c r="O16" s="529"/>
      <c r="P16" s="530"/>
    </row>
    <row r="17" spans="3:16" ht="186.75" customHeight="1" thickTop="1" thickBot="1" x14ac:dyDescent="0.4">
      <c r="C17" s="537" t="s">
        <v>16</v>
      </c>
      <c r="D17" s="538"/>
      <c r="E17" s="533" t="s">
        <v>17</v>
      </c>
      <c r="F17" s="534"/>
      <c r="G17" s="534"/>
      <c r="H17" s="534"/>
      <c r="I17" s="534"/>
      <c r="J17" s="534"/>
      <c r="K17" s="529" t="s">
        <v>18</v>
      </c>
      <c r="L17" s="529"/>
      <c r="M17" s="529"/>
      <c r="N17" s="529"/>
      <c r="O17" s="529"/>
      <c r="P17" s="530"/>
    </row>
    <row r="18" spans="3:16" ht="117.75" customHeight="1" thickTop="1" thickBot="1" x14ac:dyDescent="0.4">
      <c r="C18" s="549" t="s">
        <v>19</v>
      </c>
      <c r="D18" s="550"/>
      <c r="E18" s="527" t="s">
        <v>20</v>
      </c>
      <c r="F18" s="528"/>
      <c r="G18" s="528"/>
      <c r="H18" s="528"/>
      <c r="I18" s="528"/>
      <c r="J18" s="574"/>
      <c r="K18" s="575" t="s">
        <v>21</v>
      </c>
      <c r="L18" s="529"/>
      <c r="M18" s="529"/>
      <c r="N18" s="529"/>
      <c r="O18" s="529"/>
      <c r="P18" s="530"/>
    </row>
    <row r="19" spans="3:16" ht="23.25" customHeight="1" thickTop="1" thickBot="1" x14ac:dyDescent="0.4">
      <c r="C19" s="522" t="s">
        <v>22</v>
      </c>
      <c r="D19" s="523"/>
      <c r="E19" s="523"/>
      <c r="F19" s="523"/>
      <c r="G19" s="523"/>
      <c r="H19" s="523"/>
      <c r="I19" s="523"/>
      <c r="J19" s="523"/>
      <c r="K19" s="523"/>
      <c r="L19" s="523"/>
      <c r="M19" s="523"/>
      <c r="N19" s="523"/>
      <c r="O19" s="523"/>
      <c r="P19" s="524"/>
    </row>
    <row r="20" spans="3:16" ht="74.25" customHeight="1" thickTop="1" thickBot="1" x14ac:dyDescent="0.4">
      <c r="C20" s="525" t="s">
        <v>23</v>
      </c>
      <c r="D20" s="526"/>
      <c r="E20" s="527" t="s">
        <v>24</v>
      </c>
      <c r="F20" s="528"/>
      <c r="G20" s="528"/>
      <c r="H20" s="528"/>
      <c r="I20" s="528"/>
      <c r="J20" s="528"/>
      <c r="K20" s="529" t="s">
        <v>25</v>
      </c>
      <c r="L20" s="529"/>
      <c r="M20" s="529"/>
      <c r="N20" s="529"/>
      <c r="O20" s="529"/>
      <c r="P20" s="530"/>
    </row>
    <row r="21" spans="3:16" ht="116.25" customHeight="1" thickTop="1" thickBot="1" x14ac:dyDescent="0.4">
      <c r="C21" s="549" t="s">
        <v>26</v>
      </c>
      <c r="D21" s="550"/>
      <c r="E21" s="527" t="s">
        <v>27</v>
      </c>
      <c r="F21" s="528"/>
      <c r="G21" s="528"/>
      <c r="H21" s="528"/>
      <c r="I21" s="528"/>
      <c r="J21" s="528"/>
      <c r="K21" s="529" t="s">
        <v>28</v>
      </c>
      <c r="L21" s="529"/>
      <c r="M21" s="529"/>
      <c r="N21" s="529"/>
      <c r="O21" s="529"/>
      <c r="P21" s="530"/>
    </row>
    <row r="22" spans="3:16" ht="66" customHeight="1" thickTop="1" thickBot="1" x14ac:dyDescent="0.4">
      <c r="C22" s="549" t="s">
        <v>29</v>
      </c>
      <c r="D22" s="550"/>
      <c r="E22" s="527" t="s">
        <v>30</v>
      </c>
      <c r="F22" s="528"/>
      <c r="G22" s="528"/>
      <c r="H22" s="528"/>
      <c r="I22" s="528"/>
      <c r="J22" s="528"/>
      <c r="K22" s="529" t="s">
        <v>31</v>
      </c>
      <c r="L22" s="529"/>
      <c r="M22" s="529"/>
      <c r="N22" s="529"/>
      <c r="O22" s="529"/>
      <c r="P22" s="530"/>
    </row>
    <row r="23" spans="3:16" ht="66" customHeight="1" thickTop="1" thickBot="1" x14ac:dyDescent="0.4">
      <c r="C23" s="549" t="s">
        <v>32</v>
      </c>
      <c r="D23" s="550"/>
      <c r="E23" s="527" t="s">
        <v>33</v>
      </c>
      <c r="F23" s="528"/>
      <c r="G23" s="528"/>
      <c r="H23" s="528"/>
      <c r="I23" s="528"/>
      <c r="J23" s="528"/>
      <c r="K23" s="529" t="s">
        <v>34</v>
      </c>
      <c r="L23" s="529"/>
      <c r="M23" s="529"/>
      <c r="N23" s="529"/>
      <c r="O23" s="529"/>
      <c r="P23" s="530"/>
    </row>
    <row r="24" spans="3:16" ht="51.75" customHeight="1" thickTop="1" thickBot="1" x14ac:dyDescent="0.4">
      <c r="C24" s="549" t="s">
        <v>35</v>
      </c>
      <c r="D24" s="550"/>
      <c r="E24" s="527" t="s">
        <v>36</v>
      </c>
      <c r="F24" s="528"/>
      <c r="G24" s="528"/>
      <c r="H24" s="528"/>
      <c r="I24" s="528"/>
      <c r="J24" s="528"/>
      <c r="K24" s="529" t="s">
        <v>37</v>
      </c>
      <c r="L24" s="529"/>
      <c r="M24" s="529"/>
      <c r="N24" s="529"/>
      <c r="O24" s="529"/>
      <c r="P24" s="530"/>
    </row>
    <row r="25" spans="3:16" ht="54" customHeight="1" thickTop="1" thickBot="1" x14ac:dyDescent="0.4">
      <c r="C25" s="537" t="s">
        <v>38</v>
      </c>
      <c r="D25" s="538"/>
      <c r="E25" s="551" t="s">
        <v>39</v>
      </c>
      <c r="F25" s="552"/>
      <c r="G25" s="552"/>
      <c r="H25" s="552"/>
      <c r="I25" s="552"/>
      <c r="J25" s="552"/>
      <c r="K25" s="553" t="s">
        <v>40</v>
      </c>
      <c r="L25" s="553"/>
      <c r="M25" s="553"/>
      <c r="N25" s="553"/>
      <c r="O25" s="553"/>
      <c r="P25" s="554"/>
    </row>
    <row r="26" spans="3:16" ht="15.5" thickTop="1" thickBot="1" x14ac:dyDescent="0.4">
      <c r="C26" s="522" t="s">
        <v>41</v>
      </c>
      <c r="D26" s="523"/>
      <c r="E26" s="523"/>
      <c r="F26" s="523"/>
      <c r="G26" s="523"/>
      <c r="H26" s="523"/>
      <c r="I26" s="523"/>
      <c r="J26" s="523"/>
      <c r="K26" s="523"/>
      <c r="L26" s="523"/>
      <c r="M26" s="523"/>
      <c r="N26" s="523"/>
      <c r="O26" s="523"/>
      <c r="P26" s="524"/>
    </row>
    <row r="27" spans="3:16" ht="62.25" customHeight="1" thickTop="1" thickBot="1" x14ac:dyDescent="0.4">
      <c r="C27" s="572" t="s">
        <v>42</v>
      </c>
      <c r="D27" s="573"/>
      <c r="E27" s="527" t="s">
        <v>43</v>
      </c>
      <c r="F27" s="528"/>
      <c r="G27" s="528"/>
      <c r="H27" s="528"/>
      <c r="I27" s="528"/>
      <c r="J27" s="528"/>
      <c r="K27" s="529" t="s">
        <v>37</v>
      </c>
      <c r="L27" s="529"/>
      <c r="M27" s="529"/>
      <c r="N27" s="529"/>
      <c r="O27" s="529"/>
      <c r="P27" s="530"/>
    </row>
    <row r="28" spans="3:16" ht="98.25" customHeight="1" thickTop="1" thickBot="1" x14ac:dyDescent="0.4">
      <c r="C28" s="537" t="s">
        <v>44</v>
      </c>
      <c r="D28" s="538"/>
      <c r="E28" s="527" t="s">
        <v>45</v>
      </c>
      <c r="F28" s="528"/>
      <c r="G28" s="528"/>
      <c r="H28" s="528"/>
      <c r="I28" s="528"/>
      <c r="J28" s="528"/>
      <c r="K28" s="529" t="s">
        <v>31</v>
      </c>
      <c r="L28" s="529"/>
      <c r="M28" s="529"/>
      <c r="N28" s="529"/>
      <c r="O28" s="529"/>
      <c r="P28" s="530"/>
    </row>
    <row r="29" spans="3:16" ht="37.5" customHeight="1" thickTop="1" thickBot="1" x14ac:dyDescent="0.4">
      <c r="C29" s="555" t="s">
        <v>46</v>
      </c>
      <c r="D29" s="556"/>
      <c r="E29" s="551" t="s">
        <v>47</v>
      </c>
      <c r="F29" s="552"/>
      <c r="G29" s="552"/>
      <c r="H29" s="552"/>
      <c r="I29" s="552"/>
      <c r="J29" s="552"/>
      <c r="K29" s="553" t="s">
        <v>40</v>
      </c>
      <c r="L29" s="553"/>
      <c r="M29" s="553"/>
      <c r="N29" s="553"/>
      <c r="O29" s="553"/>
      <c r="P29" s="554"/>
    </row>
    <row r="30" spans="3:16" ht="15.5" thickTop="1" thickBot="1" x14ac:dyDescent="0.4">
      <c r="C30" s="522" t="s">
        <v>48</v>
      </c>
      <c r="D30" s="523"/>
      <c r="E30" s="523"/>
      <c r="F30" s="523"/>
      <c r="G30" s="523"/>
      <c r="H30" s="523"/>
      <c r="I30" s="523"/>
      <c r="J30" s="523"/>
      <c r="K30" s="523"/>
      <c r="L30" s="523"/>
      <c r="M30" s="523"/>
      <c r="N30" s="523"/>
      <c r="O30" s="523"/>
      <c r="P30" s="524"/>
    </row>
    <row r="31" spans="3:16" ht="75" customHeight="1" thickTop="1" thickBot="1" x14ac:dyDescent="0.4">
      <c r="C31" s="525" t="s">
        <v>49</v>
      </c>
      <c r="D31" s="526"/>
      <c r="E31" s="557" t="s">
        <v>50</v>
      </c>
      <c r="F31" s="558"/>
      <c r="G31" s="558"/>
      <c r="H31" s="558"/>
      <c r="I31" s="558"/>
      <c r="J31" s="558"/>
      <c r="K31" s="529" t="s">
        <v>37</v>
      </c>
      <c r="L31" s="529"/>
      <c r="M31" s="529"/>
      <c r="N31" s="529"/>
      <c r="O31" s="529"/>
      <c r="P31" s="530"/>
    </row>
    <row r="32" spans="3:16" ht="74.25" customHeight="1" thickTop="1" thickBot="1" x14ac:dyDescent="0.4">
      <c r="C32" s="549" t="s">
        <v>51</v>
      </c>
      <c r="D32" s="550"/>
      <c r="E32" s="527" t="s">
        <v>52</v>
      </c>
      <c r="F32" s="528"/>
      <c r="G32" s="528"/>
      <c r="H32" s="528"/>
      <c r="I32" s="528"/>
      <c r="J32" s="528"/>
      <c r="K32" s="529" t="s">
        <v>31</v>
      </c>
      <c r="L32" s="529"/>
      <c r="M32" s="529"/>
      <c r="N32" s="529"/>
      <c r="O32" s="529"/>
      <c r="P32" s="530"/>
    </row>
    <row r="33" spans="3:16" ht="80.25" customHeight="1" thickTop="1" thickBot="1" x14ac:dyDescent="0.4">
      <c r="C33" s="549" t="s">
        <v>53</v>
      </c>
      <c r="D33" s="550"/>
      <c r="E33" s="527" t="s">
        <v>54</v>
      </c>
      <c r="F33" s="528"/>
      <c r="G33" s="528"/>
      <c r="H33" s="528"/>
      <c r="I33" s="528"/>
      <c r="J33" s="528"/>
      <c r="K33" s="529" t="s">
        <v>55</v>
      </c>
      <c r="L33" s="529"/>
      <c r="M33" s="529"/>
      <c r="N33" s="529"/>
      <c r="O33" s="529"/>
      <c r="P33" s="530"/>
    </row>
    <row r="34" spans="3:16" ht="15.5" thickTop="1" thickBot="1" x14ac:dyDescent="0.4">
      <c r="C34" s="522" t="s">
        <v>56</v>
      </c>
      <c r="D34" s="523"/>
      <c r="E34" s="523"/>
      <c r="F34" s="523"/>
      <c r="G34" s="523"/>
      <c r="H34" s="523"/>
      <c r="I34" s="523"/>
      <c r="J34" s="523"/>
      <c r="K34" s="523"/>
      <c r="L34" s="523"/>
      <c r="M34" s="523"/>
      <c r="N34" s="523"/>
      <c r="O34" s="523"/>
      <c r="P34" s="524"/>
    </row>
    <row r="35" spans="3:16" ht="70.5" customHeight="1" thickTop="1" thickBot="1" x14ac:dyDescent="0.4">
      <c r="C35" s="525" t="s">
        <v>57</v>
      </c>
      <c r="D35" s="526"/>
      <c r="E35" s="557" t="s">
        <v>58</v>
      </c>
      <c r="F35" s="558"/>
      <c r="G35" s="558"/>
      <c r="H35" s="558"/>
      <c r="I35" s="558"/>
      <c r="J35" s="558"/>
      <c r="K35" s="576" t="s">
        <v>59</v>
      </c>
      <c r="L35" s="576"/>
      <c r="M35" s="576"/>
      <c r="N35" s="576"/>
      <c r="O35" s="576"/>
      <c r="P35" s="577"/>
    </row>
    <row r="36" spans="3:16" ht="73.5" customHeight="1" thickTop="1" thickBot="1" x14ac:dyDescent="0.4">
      <c r="C36" s="547" t="s">
        <v>60</v>
      </c>
      <c r="D36" s="548"/>
      <c r="E36" s="527" t="s">
        <v>61</v>
      </c>
      <c r="F36" s="528"/>
      <c r="G36" s="528"/>
      <c r="H36" s="528"/>
      <c r="I36" s="528"/>
      <c r="J36" s="528"/>
      <c r="K36" s="529" t="s">
        <v>55</v>
      </c>
      <c r="L36" s="529"/>
      <c r="M36" s="529"/>
      <c r="N36" s="529"/>
      <c r="O36" s="529"/>
      <c r="P36" s="530"/>
    </row>
    <row r="37" spans="3:16" ht="15.5" thickTop="1" thickBot="1" x14ac:dyDescent="0.4">
      <c r="C37" s="1"/>
      <c r="D37" s="1"/>
      <c r="E37" s="1"/>
      <c r="F37" s="1"/>
      <c r="G37" s="1"/>
      <c r="H37" s="1"/>
      <c r="I37" s="1"/>
      <c r="J37" s="1"/>
      <c r="K37" s="1"/>
      <c r="L37" s="1"/>
      <c r="M37" s="1"/>
      <c r="N37" s="1"/>
      <c r="O37" s="1"/>
      <c r="P37" s="1"/>
    </row>
    <row r="38" spans="3:16" ht="15" thickBot="1" x14ac:dyDescent="0.4">
      <c r="C38" s="1"/>
      <c r="D38" s="531" t="s">
        <v>0</v>
      </c>
      <c r="E38" s="532"/>
      <c r="F38" s="1"/>
      <c r="G38" s="1"/>
      <c r="H38" s="1"/>
      <c r="I38" s="1"/>
      <c r="J38" s="1"/>
      <c r="K38" s="1"/>
      <c r="L38" s="1"/>
      <c r="M38" s="1"/>
      <c r="N38" s="1"/>
      <c r="O38" s="1"/>
      <c r="P38" s="1"/>
    </row>
    <row r="39" spans="3:16" x14ac:dyDescent="0.35">
      <c r="C39" s="1"/>
      <c r="D39" s="1"/>
      <c r="E39" s="1"/>
      <c r="F39" s="1"/>
      <c r="G39" s="1"/>
      <c r="H39" s="1"/>
      <c r="I39" s="1"/>
      <c r="J39" s="1"/>
      <c r="K39" s="1"/>
      <c r="L39" s="1"/>
      <c r="M39" s="1"/>
      <c r="N39" s="1"/>
      <c r="O39" s="1"/>
      <c r="P39" s="1"/>
    </row>
    <row r="40" spans="3:16" hidden="1" x14ac:dyDescent="0.35">
      <c r="C40" s="1"/>
      <c r="D40" s="1"/>
      <c r="E40" s="1"/>
      <c r="F40" s="1"/>
      <c r="G40" s="1"/>
      <c r="H40" s="1"/>
      <c r="I40" s="1"/>
      <c r="J40" s="1"/>
      <c r="K40" s="1"/>
      <c r="L40" s="1"/>
      <c r="M40" s="1"/>
      <c r="N40" s="1"/>
      <c r="O40" s="1"/>
      <c r="P40" s="1"/>
    </row>
    <row r="41" spans="3:16" hidden="1" x14ac:dyDescent="0.35">
      <c r="C41" s="1"/>
      <c r="D41" s="1"/>
      <c r="E41" s="1"/>
      <c r="F41" s="1"/>
      <c r="G41" s="1"/>
      <c r="H41" s="1"/>
      <c r="I41" s="1"/>
      <c r="J41" s="1"/>
      <c r="K41" s="1"/>
      <c r="L41" s="1"/>
      <c r="M41" s="1"/>
      <c r="N41" s="1"/>
      <c r="O41" s="1"/>
      <c r="P41" s="1"/>
    </row>
  </sheetData>
  <sheetProtection sheet="1" objects="1" scenarios="1"/>
  <mergeCells count="71">
    <mergeCell ref="C35:D35"/>
    <mergeCell ref="E35:J35"/>
    <mergeCell ref="K35:P35"/>
    <mergeCell ref="C32:D32"/>
    <mergeCell ref="E32:J32"/>
    <mergeCell ref="K32:P32"/>
    <mergeCell ref="C33:D33"/>
    <mergeCell ref="C34:P34"/>
    <mergeCell ref="C28:D28"/>
    <mergeCell ref="E28:J28"/>
    <mergeCell ref="F2:M3"/>
    <mergeCell ref="D5:O5"/>
    <mergeCell ref="D6:O6"/>
    <mergeCell ref="D7:O7"/>
    <mergeCell ref="D8:O8"/>
    <mergeCell ref="C14:D14"/>
    <mergeCell ref="C21:D21"/>
    <mergeCell ref="E16:J16"/>
    <mergeCell ref="C26:P26"/>
    <mergeCell ref="C27:D27"/>
    <mergeCell ref="C18:D18"/>
    <mergeCell ref="E18:J18"/>
    <mergeCell ref="K18:P18"/>
    <mergeCell ref="E27:J27"/>
    <mergeCell ref="C29:D29"/>
    <mergeCell ref="E29:J29"/>
    <mergeCell ref="K29:P29"/>
    <mergeCell ref="C31:D31"/>
    <mergeCell ref="E31:J31"/>
    <mergeCell ref="K31:P31"/>
    <mergeCell ref="C30:P30"/>
    <mergeCell ref="K27:P27"/>
    <mergeCell ref="K24:P24"/>
    <mergeCell ref="C24:D24"/>
    <mergeCell ref="C25:D25"/>
    <mergeCell ref="E25:J25"/>
    <mergeCell ref="K25:P25"/>
    <mergeCell ref="D38:E38"/>
    <mergeCell ref="C13:P13"/>
    <mergeCell ref="C16:D16"/>
    <mergeCell ref="C36:D36"/>
    <mergeCell ref="E33:J33"/>
    <mergeCell ref="K33:P33"/>
    <mergeCell ref="K28:P28"/>
    <mergeCell ref="C22:D22"/>
    <mergeCell ref="E22:J22"/>
    <mergeCell ref="K22:P22"/>
    <mergeCell ref="E36:J36"/>
    <mergeCell ref="K36:P36"/>
    <mergeCell ref="E23:J23"/>
    <mergeCell ref="K23:P23"/>
    <mergeCell ref="C23:D23"/>
    <mergeCell ref="E24:J24"/>
    <mergeCell ref="F1:G1"/>
    <mergeCell ref="K16:P16"/>
    <mergeCell ref="E17:J17"/>
    <mergeCell ref="K17:P17"/>
    <mergeCell ref="C15:D15"/>
    <mergeCell ref="C17:D17"/>
    <mergeCell ref="E15:J15"/>
    <mergeCell ref="K15:P15"/>
    <mergeCell ref="D12:O12"/>
    <mergeCell ref="E14:J14"/>
    <mergeCell ref="K14:P14"/>
    <mergeCell ref="D2:E4"/>
    <mergeCell ref="C19:P19"/>
    <mergeCell ref="C20:D20"/>
    <mergeCell ref="E21:J21"/>
    <mergeCell ref="K21:P21"/>
    <mergeCell ref="E20:J20"/>
    <mergeCell ref="K20:P20"/>
  </mergeCells>
  <hyperlinks>
    <hyperlink ref="C16:D16" location="FORMATO!D7" display="Alcance" xr:uid="{00000000-0004-0000-0100-000000000000}"/>
    <hyperlink ref="C36:D36" location="FORMATO!T7" display="Observaciones" xr:uid="{00000000-0004-0000-0100-000001000000}"/>
    <hyperlink ref="D38" location="MENÚ!A1" display="MENÚ" xr:uid="{00000000-0004-0000-0100-000002000000}"/>
    <hyperlink ref="C13:P13" location="FORMATO!B6" display="IDENTIFICACIÓN DE FUENTES DE EMISIÓN" xr:uid="{00000000-0004-0000-0100-000003000000}"/>
    <hyperlink ref="C14:D14" location="FORMATO!B7" display="Carga Ambiental" xr:uid="{00000000-0004-0000-0100-000004000000}"/>
    <hyperlink ref="C15:D15" location="FORMATO!B7" display="Carga Ambiental" xr:uid="{00000000-0004-0000-0100-000005000000}"/>
    <hyperlink ref="C17:D17" location="FORMATO!E7" display="Fuentes " xr:uid="{00000000-0004-0000-0100-000006000000}"/>
    <hyperlink ref="C19:D19" location="FORMATO!F7" display="Origen de la informacion" xr:uid="{00000000-0004-0000-0100-000007000000}"/>
    <hyperlink ref="C19:P19" location="FORMATO!G6" display="PROCESO DE REGISTRO DE LA INFORMACIÓN" xr:uid="{00000000-0004-0000-0100-000008000000}"/>
    <hyperlink ref="C20:D20" location="FORMATO!G7" display="Origen de la información" xr:uid="{00000000-0004-0000-0100-000009000000}"/>
    <hyperlink ref="C21:D21" location="FORMATO!H7" display="Forma de registro de la información " xr:uid="{00000000-0004-0000-0100-00000A000000}"/>
    <hyperlink ref="C22:D22" location="FORMATO!I7" display="Responsable del registro de la información" xr:uid="{00000000-0004-0000-0100-00000B000000}"/>
    <hyperlink ref="C23:D23" location="FORMATO!J7" display="Soportes asociados a la información" xr:uid="{00000000-0004-0000-0100-00000C000000}"/>
    <hyperlink ref="C24:D24" location="FORMATO!K7" display="Periodicidad de registro" xr:uid="{00000000-0004-0000-0100-00000D000000}"/>
    <hyperlink ref="C25:D25" location="FORMATO!L7" display="Unidad registrada" xr:uid="{00000000-0004-0000-0100-00000E000000}"/>
    <hyperlink ref="C26:P26" location="FORMATO!M6" display="PROCESO DE CONSOLIDACIÓN Y REPORTE DE LA INFORMACIÓN PARA HUELLA DE CARBONO" xr:uid="{00000000-0004-0000-0100-00000F000000}"/>
    <hyperlink ref="C27:D27" location="FORMATO!L7" display="Periodicidad de reporte " xr:uid="{00000000-0004-0000-0100-000010000000}"/>
    <hyperlink ref="C28:D28" location="FORMATO!N7" display="Encargado de la consolidación" xr:uid="{00000000-0004-0000-0100-000011000000}"/>
    <hyperlink ref="C29:D29" location="FORMATO!O7" display="Unidad reportada" xr:uid="{00000000-0004-0000-0100-000012000000}"/>
    <hyperlink ref="C30:P30" location="FORMATO!P6" display="PROCESO DE REVISION Y SEGUIMIENTO" xr:uid="{00000000-0004-0000-0100-000013000000}"/>
    <hyperlink ref="C31:D31" location="FORMATO!P7" display="Verificación de los datos reportados" xr:uid="{00000000-0004-0000-0100-000014000000}"/>
    <hyperlink ref="C32:D32" location="FORMATO!Q7" display="Encargado de la revisión de la información y de las acciones correctivas" xr:uid="{00000000-0004-0000-0100-000015000000}"/>
    <hyperlink ref="C33:D33" location="FORMATO!R7" display="Acciones Correctivas" xr:uid="{00000000-0004-0000-0100-000016000000}"/>
    <hyperlink ref="C34:P34" location="FORMATO!T6" display="VERSIÓN" xr:uid="{00000000-0004-0000-0100-000017000000}"/>
    <hyperlink ref="C35:D35" location="FORMATO!S7" display="Fecha de actualización" xr:uid="{00000000-0004-0000-0100-000018000000}"/>
    <hyperlink ref="C18:D18" location="FORMATO!F7" display="Cobertura" xr:uid="{00000000-0004-0000-0100-000019000000}"/>
    <hyperlink ref="D38:E38" location="INICIO!A1" display="INICIO" xr:uid="{00000000-0004-0000-0100-00001A000000}"/>
    <hyperlink ref="F1" location="MENÚ!A1" display="MENÚ" xr:uid="{00000000-0004-0000-0100-00001B000000}"/>
    <hyperlink ref="F1:G1" location="INICIO!A1" display="INICIO" xr:uid="{00000000-0004-0000-0100-00001C000000}"/>
  </hyperlink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32"/>
  <sheetViews>
    <sheetView workbookViewId="0">
      <selection activeCell="A16" sqref="A16"/>
    </sheetView>
  </sheetViews>
  <sheetFormatPr baseColWidth="10" defaultColWidth="10.7265625" defaultRowHeight="14.5" x14ac:dyDescent="0.35"/>
  <cols>
    <col min="1" max="1" width="50.453125" bestFit="1" customWidth="1"/>
    <col min="2" max="2" width="23.1796875" bestFit="1" customWidth="1"/>
    <col min="3" max="3" width="22.26953125" bestFit="1" customWidth="1"/>
  </cols>
  <sheetData>
    <row r="1" spans="1:3" s="23" customFormat="1" x14ac:dyDescent="0.35">
      <c r="A1" s="23" t="s">
        <v>62</v>
      </c>
      <c r="B1" s="23" t="s">
        <v>63</v>
      </c>
      <c r="C1" s="23" t="s">
        <v>64</v>
      </c>
    </row>
    <row r="2" spans="1:3" x14ac:dyDescent="0.35">
      <c r="A2" t="s">
        <v>65</v>
      </c>
      <c r="B2" t="s">
        <v>66</v>
      </c>
      <c r="C2" t="s">
        <v>66</v>
      </c>
    </row>
    <row r="3" spans="1:3" ht="15.75" customHeight="1" x14ac:dyDescent="0.35">
      <c r="A3" t="s">
        <v>67</v>
      </c>
      <c r="B3" t="s">
        <v>68</v>
      </c>
      <c r="C3" t="s">
        <v>69</v>
      </c>
    </row>
    <row r="4" spans="1:3" x14ac:dyDescent="0.35">
      <c r="A4" t="s">
        <v>70</v>
      </c>
      <c r="B4" t="s">
        <v>71</v>
      </c>
      <c r="C4" t="s">
        <v>71</v>
      </c>
    </row>
    <row r="5" spans="1:3" x14ac:dyDescent="0.35">
      <c r="A5" s="22" t="s">
        <v>72</v>
      </c>
      <c r="B5" t="s">
        <v>73</v>
      </c>
      <c r="C5" t="s">
        <v>73</v>
      </c>
    </row>
    <row r="6" spans="1:3" x14ac:dyDescent="0.35">
      <c r="A6" t="s">
        <v>74</v>
      </c>
      <c r="B6" t="s">
        <v>75</v>
      </c>
      <c r="C6" t="s">
        <v>75</v>
      </c>
    </row>
    <row r="7" spans="1:3" x14ac:dyDescent="0.35">
      <c r="A7" s="22" t="s">
        <v>76</v>
      </c>
    </row>
    <row r="8" spans="1:3" x14ac:dyDescent="0.35">
      <c r="A8" t="s">
        <v>77</v>
      </c>
    </row>
    <row r="9" spans="1:3" x14ac:dyDescent="0.35">
      <c r="A9" s="22" t="s">
        <v>78</v>
      </c>
    </row>
    <row r="10" spans="1:3" ht="13.5" customHeight="1" x14ac:dyDescent="0.35">
      <c r="A10" s="22" t="s">
        <v>79</v>
      </c>
    </row>
    <row r="11" spans="1:3" x14ac:dyDescent="0.35">
      <c r="A11" t="s">
        <v>80</v>
      </c>
    </row>
    <row r="12" spans="1:3" x14ac:dyDescent="0.35">
      <c r="A12" t="s">
        <v>81</v>
      </c>
    </row>
    <row r="13" spans="1:3" x14ac:dyDescent="0.35">
      <c r="A13" t="s">
        <v>82</v>
      </c>
    </row>
    <row r="14" spans="1:3" x14ac:dyDescent="0.35">
      <c r="A14" s="22" t="s">
        <v>83</v>
      </c>
    </row>
    <row r="15" spans="1:3" x14ac:dyDescent="0.35">
      <c r="A15" s="22" t="s">
        <v>84</v>
      </c>
    </row>
    <row r="16" spans="1:3" x14ac:dyDescent="0.35">
      <c r="A16" t="s">
        <v>85</v>
      </c>
    </row>
    <row r="17" spans="1:1" x14ac:dyDescent="0.35">
      <c r="A17" s="22" t="s">
        <v>86</v>
      </c>
    </row>
    <row r="18" spans="1:1" x14ac:dyDescent="0.35">
      <c r="A18" s="22" t="s">
        <v>87</v>
      </c>
    </row>
    <row r="19" spans="1:1" x14ac:dyDescent="0.35">
      <c r="A19" t="s">
        <v>88</v>
      </c>
    </row>
    <row r="20" spans="1:1" x14ac:dyDescent="0.35">
      <c r="A20" t="s">
        <v>89</v>
      </c>
    </row>
    <row r="21" spans="1:1" x14ac:dyDescent="0.35">
      <c r="A21" t="s">
        <v>90</v>
      </c>
    </row>
    <row r="22" spans="1:1" x14ac:dyDescent="0.35">
      <c r="A22" s="22" t="s">
        <v>91</v>
      </c>
    </row>
    <row r="23" spans="1:1" x14ac:dyDescent="0.35">
      <c r="A23" t="s">
        <v>92</v>
      </c>
    </row>
    <row r="24" spans="1:1" x14ac:dyDescent="0.35">
      <c r="A24" t="s">
        <v>93</v>
      </c>
    </row>
    <row r="25" spans="1:1" x14ac:dyDescent="0.35">
      <c r="A25" t="s">
        <v>94</v>
      </c>
    </row>
    <row r="26" spans="1:1" x14ac:dyDescent="0.35">
      <c r="A26" t="s">
        <v>95</v>
      </c>
    </row>
    <row r="27" spans="1:1" x14ac:dyDescent="0.35">
      <c r="A27" t="s">
        <v>96</v>
      </c>
    </row>
    <row r="28" spans="1:1" x14ac:dyDescent="0.35">
      <c r="A28" t="s">
        <v>97</v>
      </c>
    </row>
    <row r="29" spans="1:1" x14ac:dyDescent="0.35">
      <c r="A29" s="22" t="s">
        <v>98</v>
      </c>
    </row>
    <row r="30" spans="1:1" x14ac:dyDescent="0.35">
      <c r="A30" t="s">
        <v>99</v>
      </c>
    </row>
    <row r="31" spans="1:1" x14ac:dyDescent="0.35">
      <c r="A31" t="s">
        <v>100</v>
      </c>
    </row>
    <row r="32" spans="1:1" x14ac:dyDescent="0.35">
      <c r="A32" t="s">
        <v>101</v>
      </c>
    </row>
  </sheetData>
  <sortState xmlns:xlrd2="http://schemas.microsoft.com/office/spreadsheetml/2017/richdata2" ref="A2:A32">
    <sortCondition ref="A2"/>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tint="-0.249977111117893"/>
  </sheetPr>
  <dimension ref="A1:T72"/>
  <sheetViews>
    <sheetView topLeftCell="A26" zoomScale="60" zoomScaleNormal="60" workbookViewId="0">
      <selection activeCell="C29" sqref="C29:D29"/>
    </sheetView>
  </sheetViews>
  <sheetFormatPr baseColWidth="10" defaultColWidth="0" defaultRowHeight="0" customHeight="1" zeroHeight="1" x14ac:dyDescent="0.35"/>
  <cols>
    <col min="1" max="1" width="2.26953125" style="1" customWidth="1"/>
    <col min="2" max="2" width="4.7265625" style="1" customWidth="1"/>
    <col min="3" max="15" width="11.453125" customWidth="1"/>
    <col min="16" max="16" width="11.453125" style="1" customWidth="1"/>
    <col min="17" max="17" width="3.7265625" style="1" customWidth="1"/>
    <col min="18" max="20" width="0" hidden="1" customWidth="1"/>
    <col min="21" max="16384" width="11.453125" hidden="1"/>
  </cols>
  <sheetData>
    <row r="1" spans="1:17" ht="19.5" customHeight="1" thickBot="1" x14ac:dyDescent="0.4">
      <c r="C1" s="1"/>
      <c r="D1" s="1"/>
      <c r="E1" s="1"/>
      <c r="F1" s="578" t="s">
        <v>0</v>
      </c>
      <c r="G1" s="579"/>
      <c r="H1" s="1"/>
      <c r="I1" s="1"/>
      <c r="J1" s="1"/>
      <c r="K1" s="1"/>
      <c r="L1" s="1"/>
      <c r="M1" s="1"/>
      <c r="N1" s="1"/>
      <c r="O1" s="1"/>
    </row>
    <row r="2" spans="1:17" ht="15.5" x14ac:dyDescent="0.35">
      <c r="D2" s="544" t="s">
        <v>102</v>
      </c>
      <c r="E2" s="544"/>
      <c r="F2" s="559" t="s">
        <v>2</v>
      </c>
      <c r="G2" s="560"/>
      <c r="H2" s="560"/>
      <c r="I2" s="560"/>
      <c r="J2" s="560"/>
      <c r="K2" s="560"/>
      <c r="L2" s="561"/>
      <c r="M2" s="12"/>
      <c r="N2" s="12"/>
      <c r="O2" s="1"/>
    </row>
    <row r="3" spans="1:17" ht="18.5" x14ac:dyDescent="0.35">
      <c r="C3" s="10"/>
      <c r="D3" s="544"/>
      <c r="E3" s="544"/>
      <c r="F3" s="562"/>
      <c r="G3" s="563"/>
      <c r="H3" s="563"/>
      <c r="I3" s="563"/>
      <c r="J3" s="563"/>
      <c r="K3" s="563"/>
      <c r="L3" s="564"/>
      <c r="M3" s="13"/>
      <c r="N3" s="13"/>
      <c r="O3" s="1"/>
    </row>
    <row r="4" spans="1:17" ht="14.5" x14ac:dyDescent="0.35">
      <c r="C4" s="1"/>
      <c r="D4" s="545"/>
      <c r="E4" s="545"/>
      <c r="F4" s="1"/>
      <c r="G4" s="1"/>
      <c r="H4" s="1"/>
      <c r="I4" s="1"/>
      <c r="J4" s="1"/>
      <c r="K4" s="1"/>
      <c r="L4" s="1"/>
      <c r="M4" s="26"/>
      <c r="N4" s="26"/>
      <c r="O4" s="1"/>
    </row>
    <row r="5" spans="1:17" ht="18.5" x14ac:dyDescent="0.35">
      <c r="D5" s="565" t="s">
        <v>103</v>
      </c>
      <c r="E5" s="566"/>
      <c r="F5" s="566"/>
      <c r="G5" s="567"/>
      <c r="H5" s="567"/>
      <c r="I5" s="567"/>
      <c r="J5" s="567"/>
      <c r="K5" s="567"/>
      <c r="L5" s="567"/>
      <c r="M5" s="567"/>
      <c r="N5" s="568"/>
    </row>
    <row r="6" spans="1:17" s="14" customFormat="1" ht="14.5" customHeight="1" thickBot="1" x14ac:dyDescent="0.4">
      <c r="A6" s="1"/>
      <c r="B6" s="1"/>
      <c r="C6" s="15"/>
      <c r="D6" s="15"/>
      <c r="E6" s="16"/>
      <c r="F6" s="16"/>
      <c r="G6" s="16"/>
      <c r="H6" s="16"/>
      <c r="I6" s="16"/>
      <c r="J6" s="16"/>
      <c r="K6" s="16"/>
      <c r="L6" s="16"/>
      <c r="M6" s="16"/>
      <c r="N6" s="16"/>
      <c r="O6" s="16"/>
      <c r="P6" s="1"/>
      <c r="Q6" s="1"/>
    </row>
    <row r="7" spans="1:17" s="14" customFormat="1" ht="51" customHeight="1" x14ac:dyDescent="0.35">
      <c r="A7" s="1"/>
      <c r="B7" s="1"/>
      <c r="C7" s="2"/>
      <c r="D7" s="539" t="s">
        <v>104</v>
      </c>
      <c r="E7" s="539"/>
      <c r="F7" s="539"/>
      <c r="G7" s="539"/>
      <c r="H7" s="539"/>
      <c r="I7" s="539"/>
      <c r="J7" s="539"/>
      <c r="K7" s="539"/>
      <c r="L7" s="539"/>
      <c r="M7" s="539"/>
      <c r="N7" s="539"/>
      <c r="O7" s="3"/>
      <c r="P7" s="1"/>
      <c r="Q7" s="1"/>
    </row>
    <row r="8" spans="1:17" ht="69.75" customHeight="1" x14ac:dyDescent="0.35">
      <c r="C8" s="24"/>
      <c r="D8" s="571"/>
      <c r="E8" s="571"/>
      <c r="F8" s="571"/>
      <c r="G8" s="571"/>
      <c r="H8" s="571"/>
      <c r="I8" s="571"/>
      <c r="J8" s="571"/>
      <c r="K8" s="571"/>
      <c r="L8" s="571"/>
      <c r="M8" s="571"/>
      <c r="N8" s="571"/>
      <c r="O8" s="25"/>
    </row>
    <row r="9" spans="1:17" ht="55.5" customHeight="1" x14ac:dyDescent="0.35">
      <c r="C9" s="4"/>
      <c r="D9" s="5"/>
      <c r="E9" s="5"/>
      <c r="F9" s="5"/>
      <c r="G9" s="5"/>
      <c r="H9" s="5"/>
      <c r="I9" s="5"/>
      <c r="J9" s="5"/>
      <c r="K9" s="5"/>
      <c r="L9" s="5"/>
      <c r="M9" s="5"/>
      <c r="N9" s="5"/>
      <c r="O9" s="6"/>
    </row>
    <row r="10" spans="1:17" ht="85.5" customHeight="1" x14ac:dyDescent="0.35">
      <c r="C10" s="4"/>
      <c r="D10" s="5"/>
      <c r="E10" s="5"/>
      <c r="F10" s="5"/>
      <c r="G10" s="5"/>
      <c r="H10" s="5"/>
      <c r="I10" s="5"/>
      <c r="J10" s="5"/>
      <c r="K10" s="5"/>
      <c r="L10" s="5"/>
      <c r="M10" s="5"/>
      <c r="N10" s="5"/>
      <c r="O10" s="6"/>
    </row>
    <row r="11" spans="1:17" ht="256.5" customHeight="1" thickBot="1" x14ac:dyDescent="0.4">
      <c r="C11" s="7"/>
      <c r="D11" s="8"/>
      <c r="E11" s="8"/>
      <c r="F11" s="8"/>
      <c r="G11" s="8"/>
      <c r="H11" s="8"/>
      <c r="I11" s="8"/>
      <c r="J11" s="8"/>
      <c r="K11" s="8"/>
      <c r="L11" s="8"/>
      <c r="M11" s="8"/>
      <c r="N11" s="8"/>
      <c r="O11" s="9"/>
    </row>
    <row r="12" spans="1:17" ht="59.25" customHeight="1" thickBot="1" x14ac:dyDescent="0.4">
      <c r="C12" s="2"/>
      <c r="D12" s="539" t="s">
        <v>105</v>
      </c>
      <c r="E12" s="539"/>
      <c r="F12" s="539"/>
      <c r="G12" s="539"/>
      <c r="H12" s="539"/>
      <c r="I12" s="539"/>
      <c r="J12" s="539"/>
      <c r="K12" s="539"/>
      <c r="L12" s="539"/>
      <c r="M12" s="539"/>
      <c r="N12" s="539"/>
      <c r="O12" s="3"/>
    </row>
    <row r="13" spans="1:17" s="14" customFormat="1" ht="16.5" customHeight="1" thickTop="1" thickBot="1" x14ac:dyDescent="0.4">
      <c r="A13" s="1"/>
      <c r="B13" s="1"/>
      <c r="C13" s="522" t="s">
        <v>106</v>
      </c>
      <c r="D13" s="523"/>
      <c r="E13" s="523"/>
      <c r="F13" s="523"/>
      <c r="G13" s="523"/>
      <c r="H13" s="523"/>
      <c r="I13" s="523"/>
      <c r="J13" s="523"/>
      <c r="K13" s="523"/>
      <c r="L13" s="523"/>
      <c r="M13" s="523"/>
      <c r="N13" s="523"/>
      <c r="O13" s="546"/>
      <c r="P13" s="1"/>
      <c r="Q13" s="1"/>
    </row>
    <row r="14" spans="1:17" s="14" customFormat="1" ht="279.75" customHeight="1" thickTop="1" thickBot="1" x14ac:dyDescent="0.4">
      <c r="A14" s="1"/>
      <c r="B14" s="1"/>
      <c r="C14" s="525" t="s">
        <v>107</v>
      </c>
      <c r="D14" s="526"/>
      <c r="E14" s="540" t="s">
        <v>108</v>
      </c>
      <c r="F14" s="541"/>
      <c r="G14" s="541"/>
      <c r="H14" s="541"/>
      <c r="I14" s="541"/>
      <c r="J14" s="542" t="s">
        <v>109</v>
      </c>
      <c r="K14" s="542"/>
      <c r="L14" s="542"/>
      <c r="M14" s="542"/>
      <c r="N14" s="542"/>
      <c r="O14" s="543"/>
      <c r="P14" s="1"/>
      <c r="Q14" s="1"/>
    </row>
    <row r="15" spans="1:17" s="14" customFormat="1" ht="16.5" customHeight="1" thickTop="1" thickBot="1" x14ac:dyDescent="0.4">
      <c r="A15" s="1"/>
      <c r="B15" s="1"/>
      <c r="C15" s="522" t="s">
        <v>110</v>
      </c>
      <c r="D15" s="523"/>
      <c r="E15" s="523"/>
      <c r="F15" s="523"/>
      <c r="G15" s="523"/>
      <c r="H15" s="523"/>
      <c r="I15" s="523"/>
      <c r="J15" s="523"/>
      <c r="K15" s="523"/>
      <c r="L15" s="523"/>
      <c r="M15" s="523"/>
      <c r="N15" s="523"/>
      <c r="O15" s="546"/>
      <c r="P15" s="1"/>
      <c r="Q15" s="1"/>
    </row>
    <row r="16" spans="1:17" ht="78.75" customHeight="1" thickTop="1" thickBot="1" x14ac:dyDescent="0.4">
      <c r="C16" s="525" t="s">
        <v>111</v>
      </c>
      <c r="D16" s="526"/>
      <c r="E16" s="527" t="s">
        <v>112</v>
      </c>
      <c r="F16" s="528"/>
      <c r="G16" s="528"/>
      <c r="H16" s="528"/>
      <c r="I16" s="528"/>
      <c r="J16" s="542" t="s">
        <v>113</v>
      </c>
      <c r="K16" s="542"/>
      <c r="L16" s="542"/>
      <c r="M16" s="542"/>
      <c r="N16" s="542"/>
      <c r="O16" s="543"/>
    </row>
    <row r="17" spans="1:17" ht="49.5" customHeight="1" thickTop="1" thickBot="1" x14ac:dyDescent="0.4">
      <c r="C17" s="525" t="s">
        <v>114</v>
      </c>
      <c r="D17" s="526"/>
      <c r="E17" s="527" t="s">
        <v>115</v>
      </c>
      <c r="F17" s="528"/>
      <c r="G17" s="528"/>
      <c r="H17" s="528"/>
      <c r="I17" s="528"/>
      <c r="J17" s="542" t="s">
        <v>116</v>
      </c>
      <c r="K17" s="542"/>
      <c r="L17" s="542"/>
      <c r="M17" s="542"/>
      <c r="N17" s="542"/>
      <c r="O17" s="543"/>
    </row>
    <row r="18" spans="1:17" s="14" customFormat="1" ht="16.5" customHeight="1" thickTop="1" thickBot="1" x14ac:dyDescent="0.4">
      <c r="A18" s="1"/>
      <c r="B18" s="1"/>
      <c r="C18" s="522" t="s">
        <v>117</v>
      </c>
      <c r="D18" s="523"/>
      <c r="E18" s="523"/>
      <c r="F18" s="523"/>
      <c r="G18" s="523"/>
      <c r="H18" s="523"/>
      <c r="I18" s="523"/>
      <c r="J18" s="523"/>
      <c r="K18" s="523"/>
      <c r="L18" s="523"/>
      <c r="M18" s="523"/>
      <c r="N18" s="523"/>
      <c r="O18" s="546"/>
      <c r="P18" s="1"/>
      <c r="Q18" s="1"/>
    </row>
    <row r="19" spans="1:17" ht="126" customHeight="1" thickTop="1" thickBot="1" x14ac:dyDescent="0.4">
      <c r="C19" s="525" t="s">
        <v>118</v>
      </c>
      <c r="D19" s="526"/>
      <c r="E19" s="527" t="s">
        <v>119</v>
      </c>
      <c r="F19" s="528"/>
      <c r="G19" s="528"/>
      <c r="H19" s="528"/>
      <c r="I19" s="528"/>
      <c r="J19" s="529" t="s">
        <v>120</v>
      </c>
      <c r="K19" s="529"/>
      <c r="L19" s="529"/>
      <c r="M19" s="529"/>
      <c r="N19" s="529"/>
      <c r="O19" s="530"/>
    </row>
    <row r="20" spans="1:17" ht="367.5" customHeight="1" thickTop="1" thickBot="1" x14ac:dyDescent="0.4">
      <c r="C20" s="525" t="s">
        <v>121</v>
      </c>
      <c r="D20" s="526"/>
      <c r="E20" s="527" t="s">
        <v>122</v>
      </c>
      <c r="F20" s="528"/>
      <c r="G20" s="528"/>
      <c r="H20" s="528"/>
      <c r="I20" s="528"/>
      <c r="J20" s="529" t="s">
        <v>123</v>
      </c>
      <c r="K20" s="529"/>
      <c r="L20" s="529"/>
      <c r="M20" s="529"/>
      <c r="N20" s="529"/>
      <c r="O20" s="530"/>
    </row>
    <row r="21" spans="1:17" ht="44.25" customHeight="1" thickTop="1" thickBot="1" x14ac:dyDescent="0.4">
      <c r="C21" s="525" t="s">
        <v>124</v>
      </c>
      <c r="D21" s="526"/>
      <c r="E21" s="527" t="s">
        <v>125</v>
      </c>
      <c r="F21" s="528"/>
      <c r="G21" s="528"/>
      <c r="H21" s="528"/>
      <c r="I21" s="528"/>
      <c r="J21" s="529" t="s">
        <v>126</v>
      </c>
      <c r="K21" s="529"/>
      <c r="L21" s="529"/>
      <c r="M21" s="529"/>
      <c r="N21" s="529"/>
      <c r="O21" s="530"/>
    </row>
    <row r="22" spans="1:17" ht="41.25" customHeight="1" thickTop="1" thickBot="1" x14ac:dyDescent="0.4">
      <c r="C22" s="525" t="s">
        <v>127</v>
      </c>
      <c r="D22" s="526"/>
      <c r="E22" s="527" t="s">
        <v>128</v>
      </c>
      <c r="F22" s="528"/>
      <c r="G22" s="528"/>
      <c r="H22" s="528"/>
      <c r="I22" s="528"/>
      <c r="J22" s="529" t="s">
        <v>126</v>
      </c>
      <c r="K22" s="529"/>
      <c r="L22" s="529"/>
      <c r="M22" s="529"/>
      <c r="N22" s="529"/>
      <c r="O22" s="530"/>
    </row>
    <row r="23" spans="1:17" ht="39" customHeight="1" thickTop="1" thickBot="1" x14ac:dyDescent="0.4">
      <c r="C23" s="525" t="s">
        <v>129</v>
      </c>
      <c r="D23" s="526"/>
      <c r="E23" s="527" t="s">
        <v>130</v>
      </c>
      <c r="F23" s="528"/>
      <c r="G23" s="528"/>
      <c r="H23" s="528"/>
      <c r="I23" s="528"/>
      <c r="J23" s="529" t="s">
        <v>126</v>
      </c>
      <c r="K23" s="529"/>
      <c r="L23" s="529"/>
      <c r="M23" s="529"/>
      <c r="N23" s="529"/>
      <c r="O23" s="530"/>
    </row>
    <row r="24" spans="1:17" ht="41.25" customHeight="1" thickTop="1" thickBot="1" x14ac:dyDescent="0.4">
      <c r="C24" s="525" t="s">
        <v>131</v>
      </c>
      <c r="D24" s="526"/>
      <c r="E24" s="527" t="s">
        <v>132</v>
      </c>
      <c r="F24" s="528"/>
      <c r="G24" s="528"/>
      <c r="H24" s="528"/>
      <c r="I24" s="528"/>
      <c r="J24" s="529" t="s">
        <v>126</v>
      </c>
      <c r="K24" s="529"/>
      <c r="L24" s="529"/>
      <c r="M24" s="529"/>
      <c r="N24" s="529"/>
      <c r="O24" s="530"/>
    </row>
    <row r="25" spans="1:17" ht="155.25" customHeight="1" thickTop="1" thickBot="1" x14ac:dyDescent="0.4">
      <c r="C25" s="525" t="s">
        <v>133</v>
      </c>
      <c r="D25" s="526"/>
      <c r="E25" s="527" t="s">
        <v>134</v>
      </c>
      <c r="F25" s="528"/>
      <c r="G25" s="528"/>
      <c r="H25" s="528"/>
      <c r="I25" s="528"/>
      <c r="J25" s="529" t="s">
        <v>135</v>
      </c>
      <c r="K25" s="529"/>
      <c r="L25" s="529"/>
      <c r="M25" s="529"/>
      <c r="N25" s="529"/>
      <c r="O25" s="530"/>
    </row>
    <row r="26" spans="1:17" ht="303" customHeight="1" thickTop="1" thickBot="1" x14ac:dyDescent="0.4">
      <c r="C26" s="525" t="s">
        <v>136</v>
      </c>
      <c r="D26" s="526"/>
      <c r="E26" s="527" t="s">
        <v>137</v>
      </c>
      <c r="F26" s="528"/>
      <c r="G26" s="528"/>
      <c r="H26" s="528"/>
      <c r="I26" s="528"/>
      <c r="J26" s="529" t="s">
        <v>138</v>
      </c>
      <c r="K26" s="529"/>
      <c r="L26" s="529"/>
      <c r="M26" s="529"/>
      <c r="N26" s="529"/>
      <c r="O26" s="530"/>
    </row>
    <row r="27" spans="1:17" s="14" customFormat="1" ht="16.5" customHeight="1" thickTop="1" thickBot="1" x14ac:dyDescent="0.4">
      <c r="A27" s="1"/>
      <c r="B27" s="1"/>
      <c r="C27" s="522" t="s">
        <v>139</v>
      </c>
      <c r="D27" s="523"/>
      <c r="E27" s="523"/>
      <c r="F27" s="523"/>
      <c r="G27" s="523"/>
      <c r="H27" s="523"/>
      <c r="I27" s="523"/>
      <c r="J27" s="523"/>
      <c r="K27" s="523"/>
      <c r="L27" s="523"/>
      <c r="M27" s="523"/>
      <c r="N27" s="523"/>
      <c r="O27" s="546"/>
      <c r="P27" s="1"/>
      <c r="Q27" s="1"/>
    </row>
    <row r="28" spans="1:17" ht="123.75" customHeight="1" thickTop="1" thickBot="1" x14ac:dyDescent="0.4">
      <c r="C28" s="525" t="s">
        <v>140</v>
      </c>
      <c r="D28" s="526"/>
      <c r="E28" s="527" t="s">
        <v>141</v>
      </c>
      <c r="F28" s="528"/>
      <c r="G28" s="528"/>
      <c r="H28" s="528"/>
      <c r="I28" s="528"/>
      <c r="J28" s="529" t="s">
        <v>142</v>
      </c>
      <c r="K28" s="529"/>
      <c r="L28" s="529"/>
      <c r="M28" s="529"/>
      <c r="N28" s="529"/>
      <c r="O28" s="530"/>
    </row>
    <row r="29" spans="1:17" ht="27" customHeight="1" thickTop="1" thickBot="1" x14ac:dyDescent="0.4">
      <c r="C29" s="525" t="s">
        <v>118</v>
      </c>
      <c r="D29" s="526"/>
      <c r="E29" s="527" t="s">
        <v>143</v>
      </c>
      <c r="F29" s="528"/>
      <c r="G29" s="528"/>
      <c r="H29" s="528"/>
      <c r="I29" s="528"/>
      <c r="J29" s="529" t="s">
        <v>126</v>
      </c>
      <c r="K29" s="529"/>
      <c r="L29" s="529"/>
      <c r="M29" s="529"/>
      <c r="N29" s="529"/>
      <c r="O29" s="530"/>
    </row>
    <row r="30" spans="1:17" ht="125.25" customHeight="1" thickTop="1" thickBot="1" x14ac:dyDescent="0.4">
      <c r="C30" s="525" t="s">
        <v>136</v>
      </c>
      <c r="D30" s="526"/>
      <c r="E30" s="527" t="s">
        <v>144</v>
      </c>
      <c r="F30" s="528"/>
      <c r="G30" s="528"/>
      <c r="H30" s="528"/>
      <c r="I30" s="528"/>
      <c r="J30" s="529" t="s">
        <v>145</v>
      </c>
      <c r="K30" s="529"/>
      <c r="L30" s="529"/>
      <c r="M30" s="529"/>
      <c r="N30" s="529"/>
      <c r="O30" s="530"/>
    </row>
    <row r="31" spans="1:17" s="14" customFormat="1" ht="16.5" customHeight="1" thickTop="1" thickBot="1" x14ac:dyDescent="0.4">
      <c r="A31" s="1"/>
      <c r="B31" s="1"/>
      <c r="C31" s="522" t="s">
        <v>146</v>
      </c>
      <c r="D31" s="523"/>
      <c r="E31" s="523"/>
      <c r="F31" s="523"/>
      <c r="G31" s="523"/>
      <c r="H31" s="523"/>
      <c r="I31" s="523"/>
      <c r="J31" s="523"/>
      <c r="K31" s="523"/>
      <c r="L31" s="523"/>
      <c r="M31" s="523"/>
      <c r="N31" s="523"/>
      <c r="O31" s="546"/>
      <c r="P31" s="1"/>
      <c r="Q31" s="1"/>
    </row>
    <row r="32" spans="1:17" ht="51" customHeight="1" thickTop="1" thickBot="1" x14ac:dyDescent="0.4">
      <c r="C32" s="525" t="s">
        <v>147</v>
      </c>
      <c r="D32" s="526"/>
      <c r="E32" s="527" t="s">
        <v>148</v>
      </c>
      <c r="F32" s="528"/>
      <c r="G32" s="528"/>
      <c r="H32" s="528"/>
      <c r="I32" s="528"/>
      <c r="J32" s="529" t="s">
        <v>126</v>
      </c>
      <c r="K32" s="529"/>
      <c r="L32" s="529"/>
      <c r="M32" s="529"/>
      <c r="N32" s="529"/>
      <c r="O32" s="530"/>
    </row>
    <row r="33" spans="1:17" s="14" customFormat="1" ht="16.5" customHeight="1" thickTop="1" thickBot="1" x14ac:dyDescent="0.4">
      <c r="A33" s="1"/>
      <c r="B33" s="1"/>
      <c r="C33" s="522" t="s">
        <v>149</v>
      </c>
      <c r="D33" s="523"/>
      <c r="E33" s="523"/>
      <c r="F33" s="523"/>
      <c r="G33" s="523"/>
      <c r="H33" s="523"/>
      <c r="I33" s="523"/>
      <c r="J33" s="523"/>
      <c r="K33" s="523"/>
      <c r="L33" s="523"/>
      <c r="M33" s="523"/>
      <c r="N33" s="523"/>
      <c r="O33" s="546"/>
      <c r="P33" s="1"/>
      <c r="Q33" s="1"/>
    </row>
    <row r="34" spans="1:17" ht="112.5" customHeight="1" thickTop="1" thickBot="1" x14ac:dyDescent="0.4">
      <c r="C34" s="555" t="s">
        <v>150</v>
      </c>
      <c r="D34" s="556"/>
      <c r="E34" s="527" t="s">
        <v>151</v>
      </c>
      <c r="F34" s="528"/>
      <c r="G34" s="528"/>
      <c r="H34" s="528"/>
      <c r="I34" s="528"/>
      <c r="J34" s="529" t="s">
        <v>152</v>
      </c>
      <c r="K34" s="529"/>
      <c r="L34" s="529"/>
      <c r="M34" s="529"/>
      <c r="N34" s="529"/>
      <c r="O34" s="530"/>
    </row>
    <row r="35" spans="1:17" ht="15.5" thickTop="1" thickBot="1" x14ac:dyDescent="0.4">
      <c r="C35" s="17"/>
      <c r="D35" s="17"/>
      <c r="E35" s="1"/>
      <c r="F35" s="1"/>
      <c r="G35" s="1"/>
      <c r="H35" s="1"/>
      <c r="I35" s="1"/>
      <c r="J35" s="1"/>
      <c r="K35" s="1"/>
      <c r="L35" s="1"/>
      <c r="M35" s="1"/>
      <c r="N35" s="1"/>
      <c r="O35" s="1"/>
    </row>
    <row r="36" spans="1:17" ht="15" thickBot="1" x14ac:dyDescent="0.4">
      <c r="C36" s="1"/>
      <c r="D36" s="531" t="s">
        <v>0</v>
      </c>
      <c r="E36" s="532"/>
      <c r="F36" s="1"/>
      <c r="G36" s="1"/>
      <c r="H36" s="1"/>
      <c r="I36" s="1"/>
      <c r="J36" s="1"/>
      <c r="K36" s="1"/>
      <c r="L36" s="1"/>
      <c r="M36" s="1"/>
      <c r="N36" s="1"/>
      <c r="O36" s="1"/>
    </row>
    <row r="37" spans="1:17" ht="14.5" x14ac:dyDescent="0.35">
      <c r="C37" s="1"/>
      <c r="D37" s="1"/>
      <c r="E37" s="1"/>
      <c r="F37" s="1"/>
      <c r="G37" s="1"/>
      <c r="H37" s="1"/>
      <c r="I37" s="1"/>
      <c r="J37" s="1"/>
      <c r="K37" s="1"/>
      <c r="L37" s="1"/>
      <c r="M37" s="1"/>
      <c r="N37" s="1"/>
      <c r="O37" s="1"/>
    </row>
    <row r="38" spans="1:17" ht="14.5" hidden="1" x14ac:dyDescent="0.35">
      <c r="C38" s="1"/>
      <c r="D38" s="1"/>
      <c r="E38" s="1"/>
      <c r="F38" s="1"/>
      <c r="G38" s="1"/>
      <c r="H38" s="1"/>
      <c r="I38" s="1"/>
      <c r="J38" s="1"/>
      <c r="K38" s="1"/>
      <c r="L38" s="1"/>
      <c r="M38" s="1"/>
      <c r="N38" s="1"/>
      <c r="O38" s="1"/>
    </row>
    <row r="39" spans="1:17" ht="14.5" hidden="1" x14ac:dyDescent="0.35">
      <c r="C39" s="1"/>
      <c r="D39" s="1"/>
      <c r="E39" s="1"/>
      <c r="F39" s="1"/>
      <c r="G39" s="1"/>
      <c r="H39" s="1"/>
      <c r="I39" s="1"/>
      <c r="J39" s="1"/>
      <c r="K39" s="1"/>
      <c r="L39" s="1"/>
      <c r="M39" s="1"/>
      <c r="N39" s="1"/>
      <c r="O39" s="1"/>
    </row>
    <row r="40" spans="1:17" ht="14.5" hidden="1" customHeight="1" x14ac:dyDescent="0.35"/>
    <row r="41" spans="1:17" ht="14.5" hidden="1" customHeight="1" x14ac:dyDescent="0.35"/>
    <row r="42" spans="1:17" ht="14.5" hidden="1" customHeight="1" x14ac:dyDescent="0.35"/>
    <row r="43" spans="1:17" ht="14.5" hidden="1" customHeight="1" x14ac:dyDescent="0.35"/>
    <row r="44" spans="1:17" ht="14.5" hidden="1" customHeight="1" x14ac:dyDescent="0.35"/>
    <row r="45" spans="1:17" ht="14.5" hidden="1" customHeight="1" x14ac:dyDescent="0.35"/>
    <row r="46" spans="1:17" ht="14.5" hidden="1" customHeight="1" x14ac:dyDescent="0.35"/>
    <row r="47" spans="1:17" ht="14.5" hidden="1" customHeight="1" x14ac:dyDescent="0.35"/>
    <row r="48" spans="1:17" ht="14.5" hidden="1" customHeight="1" x14ac:dyDescent="0.35"/>
    <row r="49" ht="14.5" hidden="1" customHeight="1" x14ac:dyDescent="0.35"/>
    <row r="50" ht="14.5" hidden="1" customHeight="1" x14ac:dyDescent="0.35"/>
    <row r="51" ht="14.5" hidden="1" customHeight="1" x14ac:dyDescent="0.35"/>
    <row r="52" ht="14.5" hidden="1" customHeight="1" x14ac:dyDescent="0.35"/>
    <row r="53" ht="14.5" hidden="1" customHeight="1" x14ac:dyDescent="0.35"/>
    <row r="54" ht="14.5" hidden="1" customHeight="1" x14ac:dyDescent="0.35"/>
    <row r="55" ht="14.5" hidden="1" customHeight="1" x14ac:dyDescent="0.35"/>
    <row r="56" ht="14.5" hidden="1" customHeight="1" x14ac:dyDescent="0.35"/>
    <row r="57" ht="14.5" hidden="1" customHeight="1" x14ac:dyDescent="0.35"/>
    <row r="58" ht="14.5" hidden="1" customHeight="1" x14ac:dyDescent="0.35"/>
    <row r="59" ht="14.5" hidden="1" customHeight="1" x14ac:dyDescent="0.35"/>
    <row r="60" ht="14.5" hidden="1" customHeight="1" x14ac:dyDescent="0.35"/>
    <row r="61" ht="14.5" hidden="1" customHeight="1" x14ac:dyDescent="0.35"/>
    <row r="62" ht="14.5" hidden="1" customHeight="1" x14ac:dyDescent="0.35"/>
    <row r="63" ht="14.5" hidden="1" customHeight="1" x14ac:dyDescent="0.35"/>
    <row r="64" ht="14.5" hidden="1" customHeight="1" x14ac:dyDescent="0.35"/>
    <row r="65" ht="14.5" hidden="1" customHeight="1" x14ac:dyDescent="0.35"/>
    <row r="66" ht="14.5" hidden="1" customHeight="1" x14ac:dyDescent="0.35"/>
    <row r="67" ht="14.5" hidden="1" customHeight="1" x14ac:dyDescent="0.35"/>
    <row r="68" ht="14.5" hidden="1" customHeight="1" x14ac:dyDescent="0.35"/>
    <row r="69" ht="14.5" hidden="1" customHeight="1" x14ac:dyDescent="0.35"/>
    <row r="70" ht="14.5" hidden="1" customHeight="1" x14ac:dyDescent="0.35"/>
    <row r="71" ht="14.5" hidden="1" customHeight="1" x14ac:dyDescent="0.35"/>
    <row r="72" ht="14.5" hidden="1" customHeight="1" x14ac:dyDescent="0.35"/>
  </sheetData>
  <sheetProtection sheet="1" objects="1" scenarios="1"/>
  <mergeCells count="62">
    <mergeCell ref="C15:O15"/>
    <mergeCell ref="D5:N5"/>
    <mergeCell ref="D7:N7"/>
    <mergeCell ref="D8:N8"/>
    <mergeCell ref="D2:E4"/>
    <mergeCell ref="F2:L3"/>
    <mergeCell ref="D12:N12"/>
    <mergeCell ref="C13:O13"/>
    <mergeCell ref="C14:D14"/>
    <mergeCell ref="E14:I14"/>
    <mergeCell ref="J14:O14"/>
    <mergeCell ref="C16:D16"/>
    <mergeCell ref="E16:I16"/>
    <mergeCell ref="J16:O16"/>
    <mergeCell ref="C17:D17"/>
    <mergeCell ref="E17:I17"/>
    <mergeCell ref="J17:O17"/>
    <mergeCell ref="C18:O18"/>
    <mergeCell ref="C19:D19"/>
    <mergeCell ref="E19:I19"/>
    <mergeCell ref="J19:O19"/>
    <mergeCell ref="C20:D20"/>
    <mergeCell ref="E20:I20"/>
    <mergeCell ref="J20:O20"/>
    <mergeCell ref="J24:O24"/>
    <mergeCell ref="C21:D21"/>
    <mergeCell ref="E21:I21"/>
    <mergeCell ref="J21:O21"/>
    <mergeCell ref="C22:D22"/>
    <mergeCell ref="E22:I22"/>
    <mergeCell ref="J22:O22"/>
    <mergeCell ref="C32:D32"/>
    <mergeCell ref="E32:I32"/>
    <mergeCell ref="J32:O32"/>
    <mergeCell ref="C27:O27"/>
    <mergeCell ref="C28:D28"/>
    <mergeCell ref="E28:I28"/>
    <mergeCell ref="J28:O28"/>
    <mergeCell ref="C29:D29"/>
    <mergeCell ref="E29:I29"/>
    <mergeCell ref="J29:O29"/>
    <mergeCell ref="F1:G1"/>
    <mergeCell ref="C30:D30"/>
    <mergeCell ref="E30:I30"/>
    <mergeCell ref="J30:O30"/>
    <mergeCell ref="C31:O31"/>
    <mergeCell ref="C25:D25"/>
    <mergeCell ref="E25:I25"/>
    <mergeCell ref="J25:O25"/>
    <mergeCell ref="C26:D26"/>
    <mergeCell ref="E26:I26"/>
    <mergeCell ref="J26:O26"/>
    <mergeCell ref="C23:D23"/>
    <mergeCell ref="E23:I23"/>
    <mergeCell ref="J23:O23"/>
    <mergeCell ref="C24:D24"/>
    <mergeCell ref="E24:I24"/>
    <mergeCell ref="C33:O33"/>
    <mergeCell ref="C34:D34"/>
    <mergeCell ref="E34:I34"/>
    <mergeCell ref="J34:O34"/>
    <mergeCell ref="D36:E36"/>
  </mergeCells>
  <hyperlinks>
    <hyperlink ref="D36" location="MENÚ!A1" display="MENÚ" xr:uid="{00000000-0004-0000-0400-000000000000}"/>
    <hyperlink ref="D36:E36" location="INICIO!A1" display="INICIO" xr:uid="{00000000-0004-0000-0400-000001000000}"/>
    <hyperlink ref="C14:D14" location="'HC CORPORATIVA-INCERTIDUMBRE'!B5" display="Datos Generales" xr:uid="{00000000-0004-0000-0400-000002000000}"/>
    <hyperlink ref="C16:D16" location="'HC CORPORATIVA-INCERTIDUMBRE'!B14" display="Fuente de Emision " xr:uid="{00000000-0004-0000-0400-000003000000}"/>
    <hyperlink ref="C17:D17" location="'HC CORPORATIVA-INCERTIDUMBRE'!C15" display="Carga ambiental" xr:uid="{00000000-0004-0000-0400-000004000000}"/>
    <hyperlink ref="C19:D19" location="'HC CORPORATIVA-INCERTIDUMBRE'!E15" display="Unidad" xr:uid="{00000000-0004-0000-0400-000005000000}"/>
    <hyperlink ref="C20:D20" location="'HC CORPORATIVA-INCERTIDUMBRE'!F15" display="Dato 1 al 12" xr:uid="{00000000-0004-0000-0400-000006000000}"/>
    <hyperlink ref="C21:D21" location="'HC CORPORATIVA-INCERTIDUMBRE'!R15" display="Total" xr:uid="{00000000-0004-0000-0400-000007000000}"/>
    <hyperlink ref="C22:D22" location="'HC CORPORATIVA-INCERTIDUMBRE'!S15" display="No. Datos" xr:uid="{00000000-0004-0000-0400-000008000000}"/>
    <hyperlink ref="C23:D23" location="'HC CORPORATIVA-INCERTIDUMBRE'!T15" display="Promedio" xr:uid="{00000000-0004-0000-0400-000009000000}"/>
    <hyperlink ref="C24:D24" location="'HC CORPORATIVA-INCERTIDUMBRE'!U15" display="Desviación Estandar" xr:uid="{00000000-0004-0000-0400-00000A000000}"/>
    <hyperlink ref="C25:D25" location="'HC CORPORATIVA-INCERTIDUMBRE'!V15" display="Factor T" xr:uid="{00000000-0004-0000-0400-00000B000000}"/>
    <hyperlink ref="C26:D26" location="'HC CORPORATIVA-INCERTIDUMBRE'!W15" display="Incertidumbre" xr:uid="{00000000-0004-0000-0400-00000C000000}"/>
    <hyperlink ref="C28:D28" location="'HC CORPORATIVA-INCERTIDUMBRE'!X15" display="Cantidad" xr:uid="{00000000-0004-0000-0400-00000D000000}"/>
    <hyperlink ref="C29:D29" location="'HC CORPORATIVA-INCERTIDUMBRE'!Y15" display="Unidad" xr:uid="{00000000-0004-0000-0400-00000E000000}"/>
    <hyperlink ref="C30:D30" location="'HC CORPORATIVA-INCERTIDUMBRE'!Z15" display="Incertidumbre" xr:uid="{00000000-0004-0000-0400-00000F000000}"/>
    <hyperlink ref="C32:D32" location="'HC CORPORATIVA-INCERTIDUMBRE'!AA15" display="Huella de Carbono  " xr:uid="{00000000-0004-0000-0400-000010000000}"/>
    <hyperlink ref="C34:D34" location="'HC CORPORATIVA-INCERTIDUMBRE'!AB15" display="Incertidumbre de la fuente " xr:uid="{00000000-0004-0000-0400-000011000000}"/>
    <hyperlink ref="F1" location="MENÚ!A1" display="MENÚ" xr:uid="{00000000-0004-0000-0400-000012000000}"/>
    <hyperlink ref="F1:G1" location="INICIO!A1" display="INICIO" xr:uid="{00000000-0004-0000-0400-000013000000}"/>
  </hyperlink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3" tint="0.39997558519241921"/>
  </sheetPr>
  <dimension ref="A2:EC492"/>
  <sheetViews>
    <sheetView tabSelected="1" zoomScale="94" zoomScaleNormal="80" zoomScaleSheetLayoutView="80" workbookViewId="0">
      <selection activeCell="A6" sqref="A6"/>
    </sheetView>
  </sheetViews>
  <sheetFormatPr baseColWidth="10" defaultColWidth="11.453125" defaultRowHeight="13.5" x14ac:dyDescent="0.25"/>
  <cols>
    <col min="1" max="1" width="5.453125" style="30" customWidth="1"/>
    <col min="2" max="2" width="46.1796875" style="30" customWidth="1"/>
    <col min="3" max="3" width="69.7265625" style="30" bestFit="1" customWidth="1"/>
    <col min="4" max="4" width="12.26953125" style="30" bestFit="1" customWidth="1"/>
    <col min="5" max="11" width="12.90625" style="30" bestFit="1" customWidth="1"/>
    <col min="12" max="14" width="11.08984375" style="30" bestFit="1" customWidth="1"/>
    <col min="15" max="15" width="39.7265625" style="30" bestFit="1" customWidth="1"/>
    <col min="16" max="16" width="11.08984375" style="30" bestFit="1" customWidth="1"/>
    <col min="17" max="17" width="15.1796875" style="30" bestFit="1" customWidth="1"/>
    <col min="18" max="18" width="7.7265625" style="30" bestFit="1" customWidth="1"/>
    <col min="19" max="19" width="14.1796875" style="30" customWidth="1"/>
    <col min="20" max="20" width="19" style="30" bestFit="1" customWidth="1"/>
    <col min="21" max="21" width="25.1796875" style="30" bestFit="1" customWidth="1"/>
    <col min="22" max="22" width="16.26953125" style="30" bestFit="1" customWidth="1"/>
    <col min="23" max="23" width="18" style="30" customWidth="1"/>
    <col min="24" max="24" width="19.26953125" style="30" customWidth="1"/>
    <col min="25" max="25" width="24.453125" style="30" customWidth="1"/>
    <col min="26" max="26" width="22" style="32" bestFit="1" customWidth="1"/>
    <col min="27" max="27" width="30" style="32" bestFit="1" customWidth="1"/>
    <col min="28" max="28" width="29.1796875" style="30" customWidth="1"/>
    <col min="29" max="29" width="23.453125" style="32" customWidth="1"/>
    <col min="30" max="30" width="21" style="33" customWidth="1"/>
    <col min="31" max="31" width="22.7265625" style="30" customWidth="1"/>
    <col min="32" max="32" width="24.7265625" style="30" bestFit="1" customWidth="1"/>
    <col min="33" max="33" width="23.453125" style="34" bestFit="1" customWidth="1"/>
    <col min="34" max="34" width="27" style="34" customWidth="1"/>
    <col min="35" max="35" width="26.1796875" style="30" customWidth="1"/>
    <col min="36" max="36" width="12.26953125" style="32" bestFit="1" customWidth="1"/>
    <col min="37" max="37" width="22.26953125" style="30" customWidth="1"/>
    <col min="38" max="38" width="18.1796875" style="30" customWidth="1"/>
    <col min="39" max="39" width="28" style="30" customWidth="1"/>
    <col min="40" max="40" width="12.26953125" style="30" bestFit="1" customWidth="1"/>
    <col min="41" max="41" width="15.26953125" style="30" bestFit="1" customWidth="1"/>
    <col min="42" max="42" width="19" style="30" bestFit="1" customWidth="1"/>
    <col min="43" max="43" width="10.1796875" style="32" bestFit="1" customWidth="1"/>
    <col min="44" max="44" width="18" style="30" customWidth="1"/>
    <col min="45" max="45" width="21.1796875" style="30" customWidth="1"/>
    <col min="46" max="46" width="23.81640625" style="30" customWidth="1"/>
    <col min="47" max="47" width="24" style="32" customWidth="1"/>
    <col min="48" max="48" width="25.26953125" style="30" customWidth="1"/>
    <col min="49" max="49" width="18" style="32" customWidth="1"/>
    <col min="50" max="51" width="13.81640625" style="30" customWidth="1"/>
    <col min="52" max="52" width="23" style="30" customWidth="1"/>
    <col min="53" max="53" width="16.26953125" style="32" customWidth="1"/>
    <col min="54" max="54" width="26.1796875" style="32" customWidth="1"/>
    <col min="55" max="55" width="21.1796875" style="30" customWidth="1"/>
    <col min="56" max="56" width="14.1796875" style="32" customWidth="1"/>
    <col min="57" max="57" width="35.1796875" style="30" customWidth="1"/>
    <col min="58" max="58" width="30" style="30" bestFit="1" customWidth="1"/>
    <col min="59" max="59" width="18.7265625" style="235" customWidth="1"/>
    <col min="60" max="60" width="75" style="36" bestFit="1" customWidth="1"/>
    <col min="61" max="61" width="18.453125" style="37" bestFit="1" customWidth="1"/>
    <col min="62" max="62" width="39.453125" style="37" bestFit="1" customWidth="1"/>
    <col min="63" max="63" width="21.7265625" style="37" customWidth="1"/>
    <col min="64" max="65" width="22.81640625" style="38" bestFit="1" customWidth="1"/>
    <col min="66" max="66" width="80.26953125" style="38" customWidth="1"/>
    <col min="67" max="67" width="39.7265625" style="37" bestFit="1" customWidth="1"/>
    <col min="68" max="68" width="36.453125" style="37" bestFit="1" customWidth="1"/>
    <col min="69" max="71" width="22.81640625" style="37" bestFit="1" customWidth="1"/>
    <col min="72" max="72" width="20.81640625" style="37" bestFit="1" customWidth="1"/>
    <col min="73" max="73" width="10.1796875" style="37" bestFit="1" customWidth="1"/>
    <col min="74" max="74" width="18.26953125" style="37" bestFit="1" customWidth="1"/>
    <col min="75" max="75" width="11.7265625" style="37" customWidth="1"/>
    <col min="76" max="76" width="12.81640625" style="37" bestFit="1" customWidth="1"/>
    <col min="77" max="77" width="18.26953125" style="37" bestFit="1" customWidth="1"/>
    <col min="78" max="78" width="13.26953125" style="37" bestFit="1" customWidth="1"/>
    <col min="79" max="79" width="10" style="39" bestFit="1" customWidth="1"/>
    <col min="80" max="80" width="11.26953125" style="37" bestFit="1" customWidth="1"/>
    <col min="81" max="81" width="11.7265625" style="37" bestFit="1" customWidth="1"/>
    <col min="82" max="83" width="11.26953125" style="39" bestFit="1" customWidth="1"/>
    <col min="84" max="84" width="13.26953125" style="39" bestFit="1" customWidth="1"/>
    <col min="85" max="85" width="10.1796875" style="39" bestFit="1" customWidth="1"/>
    <col min="86" max="86" width="11.26953125" style="37" bestFit="1" customWidth="1"/>
    <col min="87" max="87" width="11.7265625" style="37" customWidth="1"/>
    <col min="88" max="89" width="11.26953125" style="39" bestFit="1" customWidth="1"/>
    <col min="90" max="90" width="13.26953125" style="39" bestFit="1" customWidth="1"/>
    <col min="91" max="91" width="3.26953125" style="40" bestFit="1" customWidth="1"/>
    <col min="92" max="92" width="36.81640625" style="41" bestFit="1" customWidth="1"/>
    <col min="93" max="93" width="22.26953125" style="41" bestFit="1" customWidth="1"/>
    <col min="94" max="98" width="11.7265625" style="42" customWidth="1"/>
    <col min="99" max="99" width="11.453125" style="42" customWidth="1"/>
    <col min="100" max="100" width="24" style="42" bestFit="1" customWidth="1"/>
    <col min="101" max="101" width="69.453125" style="42" bestFit="1" customWidth="1"/>
    <col min="102" max="102" width="9.81640625" style="42" bestFit="1" customWidth="1"/>
    <col min="103" max="103" width="21.26953125" style="42" bestFit="1" customWidth="1"/>
    <col min="104" max="104" width="18.7265625" style="42" bestFit="1" customWidth="1"/>
    <col min="105" max="105" width="18.26953125" style="42" bestFit="1" customWidth="1"/>
    <col min="106" max="106" width="31.26953125" style="42" bestFit="1" customWidth="1"/>
    <col min="107" max="107" width="37.453125" style="42" bestFit="1" customWidth="1"/>
    <col min="108" max="108" width="10.81640625" style="42" bestFit="1" customWidth="1"/>
    <col min="109" max="109" width="10.26953125" style="42" bestFit="1" customWidth="1"/>
    <col min="110" max="110" width="8.7265625" style="42" bestFit="1" customWidth="1"/>
    <col min="111" max="111" width="13.1796875" style="42" bestFit="1" customWidth="1"/>
    <col min="112" max="112" width="9" style="42" bestFit="1" customWidth="1"/>
    <col min="113" max="114" width="11.26953125" style="42" bestFit="1" customWidth="1"/>
    <col min="115" max="115" width="18.7265625" style="42" bestFit="1" customWidth="1"/>
    <col min="116" max="125" width="11.453125" style="42"/>
    <col min="126" max="133" width="11.453125" style="43"/>
    <col min="134" max="16384" width="11.453125" style="30"/>
  </cols>
  <sheetData>
    <row r="2" spans="1:133" ht="55" customHeight="1" x14ac:dyDescent="0.3">
      <c r="B2" s="224"/>
      <c r="C2" s="597" t="s">
        <v>153</v>
      </c>
      <c r="D2" s="597"/>
      <c r="E2" s="597"/>
      <c r="F2" s="597"/>
      <c r="G2" s="597"/>
      <c r="H2" s="597"/>
      <c r="I2" s="597"/>
      <c r="J2" s="597"/>
      <c r="K2" s="597"/>
      <c r="L2" s="597"/>
      <c r="M2" s="597"/>
      <c r="N2" s="597"/>
      <c r="O2" s="597"/>
      <c r="P2" s="597"/>
      <c r="Q2" s="597"/>
      <c r="R2" s="597"/>
      <c r="S2" s="597"/>
      <c r="T2" s="597"/>
      <c r="U2" s="597"/>
      <c r="V2" s="598"/>
      <c r="W2" s="225"/>
      <c r="X2" s="163"/>
      <c r="Y2" s="52"/>
      <c r="Z2" s="226"/>
      <c r="AA2" s="226"/>
      <c r="AB2" s="52"/>
      <c r="AC2" s="226"/>
      <c r="AD2" s="227"/>
      <c r="AE2" s="163"/>
      <c r="AF2" s="52"/>
      <c r="AG2" s="422"/>
      <c r="AH2" s="422"/>
      <c r="AI2" s="52"/>
      <c r="AJ2" s="226"/>
      <c r="AK2" s="225"/>
      <c r="AL2" s="163"/>
      <c r="AM2" s="52"/>
      <c r="AN2" s="52"/>
      <c r="AO2" s="52"/>
      <c r="AP2" s="52"/>
      <c r="AQ2" s="226"/>
      <c r="AR2" s="225"/>
      <c r="AS2" s="163"/>
      <c r="AT2" s="52"/>
      <c r="AU2" s="226"/>
      <c r="AV2" s="52"/>
      <c r="AW2" s="226"/>
      <c r="AX2" s="225"/>
      <c r="AY2" s="163"/>
      <c r="AZ2" s="52"/>
      <c r="BA2" s="226"/>
      <c r="BB2" s="226"/>
      <c r="BC2" s="52"/>
      <c r="BD2" s="226"/>
      <c r="BE2" s="423"/>
      <c r="BF2" s="424"/>
    </row>
    <row r="3" spans="1:133" ht="55" customHeight="1" x14ac:dyDescent="0.25">
      <c r="B3" s="228"/>
      <c r="C3" s="597"/>
      <c r="D3" s="597"/>
      <c r="E3" s="597"/>
      <c r="F3" s="597"/>
      <c r="G3" s="597"/>
      <c r="H3" s="597"/>
      <c r="I3" s="597"/>
      <c r="J3" s="597"/>
      <c r="K3" s="597"/>
      <c r="L3" s="597"/>
      <c r="M3" s="597"/>
      <c r="N3" s="597"/>
      <c r="O3" s="597"/>
      <c r="P3" s="597"/>
      <c r="Q3" s="597"/>
      <c r="R3" s="597"/>
      <c r="S3" s="597"/>
      <c r="T3" s="597"/>
      <c r="U3" s="597"/>
      <c r="V3" s="598"/>
      <c r="W3" s="225"/>
      <c r="X3" s="163"/>
      <c r="Y3" s="52"/>
      <c r="Z3" s="226"/>
      <c r="AA3" s="226"/>
      <c r="AB3" s="52"/>
      <c r="AC3" s="226"/>
      <c r="AD3" s="227"/>
      <c r="AE3" s="163"/>
      <c r="AF3" s="52"/>
      <c r="AG3" s="422"/>
      <c r="AH3" s="422"/>
      <c r="AI3" s="52"/>
      <c r="AJ3" s="226"/>
      <c r="AK3" s="225"/>
      <c r="AL3" s="163"/>
      <c r="AM3" s="52"/>
      <c r="AN3" s="52"/>
      <c r="AO3" s="52"/>
      <c r="AP3" s="52"/>
      <c r="AQ3" s="226"/>
      <c r="AR3" s="225"/>
      <c r="AS3" s="163"/>
      <c r="AT3" s="52"/>
      <c r="AU3" s="226"/>
      <c r="AV3" s="52"/>
      <c r="AW3" s="226"/>
      <c r="AX3" s="225"/>
      <c r="AY3" s="163"/>
      <c r="AZ3" s="52"/>
      <c r="BA3" s="226"/>
      <c r="BB3" s="226"/>
      <c r="BC3" s="52"/>
      <c r="BD3" s="226"/>
      <c r="BE3" s="51"/>
      <c r="BF3" s="52"/>
    </row>
    <row r="4" spans="1:133" s="44" customFormat="1" ht="14" x14ac:dyDescent="0.25">
      <c r="A4" s="30"/>
      <c r="B4" s="163"/>
      <c r="C4" s="425"/>
      <c r="E4" s="45"/>
      <c r="F4" s="45"/>
      <c r="G4" s="45"/>
      <c r="H4" s="45"/>
      <c r="I4" s="45"/>
      <c r="J4" s="45"/>
      <c r="K4" s="45"/>
      <c r="L4" s="45"/>
      <c r="M4" s="45"/>
      <c r="N4" s="45"/>
      <c r="O4" s="45"/>
      <c r="P4" s="45"/>
      <c r="Q4" s="45"/>
      <c r="R4" s="46"/>
      <c r="S4" s="45"/>
      <c r="T4" s="45"/>
      <c r="U4" s="45"/>
      <c r="V4" s="47"/>
      <c r="Y4" s="47"/>
      <c r="Z4" s="48"/>
      <c r="AA4" s="48"/>
      <c r="AB4" s="47"/>
      <c r="AC4" s="48"/>
      <c r="AD4" s="49"/>
      <c r="AF4" s="47"/>
      <c r="AG4" s="50"/>
      <c r="AH4" s="50"/>
      <c r="AI4" s="47"/>
      <c r="AJ4" s="48"/>
      <c r="AM4" s="47"/>
      <c r="AN4" s="47"/>
      <c r="AO4" s="47"/>
      <c r="AP4" s="47"/>
      <c r="AQ4" s="48"/>
      <c r="AT4" s="47"/>
      <c r="AU4" s="48"/>
      <c r="AV4" s="47"/>
      <c r="AW4" s="48"/>
      <c r="AZ4" s="47"/>
      <c r="BA4" s="48"/>
      <c r="BB4" s="48"/>
      <c r="BC4" s="47"/>
      <c r="BD4" s="48"/>
      <c r="BE4" s="51"/>
      <c r="BF4" s="52"/>
      <c r="BG4" s="235"/>
      <c r="BH4" s="53"/>
      <c r="BI4" s="54"/>
      <c r="BJ4" s="54"/>
      <c r="BK4" s="54"/>
      <c r="BL4" s="55"/>
      <c r="BM4" s="55"/>
      <c r="BN4" s="55"/>
      <c r="BO4" s="54"/>
      <c r="BP4" s="54"/>
      <c r="BQ4" s="54"/>
      <c r="BR4" s="54"/>
      <c r="BS4" s="54"/>
      <c r="BT4" s="54"/>
      <c r="BU4" s="54"/>
      <c r="BV4" s="54"/>
      <c r="BW4" s="54"/>
      <c r="BX4" s="54"/>
      <c r="BY4" s="54"/>
      <c r="BZ4" s="54"/>
      <c r="CA4" s="56"/>
      <c r="CB4" s="54"/>
      <c r="CC4" s="54"/>
      <c r="CD4" s="56"/>
      <c r="CE4" s="56"/>
      <c r="CF4" s="56"/>
      <c r="CG4" s="56"/>
      <c r="CH4" s="54"/>
      <c r="CI4" s="54"/>
      <c r="CJ4" s="56"/>
      <c r="CK4" s="56"/>
      <c r="CL4" s="56"/>
      <c r="CM4" s="57"/>
      <c r="CN4" s="58"/>
      <c r="CO4" s="58"/>
      <c r="CP4" s="35"/>
      <c r="CQ4" s="35"/>
      <c r="CR4" s="35"/>
      <c r="CS4" s="35"/>
      <c r="CT4" s="35"/>
      <c r="CU4" s="35"/>
      <c r="CV4" s="35"/>
      <c r="CW4" s="35"/>
      <c r="CX4" s="35"/>
      <c r="CY4" s="35"/>
      <c r="CZ4" s="35"/>
      <c r="DA4" s="35"/>
      <c r="DB4" s="35"/>
      <c r="DC4" s="35"/>
      <c r="DD4" s="35"/>
      <c r="DE4" s="35"/>
      <c r="DF4" s="35"/>
      <c r="DG4" s="35"/>
      <c r="DH4" s="35"/>
      <c r="DI4" s="35"/>
      <c r="DJ4" s="35"/>
      <c r="DK4" s="35"/>
      <c r="DL4" s="35"/>
      <c r="DM4" s="35"/>
      <c r="DN4" s="35"/>
      <c r="DO4" s="35"/>
      <c r="DP4" s="35"/>
      <c r="DQ4" s="35"/>
      <c r="DR4" s="35"/>
      <c r="DS4" s="35"/>
      <c r="DT4" s="35"/>
      <c r="DU4" s="35"/>
      <c r="DV4" s="59"/>
      <c r="DW4" s="59"/>
      <c r="DX4" s="59"/>
      <c r="DY4" s="59"/>
      <c r="DZ4" s="59"/>
      <c r="EA4" s="59"/>
      <c r="EB4" s="59"/>
      <c r="EC4" s="59"/>
    </row>
    <row r="5" spans="1:133" ht="18.75" customHeight="1" x14ac:dyDescent="0.25">
      <c r="B5" s="596" t="s">
        <v>154</v>
      </c>
      <c r="C5" s="596"/>
      <c r="D5" s="596"/>
      <c r="E5" s="596"/>
      <c r="F5" s="596"/>
      <c r="G5" s="596"/>
      <c r="H5" s="60"/>
      <c r="I5" s="60"/>
      <c r="J5" s="60"/>
      <c r="K5" s="60"/>
      <c r="N5" s="60"/>
      <c r="O5" s="60"/>
      <c r="P5" s="60"/>
      <c r="Q5" s="60"/>
      <c r="R5" s="60"/>
      <c r="S5" s="60"/>
      <c r="T5" s="60"/>
      <c r="U5" s="60"/>
      <c r="V5" s="60"/>
      <c r="W5" s="60"/>
      <c r="X5" s="60"/>
      <c r="Y5" s="60"/>
      <c r="Z5" s="60"/>
      <c r="AA5" s="60"/>
      <c r="AB5" s="60"/>
      <c r="AC5" s="60"/>
      <c r="AD5" s="30"/>
      <c r="AG5" s="30"/>
      <c r="AH5" s="30"/>
      <c r="AJ5" s="30"/>
      <c r="AQ5" s="30"/>
      <c r="AU5" s="30"/>
      <c r="AW5" s="30"/>
      <c r="BA5" s="30"/>
      <c r="BB5" s="30"/>
      <c r="BD5" s="30"/>
    </row>
    <row r="6" spans="1:133" ht="14" x14ac:dyDescent="0.25">
      <c r="B6" s="164" t="s">
        <v>155</v>
      </c>
      <c r="C6" s="61" t="s">
        <v>156</v>
      </c>
      <c r="D6" s="164" t="s">
        <v>157</v>
      </c>
      <c r="E6" s="599" t="s">
        <v>158</v>
      </c>
      <c r="F6" s="600"/>
      <c r="G6" s="601"/>
      <c r="H6" s="62"/>
      <c r="I6" s="62"/>
      <c r="J6" s="62"/>
      <c r="K6" s="62"/>
      <c r="N6" s="62"/>
      <c r="O6" s="62"/>
      <c r="P6" s="62"/>
      <c r="Q6" s="62"/>
      <c r="R6" s="62"/>
      <c r="S6" s="62"/>
      <c r="T6" s="62"/>
      <c r="U6" s="62"/>
      <c r="V6" s="62"/>
      <c r="W6" s="62"/>
      <c r="X6" s="62"/>
      <c r="Y6" s="62"/>
      <c r="Z6" s="62"/>
      <c r="AA6" s="62"/>
      <c r="AB6" s="62"/>
      <c r="AC6" s="62"/>
      <c r="AD6" s="30"/>
      <c r="AG6" s="30"/>
      <c r="AH6" s="30"/>
      <c r="AJ6" s="30"/>
      <c r="AQ6" s="30"/>
      <c r="AU6" s="30"/>
      <c r="AW6" s="30"/>
      <c r="BA6" s="30"/>
      <c r="BB6" s="30"/>
      <c r="BD6" s="30"/>
    </row>
    <row r="7" spans="1:133" ht="14" x14ac:dyDescent="0.25">
      <c r="B7" s="164" t="s">
        <v>159</v>
      </c>
      <c r="C7" s="61" t="s">
        <v>160</v>
      </c>
      <c r="D7" s="164" t="s">
        <v>161</v>
      </c>
      <c r="E7" s="599" t="s">
        <v>162</v>
      </c>
      <c r="F7" s="600"/>
      <c r="G7" s="601"/>
      <c r="H7" s="62"/>
      <c r="I7" s="62"/>
      <c r="J7" s="62"/>
      <c r="K7" s="62"/>
      <c r="N7" s="62"/>
      <c r="O7" s="62"/>
      <c r="P7" s="62"/>
      <c r="Q7" s="62"/>
      <c r="R7" s="62"/>
      <c r="S7" s="62"/>
      <c r="T7" s="62"/>
      <c r="U7" s="62"/>
      <c r="V7" s="62"/>
      <c r="W7" s="62"/>
      <c r="X7" s="62"/>
      <c r="Y7" s="62"/>
      <c r="Z7" s="62"/>
      <c r="AA7" s="62"/>
      <c r="AB7" s="62"/>
      <c r="AC7" s="63"/>
      <c r="AD7" s="30"/>
      <c r="AG7" s="30"/>
      <c r="AH7" s="30"/>
      <c r="AJ7" s="30"/>
      <c r="AQ7" s="30"/>
      <c r="AU7" s="30"/>
      <c r="AW7" s="30"/>
      <c r="BA7" s="30"/>
      <c r="BB7" s="30"/>
      <c r="BD7" s="30"/>
    </row>
    <row r="8" spans="1:133" ht="14" x14ac:dyDescent="0.25">
      <c r="B8" s="164" t="s">
        <v>163</v>
      </c>
      <c r="C8" s="61" t="s">
        <v>164</v>
      </c>
      <c r="D8" s="164" t="s">
        <v>165</v>
      </c>
      <c r="E8" s="599">
        <v>3183774585</v>
      </c>
      <c r="F8" s="600"/>
      <c r="G8" s="601"/>
      <c r="H8" s="62"/>
      <c r="I8" s="62"/>
      <c r="J8" s="62"/>
      <c r="K8" s="62"/>
      <c r="N8" s="62"/>
      <c r="O8" s="62"/>
      <c r="P8" s="62"/>
      <c r="Q8" s="62"/>
      <c r="R8" s="62"/>
      <c r="S8" s="62"/>
      <c r="T8" s="62"/>
      <c r="U8" s="62"/>
      <c r="V8" s="62"/>
      <c r="W8" s="62"/>
      <c r="X8" s="62"/>
      <c r="Y8" s="62"/>
      <c r="Z8" s="62"/>
      <c r="AA8" s="62"/>
      <c r="AB8" s="62"/>
      <c r="AC8" s="63"/>
      <c r="AD8" s="30"/>
      <c r="AG8" s="30"/>
      <c r="AH8" s="30"/>
      <c r="AJ8" s="30"/>
      <c r="AQ8" s="30"/>
      <c r="AU8" s="30"/>
      <c r="AW8" s="30"/>
      <c r="BA8" s="30"/>
      <c r="BB8" s="30"/>
      <c r="BD8" s="30"/>
    </row>
    <row r="9" spans="1:133" ht="14" x14ac:dyDescent="0.25">
      <c r="B9" s="164" t="s">
        <v>166</v>
      </c>
      <c r="C9" s="61" t="s">
        <v>167</v>
      </c>
      <c r="D9" s="164" t="s">
        <v>168</v>
      </c>
      <c r="E9" s="599">
        <v>2019</v>
      </c>
      <c r="F9" s="600"/>
      <c r="G9" s="601"/>
      <c r="H9" s="62"/>
      <c r="I9" s="62"/>
      <c r="J9" s="62"/>
      <c r="K9" s="62"/>
      <c r="N9" s="62"/>
      <c r="O9" s="62"/>
      <c r="P9" s="62"/>
      <c r="Q9" s="62"/>
      <c r="R9" s="62"/>
      <c r="S9" s="62"/>
      <c r="T9" s="62"/>
      <c r="U9" s="62"/>
      <c r="V9" s="62"/>
      <c r="W9" s="62"/>
      <c r="X9" s="62"/>
      <c r="Y9" s="62"/>
      <c r="Z9" s="62"/>
      <c r="AA9" s="62"/>
      <c r="AB9" s="62"/>
      <c r="AC9" s="63"/>
      <c r="AD9" s="30"/>
      <c r="AG9" s="30"/>
      <c r="AH9" s="30"/>
      <c r="AJ9" s="30"/>
      <c r="AQ9" s="30"/>
      <c r="AU9" s="30"/>
      <c r="AW9" s="30"/>
      <c r="BA9" s="30"/>
      <c r="BB9" s="30"/>
      <c r="BD9" s="30"/>
    </row>
    <row r="10" spans="1:133" ht="14" x14ac:dyDescent="0.25">
      <c r="B10" s="164" t="s">
        <v>169</v>
      </c>
      <c r="C10" s="64" t="s">
        <v>170</v>
      </c>
      <c r="D10" s="164" t="s">
        <v>171</v>
      </c>
      <c r="E10" s="602" t="s">
        <v>172</v>
      </c>
      <c r="F10" s="603"/>
      <c r="G10" s="604"/>
      <c r="H10" s="65"/>
      <c r="I10" s="65"/>
      <c r="J10" s="65"/>
      <c r="K10" s="65"/>
      <c r="N10" s="62"/>
      <c r="O10" s="62"/>
      <c r="P10" s="62"/>
      <c r="Q10" s="62"/>
      <c r="R10" s="62"/>
      <c r="S10" s="62"/>
      <c r="T10" s="62"/>
      <c r="U10" s="62"/>
      <c r="V10" s="62"/>
      <c r="W10" s="62"/>
      <c r="X10" s="62"/>
      <c r="Y10" s="62"/>
      <c r="Z10" s="62"/>
      <c r="AA10" s="62"/>
      <c r="AB10" s="62"/>
      <c r="AC10" s="63"/>
      <c r="AD10" s="30"/>
      <c r="AG10" s="30"/>
      <c r="AH10" s="30"/>
      <c r="AJ10" s="30"/>
      <c r="AQ10" s="30"/>
      <c r="AU10" s="30"/>
      <c r="AW10" s="30"/>
      <c r="BA10" s="30"/>
      <c r="BB10" s="30"/>
      <c r="BD10" s="30"/>
      <c r="BO10" s="66"/>
      <c r="BP10" s="66"/>
      <c r="BQ10" s="66"/>
      <c r="BR10" s="66"/>
      <c r="BS10" s="66"/>
      <c r="BT10" s="66"/>
      <c r="BV10" s="66"/>
      <c r="BW10" s="66"/>
      <c r="CB10" s="66"/>
      <c r="CC10" s="66"/>
      <c r="CH10" s="66"/>
      <c r="CI10" s="66"/>
    </row>
    <row r="11" spans="1:133" s="44" customFormat="1" ht="14" x14ac:dyDescent="0.25">
      <c r="A11" s="30"/>
      <c r="B11" s="67"/>
      <c r="C11" s="68"/>
      <c r="D11" s="68"/>
      <c r="E11" s="69"/>
      <c r="F11" s="69"/>
      <c r="G11" s="69"/>
      <c r="H11" s="69"/>
      <c r="I11" s="69"/>
      <c r="J11" s="69"/>
      <c r="K11" s="69"/>
      <c r="L11" s="69"/>
      <c r="M11" s="69"/>
      <c r="N11" s="69"/>
      <c r="O11" s="69"/>
      <c r="P11" s="69"/>
      <c r="Q11" s="69"/>
      <c r="R11" s="70"/>
      <c r="S11" s="69"/>
      <c r="T11" s="69"/>
      <c r="U11" s="69"/>
      <c r="V11" s="71"/>
      <c r="W11" s="68"/>
      <c r="X11" s="72"/>
      <c r="Y11" s="73"/>
      <c r="Z11" s="74"/>
      <c r="AA11" s="74"/>
      <c r="AB11" s="73"/>
      <c r="AC11" s="74"/>
      <c r="AD11" s="75"/>
      <c r="AE11" s="72"/>
      <c r="AF11" s="73"/>
      <c r="AG11" s="76"/>
      <c r="AH11" s="76"/>
      <c r="AI11" s="73"/>
      <c r="AJ11" s="74"/>
      <c r="AK11" s="68"/>
      <c r="AL11" s="72"/>
      <c r="AM11" s="73"/>
      <c r="AN11" s="73"/>
      <c r="AO11" s="73"/>
      <c r="AP11" s="73"/>
      <c r="AQ11" s="74"/>
      <c r="AR11" s="68"/>
      <c r="AS11" s="72"/>
      <c r="AT11" s="73"/>
      <c r="AU11" s="74"/>
      <c r="AV11" s="73"/>
      <c r="AW11" s="74"/>
      <c r="AX11" s="68"/>
      <c r="AY11" s="72"/>
      <c r="AZ11" s="73"/>
      <c r="BA11" s="74"/>
      <c r="BB11" s="74"/>
      <c r="BC11" s="73"/>
      <c r="BD11" s="74"/>
      <c r="BE11" s="77"/>
      <c r="BF11" s="78"/>
      <c r="BG11" s="235"/>
      <c r="BH11" s="53"/>
      <c r="BI11" s="54"/>
      <c r="BJ11" s="54"/>
      <c r="BK11" s="54"/>
      <c r="BL11" s="55"/>
      <c r="BM11" s="55"/>
      <c r="BN11" s="55"/>
      <c r="BO11" s="79"/>
      <c r="BP11" s="79"/>
      <c r="BQ11" s="79"/>
      <c r="BR11" s="79"/>
      <c r="BS11" s="79"/>
      <c r="BT11" s="79"/>
      <c r="BU11" s="54"/>
      <c r="BV11" s="79"/>
      <c r="BW11" s="79"/>
      <c r="BX11" s="54"/>
      <c r="BY11" s="54"/>
      <c r="BZ11" s="54"/>
      <c r="CA11" s="56"/>
      <c r="CB11" s="79"/>
      <c r="CC11" s="79"/>
      <c r="CD11" s="56"/>
      <c r="CE11" s="56"/>
      <c r="CF11" s="56"/>
      <c r="CG11" s="56"/>
      <c r="CH11" s="79"/>
      <c r="CI11" s="79"/>
      <c r="CJ11" s="56"/>
      <c r="CK11" s="56"/>
      <c r="CL11" s="56"/>
      <c r="CM11" s="57"/>
      <c r="CN11" s="58"/>
      <c r="CO11" s="58"/>
      <c r="CP11" s="35"/>
      <c r="CQ11" s="35"/>
      <c r="CR11" s="35"/>
      <c r="CS11" s="35"/>
      <c r="CT11" s="35"/>
      <c r="CU11" s="35"/>
      <c r="CV11" s="35"/>
      <c r="CW11" s="35"/>
      <c r="CX11" s="35"/>
      <c r="CY11" s="35"/>
      <c r="CZ11" s="35"/>
      <c r="DA11" s="35"/>
      <c r="DB11" s="35"/>
      <c r="DC11" s="35"/>
      <c r="DD11" s="35"/>
      <c r="DE11" s="35"/>
      <c r="DF11" s="35"/>
      <c r="DG11" s="35"/>
      <c r="DH11" s="35"/>
      <c r="DI11" s="35"/>
      <c r="DJ11" s="35"/>
      <c r="DK11" s="35"/>
      <c r="DL11" s="35"/>
      <c r="DM11" s="35"/>
      <c r="DN11" s="35"/>
      <c r="DO11" s="35"/>
      <c r="DP11" s="35"/>
      <c r="DQ11" s="35"/>
      <c r="DR11" s="35"/>
      <c r="DS11" s="35"/>
      <c r="DT11" s="35"/>
      <c r="DU11" s="35"/>
      <c r="DV11" s="59"/>
      <c r="DW11" s="59"/>
      <c r="DX11" s="59"/>
      <c r="DY11" s="59"/>
      <c r="DZ11" s="59"/>
      <c r="EA11" s="59"/>
      <c r="EB11" s="59"/>
      <c r="EC11" s="59"/>
    </row>
    <row r="12" spans="1:133" s="44" customFormat="1" ht="25.5" customHeight="1" x14ac:dyDescent="0.25">
      <c r="A12" s="30"/>
      <c r="B12" s="607" t="s">
        <v>173</v>
      </c>
      <c r="C12" s="608"/>
      <c r="D12" s="608"/>
      <c r="E12" s="608"/>
      <c r="F12" s="608"/>
      <c r="G12" s="608"/>
      <c r="H12" s="608"/>
      <c r="I12" s="608"/>
      <c r="J12" s="608"/>
      <c r="K12" s="608"/>
      <c r="L12" s="608"/>
      <c r="M12" s="608"/>
      <c r="N12" s="608"/>
      <c r="O12" s="608"/>
      <c r="P12" s="608"/>
      <c r="Q12" s="608"/>
      <c r="R12" s="608"/>
      <c r="S12" s="608"/>
      <c r="T12" s="608"/>
      <c r="U12" s="608"/>
      <c r="V12" s="608"/>
      <c r="W12" s="608"/>
      <c r="X12" s="608"/>
      <c r="Y12" s="608"/>
      <c r="Z12" s="608"/>
      <c r="AA12" s="608"/>
      <c r="AB12" s="608"/>
      <c r="AC12" s="608"/>
      <c r="AD12" s="608"/>
      <c r="AE12" s="608"/>
      <c r="AF12" s="608"/>
      <c r="AG12" s="608"/>
      <c r="AH12" s="608"/>
      <c r="AI12" s="608"/>
      <c r="AJ12" s="608"/>
      <c r="AK12" s="608"/>
      <c r="AL12" s="608"/>
      <c r="AM12" s="608"/>
      <c r="AN12" s="608"/>
      <c r="AO12" s="608"/>
      <c r="AP12" s="608"/>
      <c r="AQ12" s="608"/>
      <c r="AR12" s="608"/>
      <c r="AS12" s="608"/>
      <c r="AT12" s="608"/>
      <c r="AU12" s="608"/>
      <c r="AV12" s="608"/>
      <c r="AW12" s="608"/>
      <c r="AX12" s="608"/>
      <c r="AY12" s="608"/>
      <c r="AZ12" s="608"/>
      <c r="BA12" s="608"/>
      <c r="BB12" s="608"/>
      <c r="BC12" s="608"/>
      <c r="BD12" s="608"/>
      <c r="BE12" s="608"/>
      <c r="BF12" s="608"/>
      <c r="BG12" s="235"/>
      <c r="BH12" s="53"/>
      <c r="BI12" s="54"/>
      <c r="BJ12" s="54"/>
      <c r="BK12" s="54"/>
      <c r="BL12" s="55"/>
      <c r="BM12" s="55"/>
      <c r="BN12" s="55"/>
      <c r="BO12" s="79"/>
      <c r="BP12" s="79"/>
      <c r="BQ12" s="79"/>
      <c r="BR12" s="79"/>
      <c r="BS12" s="79"/>
      <c r="BT12" s="79"/>
      <c r="BU12" s="54"/>
      <c r="BV12" s="79"/>
      <c r="BW12" s="79"/>
      <c r="BX12" s="54"/>
      <c r="BY12" s="54"/>
      <c r="BZ12" s="54"/>
      <c r="CA12" s="56"/>
      <c r="CB12" s="79"/>
      <c r="CC12" s="79"/>
      <c r="CD12" s="56"/>
      <c r="CE12" s="56"/>
      <c r="CF12" s="56"/>
      <c r="CG12" s="56"/>
      <c r="CH12" s="79"/>
      <c r="CI12" s="79"/>
      <c r="CJ12" s="56"/>
      <c r="CK12" s="56"/>
      <c r="CL12" s="56"/>
      <c r="CM12" s="57"/>
      <c r="CN12" s="58"/>
      <c r="CO12" s="58"/>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59"/>
      <c r="DW12" s="59"/>
      <c r="DX12" s="59"/>
      <c r="DY12" s="59"/>
      <c r="DZ12" s="59"/>
      <c r="EA12" s="59"/>
      <c r="EB12" s="59"/>
      <c r="EC12" s="59"/>
    </row>
    <row r="13" spans="1:133" s="36" customFormat="1" ht="15" customHeight="1" x14ac:dyDescent="0.25">
      <c r="A13" s="30"/>
      <c r="B13" s="605" t="s">
        <v>174</v>
      </c>
      <c r="C13" s="589" t="s">
        <v>175</v>
      </c>
      <c r="D13" s="589" t="s">
        <v>117</v>
      </c>
      <c r="E13" s="589"/>
      <c r="F13" s="589"/>
      <c r="G13" s="589"/>
      <c r="H13" s="589"/>
      <c r="I13" s="589"/>
      <c r="J13" s="589"/>
      <c r="K13" s="589"/>
      <c r="L13" s="589"/>
      <c r="M13" s="589"/>
      <c r="N13" s="589"/>
      <c r="O13" s="589"/>
      <c r="P13" s="589"/>
      <c r="Q13" s="589"/>
      <c r="R13" s="589"/>
      <c r="S13" s="589" t="s">
        <v>176</v>
      </c>
      <c r="T13" s="589"/>
      <c r="U13" s="589"/>
      <c r="V13" s="589"/>
      <c r="W13" s="595" t="s">
        <v>177</v>
      </c>
      <c r="X13" s="595"/>
      <c r="Y13" s="595"/>
      <c r="Z13" s="595"/>
      <c r="AA13" s="595"/>
      <c r="AB13" s="595"/>
      <c r="AC13" s="595"/>
      <c r="AD13" s="595" t="s">
        <v>178</v>
      </c>
      <c r="AE13" s="595"/>
      <c r="AF13" s="595"/>
      <c r="AG13" s="595"/>
      <c r="AH13" s="595"/>
      <c r="AI13" s="595"/>
      <c r="AJ13" s="595"/>
      <c r="AK13" s="595" t="s">
        <v>179</v>
      </c>
      <c r="AL13" s="595"/>
      <c r="AM13" s="595"/>
      <c r="AN13" s="595"/>
      <c r="AO13" s="595"/>
      <c r="AP13" s="595"/>
      <c r="AQ13" s="595"/>
      <c r="AR13" s="595" t="s">
        <v>180</v>
      </c>
      <c r="AS13" s="595"/>
      <c r="AT13" s="595"/>
      <c r="AU13" s="595"/>
      <c r="AV13" s="595"/>
      <c r="AW13" s="595"/>
      <c r="AX13" s="595" t="s">
        <v>181</v>
      </c>
      <c r="AY13" s="595"/>
      <c r="AZ13" s="595"/>
      <c r="BA13" s="595"/>
      <c r="BB13" s="595"/>
      <c r="BC13" s="595"/>
      <c r="BD13" s="595"/>
      <c r="BE13" s="588" t="s">
        <v>182</v>
      </c>
      <c r="BF13" s="609" t="s">
        <v>149</v>
      </c>
      <c r="BG13" s="235"/>
      <c r="BI13" s="37"/>
      <c r="BJ13" s="37"/>
      <c r="BK13" s="37"/>
      <c r="BL13" s="38"/>
      <c r="BM13" s="38"/>
      <c r="BN13" s="38"/>
      <c r="BO13" s="37"/>
      <c r="BP13" s="37"/>
      <c r="BQ13" s="37"/>
      <c r="BR13" s="37"/>
      <c r="BS13" s="37"/>
      <c r="BT13" s="37"/>
      <c r="BU13" s="37"/>
      <c r="BV13" s="37"/>
      <c r="BW13" s="37"/>
      <c r="BX13" s="37"/>
      <c r="BY13" s="37"/>
      <c r="BZ13" s="37"/>
      <c r="CA13" s="39"/>
      <c r="CB13" s="37"/>
      <c r="CC13" s="37"/>
      <c r="CD13" s="39"/>
      <c r="CE13" s="39"/>
      <c r="CF13" s="39"/>
      <c r="CG13" s="39"/>
      <c r="CH13" s="37"/>
      <c r="CI13" s="37"/>
      <c r="CJ13" s="39"/>
      <c r="CK13" s="39"/>
      <c r="CL13" s="39"/>
      <c r="CM13" s="40"/>
      <c r="CN13" s="41"/>
      <c r="CO13" s="41"/>
      <c r="CP13" s="42"/>
      <c r="CQ13" s="42"/>
      <c r="CR13" s="42"/>
      <c r="CS13" s="42"/>
      <c r="CT13" s="42"/>
      <c r="CU13" s="42"/>
      <c r="CV13" s="42"/>
      <c r="CW13" s="42"/>
      <c r="CX13" s="42"/>
      <c r="CY13" s="42"/>
      <c r="CZ13" s="42"/>
      <c r="DA13" s="42"/>
      <c r="DB13" s="42"/>
      <c r="DC13" s="42"/>
      <c r="DD13" s="42"/>
      <c r="DE13" s="42"/>
      <c r="DF13" s="42"/>
      <c r="DG13" s="42"/>
      <c r="DH13" s="42"/>
      <c r="DI13" s="42"/>
      <c r="DJ13" s="42"/>
      <c r="DK13" s="42"/>
      <c r="DL13" s="42"/>
      <c r="DM13" s="42"/>
      <c r="DN13" s="42"/>
      <c r="DO13" s="42"/>
      <c r="DP13" s="42"/>
      <c r="DQ13" s="42"/>
      <c r="DR13" s="42"/>
      <c r="DS13" s="42"/>
      <c r="DT13" s="42"/>
      <c r="DU13" s="42"/>
      <c r="DV13" s="43"/>
      <c r="DW13" s="43"/>
      <c r="DX13" s="43"/>
      <c r="DY13" s="43"/>
      <c r="DZ13" s="43"/>
      <c r="EA13" s="43"/>
      <c r="EB13" s="43"/>
      <c r="EC13" s="43"/>
    </row>
    <row r="14" spans="1:133" s="36" customFormat="1" ht="63" customHeight="1" x14ac:dyDescent="0.25">
      <c r="A14" s="30"/>
      <c r="B14" s="606"/>
      <c r="C14" s="589"/>
      <c r="D14" s="80" t="s">
        <v>183</v>
      </c>
      <c r="E14" s="80" t="s">
        <v>184</v>
      </c>
      <c r="F14" s="80" t="s">
        <v>185</v>
      </c>
      <c r="G14" s="80" t="s">
        <v>186</v>
      </c>
      <c r="H14" s="80" t="s">
        <v>187</v>
      </c>
      <c r="I14" s="80" t="s">
        <v>188</v>
      </c>
      <c r="J14" s="80" t="s">
        <v>189</v>
      </c>
      <c r="K14" s="80" t="s">
        <v>190</v>
      </c>
      <c r="L14" s="80" t="s">
        <v>191</v>
      </c>
      <c r="M14" s="80" t="s">
        <v>192</v>
      </c>
      <c r="N14" s="80" t="s">
        <v>193</v>
      </c>
      <c r="O14" s="80" t="s">
        <v>194</v>
      </c>
      <c r="P14" s="80" t="s">
        <v>195</v>
      </c>
      <c r="Q14" s="80" t="s">
        <v>196</v>
      </c>
      <c r="R14" s="80" t="s">
        <v>197</v>
      </c>
      <c r="S14" s="80" t="s">
        <v>198</v>
      </c>
      <c r="T14" s="80" t="s">
        <v>199</v>
      </c>
      <c r="U14" s="80" t="s">
        <v>200</v>
      </c>
      <c r="V14" s="80" t="s">
        <v>176</v>
      </c>
      <c r="W14" s="588" t="s">
        <v>201</v>
      </c>
      <c r="X14" s="588"/>
      <c r="Y14" s="80" t="s">
        <v>202</v>
      </c>
      <c r="Z14" s="81" t="s">
        <v>203</v>
      </c>
      <c r="AA14" s="81" t="s">
        <v>204</v>
      </c>
      <c r="AB14" s="80" t="s">
        <v>205</v>
      </c>
      <c r="AC14" s="81" t="s">
        <v>206</v>
      </c>
      <c r="AD14" s="588" t="s">
        <v>207</v>
      </c>
      <c r="AE14" s="588"/>
      <c r="AF14" s="80" t="s">
        <v>208</v>
      </c>
      <c r="AG14" s="82" t="s">
        <v>209</v>
      </c>
      <c r="AH14" s="82" t="s">
        <v>210</v>
      </c>
      <c r="AI14" s="80" t="s">
        <v>211</v>
      </c>
      <c r="AJ14" s="81" t="s">
        <v>206</v>
      </c>
      <c r="AK14" s="588" t="s">
        <v>212</v>
      </c>
      <c r="AL14" s="588"/>
      <c r="AM14" s="80" t="s">
        <v>213</v>
      </c>
      <c r="AN14" s="80" t="s">
        <v>214</v>
      </c>
      <c r="AO14" s="80" t="s">
        <v>215</v>
      </c>
      <c r="AP14" s="80" t="s">
        <v>216</v>
      </c>
      <c r="AQ14" s="81" t="s">
        <v>206</v>
      </c>
      <c r="AR14" s="588" t="s">
        <v>217</v>
      </c>
      <c r="AS14" s="588"/>
      <c r="AT14" s="80" t="s">
        <v>218</v>
      </c>
      <c r="AU14" s="81" t="s">
        <v>219</v>
      </c>
      <c r="AV14" s="80" t="s">
        <v>220</v>
      </c>
      <c r="AW14" s="81" t="s">
        <v>206</v>
      </c>
      <c r="AX14" s="588" t="s">
        <v>221</v>
      </c>
      <c r="AY14" s="588"/>
      <c r="AZ14" s="80" t="s">
        <v>222</v>
      </c>
      <c r="BA14" s="81" t="s">
        <v>223</v>
      </c>
      <c r="BB14" s="81" t="s">
        <v>224</v>
      </c>
      <c r="BC14" s="80" t="s">
        <v>225</v>
      </c>
      <c r="BD14" s="81" t="s">
        <v>206</v>
      </c>
      <c r="BE14" s="588"/>
      <c r="BF14" s="609"/>
      <c r="BG14" s="235" t="s">
        <v>226</v>
      </c>
      <c r="BI14" s="37"/>
      <c r="BJ14" s="37"/>
      <c r="BK14" s="37"/>
      <c r="BL14" s="38"/>
      <c r="BM14" s="38"/>
      <c r="BN14" s="38"/>
      <c r="BO14" s="37"/>
      <c r="BP14" s="37"/>
      <c r="BQ14" s="37"/>
      <c r="BR14" s="37"/>
      <c r="BS14" s="37"/>
      <c r="BT14" s="37"/>
      <c r="BU14" s="37"/>
      <c r="BV14" s="37"/>
      <c r="BW14" s="37"/>
      <c r="BX14" s="37"/>
      <c r="BY14" s="37"/>
      <c r="BZ14" s="37"/>
      <c r="CA14" s="39"/>
      <c r="CB14" s="37"/>
      <c r="CC14" s="37"/>
      <c r="CD14" s="39"/>
      <c r="CE14" s="39"/>
      <c r="CF14" s="39"/>
      <c r="CG14" s="39"/>
      <c r="CH14" s="37"/>
      <c r="CI14" s="37"/>
      <c r="CJ14" s="39"/>
      <c r="CK14" s="39"/>
      <c r="CL14" s="39"/>
      <c r="CM14" s="40"/>
      <c r="CN14" s="41"/>
      <c r="CO14" s="41"/>
      <c r="CP14" s="42"/>
      <c r="CQ14" s="42"/>
      <c r="CR14" s="42"/>
      <c r="CS14" s="42"/>
      <c r="CT14" s="42"/>
      <c r="CU14" s="42"/>
      <c r="CV14" s="42"/>
      <c r="CW14" s="42"/>
      <c r="CX14" s="42"/>
      <c r="CY14" s="42"/>
      <c r="CZ14" s="42"/>
      <c r="DA14" s="42"/>
      <c r="DB14" s="42"/>
      <c r="DC14" s="42"/>
      <c r="DD14" s="42"/>
      <c r="DE14" s="42"/>
      <c r="DF14" s="42"/>
      <c r="DG14" s="42"/>
      <c r="DH14" s="42"/>
      <c r="DI14" s="42"/>
      <c r="DJ14" s="42"/>
      <c r="DK14" s="42"/>
      <c r="DL14" s="42"/>
      <c r="DM14" s="42"/>
      <c r="DN14" s="42"/>
      <c r="DO14" s="42"/>
      <c r="DP14" s="42"/>
      <c r="DQ14" s="42"/>
      <c r="DR14" s="42"/>
      <c r="DS14" s="42"/>
      <c r="DT14" s="42"/>
      <c r="DU14" s="42"/>
      <c r="DV14" s="43"/>
      <c r="DW14" s="43"/>
      <c r="DX14" s="43"/>
      <c r="DY14" s="43"/>
      <c r="DZ14" s="43"/>
      <c r="EA14" s="43"/>
      <c r="EB14" s="43"/>
      <c r="EC14" s="43"/>
    </row>
    <row r="15" spans="1:133" s="36" customFormat="1" ht="25.5" customHeight="1" x14ac:dyDescent="0.25">
      <c r="A15" s="30"/>
      <c r="B15" s="613" t="s">
        <v>227</v>
      </c>
      <c r="C15" s="614"/>
      <c r="D15" s="614"/>
      <c r="E15" s="614"/>
      <c r="F15" s="614"/>
      <c r="G15" s="614"/>
      <c r="H15" s="614"/>
      <c r="I15" s="614"/>
      <c r="J15" s="614"/>
      <c r="K15" s="614"/>
      <c r="L15" s="614"/>
      <c r="M15" s="614"/>
      <c r="N15" s="614"/>
      <c r="O15" s="614"/>
      <c r="P15" s="614"/>
      <c r="Q15" s="614"/>
      <c r="R15" s="614"/>
      <c r="S15" s="614"/>
      <c r="T15" s="614"/>
      <c r="U15" s="614"/>
      <c r="V15" s="615"/>
      <c r="W15" s="615"/>
      <c r="X15" s="615"/>
      <c r="Y15" s="615"/>
      <c r="Z15" s="615"/>
      <c r="AA15" s="615"/>
      <c r="AB15" s="615"/>
      <c r="AC15" s="615"/>
      <c r="AD15" s="615"/>
      <c r="AE15" s="615"/>
      <c r="AF15" s="615"/>
      <c r="AG15" s="615"/>
      <c r="AH15" s="615"/>
      <c r="AI15" s="615"/>
      <c r="AJ15" s="615"/>
      <c r="AK15" s="615"/>
      <c r="AL15" s="615"/>
      <c r="AM15" s="615"/>
      <c r="AN15" s="615"/>
      <c r="AO15" s="615"/>
      <c r="AP15" s="615"/>
      <c r="AQ15" s="615"/>
      <c r="AR15" s="615"/>
      <c r="AS15" s="615"/>
      <c r="AT15" s="615"/>
      <c r="AU15" s="615"/>
      <c r="AV15" s="615"/>
      <c r="AW15" s="615"/>
      <c r="AX15" s="615"/>
      <c r="AY15" s="615"/>
      <c r="AZ15" s="615"/>
      <c r="BA15" s="615"/>
      <c r="BB15" s="615"/>
      <c r="BC15" s="615"/>
      <c r="BD15" s="615"/>
      <c r="BE15" s="615"/>
      <c r="BF15" s="616"/>
      <c r="BG15" s="235"/>
      <c r="BI15" s="37"/>
      <c r="BJ15" s="37"/>
      <c r="BK15" s="37"/>
      <c r="BL15" s="38"/>
      <c r="BM15" s="38"/>
      <c r="BN15" s="38"/>
      <c r="BO15" s="37"/>
      <c r="BP15" s="37"/>
      <c r="BQ15" s="37"/>
      <c r="BR15" s="37"/>
      <c r="BS15" s="37"/>
      <c r="BT15" s="37"/>
      <c r="BU15" s="37"/>
      <c r="BV15" s="37"/>
      <c r="BW15" s="37"/>
      <c r="BX15" s="37"/>
      <c r="BY15" s="37"/>
      <c r="BZ15" s="37"/>
      <c r="CA15" s="39"/>
      <c r="CB15" s="37"/>
      <c r="CC15" s="37"/>
      <c r="CD15" s="39"/>
      <c r="CE15" s="39"/>
      <c r="CF15" s="39"/>
      <c r="CG15" s="39"/>
      <c r="CH15" s="37"/>
      <c r="CI15" s="37"/>
      <c r="CJ15" s="39"/>
      <c r="CK15" s="39"/>
      <c r="CL15" s="39"/>
      <c r="CM15" s="40"/>
      <c r="CN15" s="41"/>
      <c r="CO15" s="41"/>
      <c r="CP15" s="42"/>
      <c r="CQ15" s="42"/>
      <c r="CR15" s="42"/>
      <c r="CS15" s="42"/>
      <c r="CT15" s="42"/>
      <c r="CU15" s="42"/>
      <c r="CV15" s="42"/>
      <c r="CW15" s="42"/>
      <c r="CX15" s="42"/>
      <c r="CY15" s="42"/>
      <c r="CZ15" s="42"/>
      <c r="DA15" s="42"/>
      <c r="DB15" s="42"/>
      <c r="DC15" s="42"/>
      <c r="DD15" s="42"/>
      <c r="DE15" s="42"/>
      <c r="DF15" s="42"/>
      <c r="DG15" s="42"/>
      <c r="DH15" s="42"/>
      <c r="DI15" s="42"/>
      <c r="DJ15" s="42"/>
      <c r="DK15" s="42"/>
      <c r="DL15" s="42"/>
      <c r="DM15" s="42"/>
      <c r="DN15" s="42"/>
      <c r="DO15" s="42"/>
      <c r="DP15" s="42"/>
      <c r="DQ15" s="42"/>
      <c r="DR15" s="42"/>
      <c r="DS15" s="42"/>
      <c r="DT15" s="42"/>
      <c r="DU15" s="42"/>
      <c r="DV15" s="43"/>
      <c r="DW15" s="43"/>
      <c r="DX15" s="43"/>
      <c r="DY15" s="43"/>
      <c r="DZ15" s="43"/>
      <c r="EA15" s="43"/>
      <c r="EB15" s="43"/>
      <c r="EC15" s="43"/>
    </row>
    <row r="16" spans="1:133" ht="15" customHeight="1" x14ac:dyDescent="0.25">
      <c r="B16" s="83" t="s">
        <v>228</v>
      </c>
      <c r="C16" s="84" t="s">
        <v>229</v>
      </c>
      <c r="D16" s="85" t="str">
        <f>VLOOKUP($C16,$BH$109:$CL$513,2,FALSE)</f>
        <v>Gal</v>
      </c>
      <c r="E16" s="86">
        <v>14655.6612</v>
      </c>
      <c r="F16" s="86">
        <v>18953.285400000004</v>
      </c>
      <c r="G16" s="86">
        <v>18909.3573</v>
      </c>
      <c r="H16" s="86">
        <v>12985.5303</v>
      </c>
      <c r="I16" s="86">
        <v>15875.488799999994</v>
      </c>
      <c r="J16" s="86">
        <v>17211.996899999995</v>
      </c>
      <c r="K16" s="86">
        <v>14908.069800000001</v>
      </c>
      <c r="L16" s="86">
        <v>15193.333800000004</v>
      </c>
      <c r="M16" s="86">
        <v>15541.434899999998</v>
      </c>
      <c r="N16" s="86">
        <v>15744.921300000004</v>
      </c>
      <c r="O16" s="86">
        <v>16158.061799999999</v>
      </c>
      <c r="P16" s="86">
        <v>14497.924500000005</v>
      </c>
      <c r="Q16" s="87">
        <f>SUM(E16:P16)</f>
        <v>190635.06599999999</v>
      </c>
      <c r="R16" s="85">
        <f>COUNT(E16:P16)</f>
        <v>12</v>
      </c>
      <c r="S16" s="87">
        <f>IF(R16&gt;1,AVERAGE(E16:P16),0)</f>
        <v>15886.255499999999</v>
      </c>
      <c r="T16" s="87">
        <f>IF(R16&gt;1,STDEV(E16:P16),0)</f>
        <v>1753.1607320866854</v>
      </c>
      <c r="U16" s="87">
        <f>IF(R16&gt;1,VLOOKUP($R16,$BH$445:$BI$457,2,FALSE),0)</f>
        <v>2.2000000000000002</v>
      </c>
      <c r="V16" s="88">
        <f>IF(R16&gt;1,1-((S16-((T16*U16)/(SQRT(R16))))/S16),VLOOKUP($C16,$BH$109:$CO$513,34,FALSE))</f>
        <v>7.0086157349239619E-2</v>
      </c>
      <c r="W16" s="89">
        <f>VLOOKUP($C16,$BH$109:$CL$513,3,FALSE)</f>
        <v>10.148999999999999</v>
      </c>
      <c r="X16" s="90" t="str">
        <f>VLOOKUP($C16,$BH$109:$CL$513,4,FALSE)</f>
        <v>kg CO2/gal</v>
      </c>
      <c r="Y16" s="88">
        <f>IF($Q16&gt;0,VLOOKUP($C16,$BH$109:$CL$513,6,FALSE),0)</f>
        <v>2.0499999999999997E-3</v>
      </c>
      <c r="Z16" s="91">
        <f>($Q16*W16)/1000</f>
        <v>1934.7552848339999</v>
      </c>
      <c r="AA16" s="91">
        <f>Z16*$BI$463</f>
        <v>1934.7552848339999</v>
      </c>
      <c r="AB16" s="88">
        <f>IF(Z16&gt;0,SQRT(($V16*$V16)+(Y16*Y16)),0)</f>
        <v>7.0116131895465936E-2</v>
      </c>
      <c r="AC16" s="91">
        <f>(AA16*AB16)^2</f>
        <v>18402.972699817241</v>
      </c>
      <c r="AD16" s="92">
        <f>VLOOKUP($C16,$BH$109:$CL$513,21,FALSE)</f>
        <v>3.6999999999999998E-5</v>
      </c>
      <c r="AE16" s="90" t="str">
        <f>VLOOKUP($C16,$BH$109:$CL$513,22,FALSE)</f>
        <v>kg CH4/gal</v>
      </c>
      <c r="AF16" s="88">
        <f>IF($Q16&gt;0,VLOOKUP($C16,$BH$109:$CL$513,24,FALSE),0)</f>
        <v>9.5000000000000001E-2</v>
      </c>
      <c r="AG16" s="93">
        <f>($Q16*AD16)/1000</f>
        <v>7.0534974419999997E-3</v>
      </c>
      <c r="AH16" s="91">
        <f>AG16*$BI$464</f>
        <v>0.197497928376</v>
      </c>
      <c r="AI16" s="88">
        <f>IF(AG16&gt;0,SQRT(($V16*$V16)+(AF16*AF16)),0)</f>
        <v>0.11805536604484514</v>
      </c>
      <c r="AJ16" s="91">
        <f>(AH16*AI16)^2</f>
        <v>5.4362141078601132E-4</v>
      </c>
      <c r="AK16" s="92">
        <f>VLOOKUP($C16,$BH$109:$CL$513,27,FALSE)</f>
        <v>3.6999999999999998E-5</v>
      </c>
      <c r="AL16" s="90" t="str">
        <f>VLOOKUP($C16,$BH$109:$CL$513,28,FALSE)</f>
        <v>kg N2O/gal</v>
      </c>
      <c r="AM16" s="88">
        <f>IF($Q16&gt;0,VLOOKUP($C16,$BH$109:$CL$513,30,FALSE),0)</f>
        <v>0.12</v>
      </c>
      <c r="AN16" s="93">
        <f>($Q16*AK16)/1000</f>
        <v>7.0534974419999997E-3</v>
      </c>
      <c r="AO16" s="91">
        <f>AN16*$BI$465</f>
        <v>1.86917682213</v>
      </c>
      <c r="AP16" s="88">
        <f>IF(AN16&gt;0,SQRT(($V16*$V16)+(AM16*AM16)),0)</f>
        <v>0.13896787201357866</v>
      </c>
      <c r="AQ16" s="91">
        <f>(AO16*AP16)^2</f>
        <v>6.7472932969860622E-2</v>
      </c>
      <c r="AR16" s="94">
        <v>0</v>
      </c>
      <c r="AS16" s="90" t="str">
        <f>VLOOKUP($C16,$BH$109:$CL$513,4,FALSE)</f>
        <v>kg CO2/gal</v>
      </c>
      <c r="AT16" s="88">
        <f>IF($Q16&gt;0,VLOOKUP($C16,$BH$109:$CL$513,6,FALSE),0)</f>
        <v>2.0499999999999997E-3</v>
      </c>
      <c r="AU16" s="93">
        <f>($Q16*AR16)/1000</f>
        <v>0</v>
      </c>
      <c r="AV16" s="88">
        <f>IF(AU16&gt;0,SQRT(($V16*$V16)+(AT16*AT16)),0)</f>
        <v>0</v>
      </c>
      <c r="AW16" s="91">
        <f>(AU16*AV16)^2</f>
        <v>0</v>
      </c>
      <c r="AX16" s="94">
        <v>0</v>
      </c>
      <c r="AY16" s="90">
        <v>0</v>
      </c>
      <c r="AZ16" s="88">
        <v>0</v>
      </c>
      <c r="BA16" s="93">
        <f>($Q16*AX16)/1000</f>
        <v>0</v>
      </c>
      <c r="BB16" s="93">
        <f>BA16*$BI$466</f>
        <v>0</v>
      </c>
      <c r="BC16" s="88">
        <f>IF(BA16&gt;0,SQRT(($V16*$V16)+(AZ16*AZ16)),0)</f>
        <v>0</v>
      </c>
      <c r="BD16" s="91">
        <f>(BB16*BC16)^2</f>
        <v>0</v>
      </c>
      <c r="BE16" s="87">
        <f>AA16+AH16+AO16+AU16+BB16</f>
        <v>1936.8219595845057</v>
      </c>
      <c r="BF16" s="95">
        <f>IF(BE16&gt;0,SQRT(AC16+AJ16+AQ16+AW16+BD16)/BE16,0)</f>
        <v>7.0041444314187948E-2</v>
      </c>
      <c r="BG16" s="235">
        <f>(BE16*BF16)^2</f>
        <v>18403.040716371626</v>
      </c>
    </row>
    <row r="17" spans="1:133" ht="27" x14ac:dyDescent="0.25">
      <c r="B17" s="83" t="s">
        <v>228</v>
      </c>
      <c r="C17" s="84" t="s">
        <v>230</v>
      </c>
      <c r="D17" s="85" t="str">
        <f>VLOOKUP($C17,$BH$109:$CL$513,2,FALSE)</f>
        <v>Gal</v>
      </c>
      <c r="E17" s="86">
        <v>7110.9252000000006</v>
      </c>
      <c r="F17" s="86">
        <v>8745.8543999999983</v>
      </c>
      <c r="G17" s="86">
        <v>7785.2907000000005</v>
      </c>
      <c r="H17" s="86">
        <v>4980.9807000000001</v>
      </c>
      <c r="I17" s="86">
        <v>5365.0422000000008</v>
      </c>
      <c r="J17" s="86">
        <v>6256.7594999999992</v>
      </c>
      <c r="K17" s="86">
        <v>6368.4800999999998</v>
      </c>
      <c r="L17" s="86">
        <v>6260.037299999999</v>
      </c>
      <c r="M17" s="86">
        <v>7032.310199999999</v>
      </c>
      <c r="N17" s="86">
        <v>7438.8951000000025</v>
      </c>
      <c r="O17" s="86">
        <v>6645.1247999999996</v>
      </c>
      <c r="P17" s="86">
        <v>6532.9668000000001</v>
      </c>
      <c r="Q17" s="87">
        <f>SUM(E17:P17)</f>
        <v>80522.667000000001</v>
      </c>
      <c r="R17" s="85">
        <f>COUNT(E17:P17)</f>
        <v>12</v>
      </c>
      <c r="S17" s="87">
        <f>IF(R17&gt;1,AVERAGE(E17:P17),0)</f>
        <v>6710.2222499999998</v>
      </c>
      <c r="T17" s="87">
        <f>IF(R17&gt;1,STDEV(E17:P17),0)</f>
        <v>1020.4884559476377</v>
      </c>
      <c r="U17" s="87">
        <f>IF(R17&gt;1,VLOOKUP($R17,$BH$445:$BI$457,2,FALSE),0)</f>
        <v>2.2000000000000002</v>
      </c>
      <c r="V17" s="88">
        <f>IF(R17&gt;1,1-((S17-((T17*U17)/(SQRT(R17))))/S17),VLOOKUP($C17,$BH$109:$CO$513,34,FALSE))</f>
        <v>9.6583568930358688E-2</v>
      </c>
      <c r="W17" s="89">
        <f>VLOOKUP($C17,$BH$109:$CL$513,3,FALSE)</f>
        <v>8.8085000000000004</v>
      </c>
      <c r="X17" s="90" t="str">
        <f>VLOOKUP($C17,$BH$109:$CL$513,4,FALSE)</f>
        <v>kg CO2/gal</v>
      </c>
      <c r="Y17" s="88">
        <f>IF($Q17&gt;0,VLOOKUP($C17,$BH$109:$CL$513,6,FALSE),0)</f>
        <v>2.0300000000000001E-3</v>
      </c>
      <c r="Z17" s="91">
        <f>($Q17*W17)/1000</f>
        <v>709.28391226950009</v>
      </c>
      <c r="AA17" s="91">
        <f>Z17*$BI$463</f>
        <v>709.28391226950009</v>
      </c>
      <c r="AB17" s="88">
        <f>IF(Z17&gt;0,SQRT(($V17*$V17)+(Y17*Y17)),0)</f>
        <v>9.6604899913644904E-2</v>
      </c>
      <c r="AC17" s="91">
        <f>(AA17*AB17)^2</f>
        <v>4695.0316978010569</v>
      </c>
      <c r="AD17" s="427">
        <f>VLOOKUP($C17,$BH$109:$CL$513,21,FALSE)</f>
        <v>2.9260000000000001E-4</v>
      </c>
      <c r="AE17" s="90" t="str">
        <f>VLOOKUP($C17,$BH$109:$CL$513,22,FALSE)</f>
        <v>kg CH4/gal</v>
      </c>
      <c r="AF17" s="88">
        <f>IF($Q17&gt;0,VLOOKUP($C17,$BH$109:$CL$513,24,FALSE),0)</f>
        <v>1.1000000000000001</v>
      </c>
      <c r="AG17" s="93">
        <f>($Q17*AD17)/1000</f>
        <v>2.3560932364200003E-2</v>
      </c>
      <c r="AH17" s="91">
        <f>AG17*$BI$464</f>
        <v>0.65970610619760006</v>
      </c>
      <c r="AI17" s="88">
        <f>IF(AG17&gt;0,SQRT(($V17*$V17)+(AF17*AF17)),0)</f>
        <v>1.1042320343964513</v>
      </c>
      <c r="AJ17" s="91">
        <f>(AH17*AI17)^2</f>
        <v>0.53066652413321258</v>
      </c>
      <c r="AK17" s="92">
        <f>VLOOKUP($C17,$BH$109:$CL$513,27,FALSE)</f>
        <v>2.8400000000000003E-5</v>
      </c>
      <c r="AL17" s="90" t="str">
        <f>VLOOKUP($C17,$BH$109:$CL$513,28,FALSE)</f>
        <v>kg N2O/gal</v>
      </c>
      <c r="AM17" s="88">
        <f>IF($Q17&gt;0,VLOOKUP($C17,$BH$109:$CL$513,30,FALSE),0)</f>
        <v>0.11</v>
      </c>
      <c r="AN17" s="93">
        <f>($Q17*AK17)/1000</f>
        <v>2.2868437428000005E-3</v>
      </c>
      <c r="AO17" s="91">
        <f>AN17*$BI$465</f>
        <v>0.6060135918420001</v>
      </c>
      <c r="AP17" s="88">
        <f>IF(AN17&gt;0,SQRT(($V17*$V17)+(AM17*AM17)),0)</f>
        <v>0.14638437685533709</v>
      </c>
      <c r="AQ17" s="91">
        <f>(AO17*AP17)^2</f>
        <v>7.8696276834483853E-3</v>
      </c>
      <c r="AR17" s="94">
        <v>0</v>
      </c>
      <c r="AS17" s="90" t="str">
        <f>VLOOKUP($C17,$BH$109:$CL$513,4,FALSE)</f>
        <v>kg CO2/gal</v>
      </c>
      <c r="AT17" s="88">
        <f>IF($Q17&gt;0,VLOOKUP($C17,$BH$109:$CL$513,6,FALSE),0)</f>
        <v>2.0300000000000001E-3</v>
      </c>
      <c r="AU17" s="93">
        <f>($Q17*AR17)/1000</f>
        <v>0</v>
      </c>
      <c r="AV17" s="88">
        <f>IF(AU17&gt;0,SQRT(($V17*$V17)+(AT17*AT17)),0)</f>
        <v>0</v>
      </c>
      <c r="AW17" s="91">
        <f>(AU17*AV17)^2</f>
        <v>0</v>
      </c>
      <c r="AX17" s="94">
        <v>0</v>
      </c>
      <c r="AY17" s="90">
        <v>0</v>
      </c>
      <c r="AZ17" s="88">
        <v>0</v>
      </c>
      <c r="BA17" s="93">
        <f>($Q17*AX17)/1000</f>
        <v>0</v>
      </c>
      <c r="BB17" s="93">
        <f>BA17*$BI$466</f>
        <v>0</v>
      </c>
      <c r="BC17" s="88">
        <f>IF(BA17&gt;0,SQRT(($V17*$V17)+(AZ17*AZ17)),0)</f>
        <v>0</v>
      </c>
      <c r="BD17" s="91">
        <f>(BB17*BC17)^2</f>
        <v>0</v>
      </c>
      <c r="BE17" s="87">
        <f>AA17+AH17+AO17+AU17+BB17</f>
        <v>710.54963196753977</v>
      </c>
      <c r="BF17" s="95">
        <f>IF(BE17&gt;0,SQRT(AC17+AJ17+AQ17+AW17+BD17)/BE17,0)</f>
        <v>9.643834563516468E-2</v>
      </c>
      <c r="BG17" s="235">
        <f t="shared" ref="BG17:BG37" si="0">(BE17*BF17)^2</f>
        <v>4695.5702339528725</v>
      </c>
    </row>
    <row r="18" spans="1:133" x14ac:dyDescent="0.25">
      <c r="B18" s="83" t="s">
        <v>228</v>
      </c>
      <c r="C18" s="84" t="s">
        <v>231</v>
      </c>
      <c r="D18" s="85" t="str">
        <f>VLOOKUP($C18,$BH$109:$CL$513,2,FALSE)</f>
        <v>Gal</v>
      </c>
      <c r="E18" s="86">
        <v>1628.4068</v>
      </c>
      <c r="F18" s="86">
        <v>2105.9206000000004</v>
      </c>
      <c r="G18" s="86">
        <v>2101.0396999999998</v>
      </c>
      <c r="H18" s="86">
        <v>1442.8367000000001</v>
      </c>
      <c r="I18" s="86">
        <v>1763.9431999999995</v>
      </c>
      <c r="J18" s="86">
        <v>1912.4440999999993</v>
      </c>
      <c r="K18" s="86">
        <v>1656.4521999999999</v>
      </c>
      <c r="L18" s="86">
        <v>1688.1482000000003</v>
      </c>
      <c r="M18" s="86">
        <v>1726.8260999999998</v>
      </c>
      <c r="N18" s="86">
        <v>1749.4357000000005</v>
      </c>
      <c r="O18" s="86">
        <v>1795.3401999999999</v>
      </c>
      <c r="P18" s="86">
        <v>1610.8805000000004</v>
      </c>
      <c r="Q18" s="87">
        <f>SUM(E18:P18)</f>
        <v>21181.673999999995</v>
      </c>
      <c r="R18" s="85">
        <f>COUNT(E18:P18)</f>
        <v>12</v>
      </c>
      <c r="S18" s="87">
        <f>IF(R18&gt;1,AVERAGE(E18:P18),0)</f>
        <v>1765.1394999999995</v>
      </c>
      <c r="T18" s="87">
        <f>IF(R18&gt;1,STDEV(E18:P18),0)</f>
        <v>194.79563689852156</v>
      </c>
      <c r="U18" s="87">
        <f>IF(R18&gt;1,VLOOKUP($R18,$BH$445:$BI$457,2,FALSE),0)</f>
        <v>2.2000000000000002</v>
      </c>
      <c r="V18" s="88">
        <f>IF(R18&gt;1,1-((S18-((T18*U18)/(SQRT(R18))))/S18),VLOOKUP($C18,$BH$109:$CO$513,34,FALSE))</f>
        <v>7.0086157349239953E-2</v>
      </c>
      <c r="W18" s="89">
        <f>VLOOKUP($C18,$BH$109:$CL$513,3,FALSE)</f>
        <v>0</v>
      </c>
      <c r="X18" s="90" t="str">
        <f>VLOOKUP($C18,$BH$109:$CL$513,4,FALSE)</f>
        <v>kg CO2/gal</v>
      </c>
      <c r="Y18" s="88">
        <f>IF($Q18&gt;0,VLOOKUP($C18,$BH$109:$CL$513,6,FALSE),0)</f>
        <v>2.98E-3</v>
      </c>
      <c r="Z18" s="91">
        <f>($Q18*W18)/1000</f>
        <v>0</v>
      </c>
      <c r="AA18" s="91">
        <f>Z18*$BI$463</f>
        <v>0</v>
      </c>
      <c r="AB18" s="88">
        <f>IF(Z18&gt;0,SQRT(($V18*$V18)+(Y18*Y18)),0)</f>
        <v>0</v>
      </c>
      <c r="AC18" s="91">
        <f>(AA18*AB18)^2</f>
        <v>0</v>
      </c>
      <c r="AD18" s="92">
        <f>VLOOKUP($C18,$BH$109:$CL$513,21,FALSE)</f>
        <v>3.4200000000000005E-5</v>
      </c>
      <c r="AE18" s="90" t="str">
        <f>VLOOKUP($C18,$BH$109:$CL$513,22,FALSE)</f>
        <v>kg CH4/gal</v>
      </c>
      <c r="AF18" s="88">
        <f>IF($Q18&gt;0,VLOOKUP($C18,$BH$109:$CL$513,24,FALSE),0)</f>
        <v>9.5000000000000001E-2</v>
      </c>
      <c r="AG18" s="93">
        <f>($Q18*AD18)/1000</f>
        <v>7.2441325079999994E-4</v>
      </c>
      <c r="AH18" s="91">
        <f>AG18*$BI$464</f>
        <v>2.0283571022399999E-2</v>
      </c>
      <c r="AI18" s="88">
        <f>IF(AG18&gt;0,SQRT(($V18*$V18)+(AF18*AF18)),0)</f>
        <v>0.11805536604484534</v>
      </c>
      <c r="AJ18" s="91">
        <f>(AH18*AI18)^2</f>
        <v>5.7340344570854864E-6</v>
      </c>
      <c r="AK18" s="92">
        <f>VLOOKUP($C18,$BH$109:$CL$513,27,FALSE)</f>
        <v>3.4200000000000005E-5</v>
      </c>
      <c r="AL18" s="90" t="str">
        <f>VLOOKUP($C18,$BH$109:$CL$513,28,FALSE)</f>
        <v>kg N2O/gal</v>
      </c>
      <c r="AM18" s="88">
        <f>IF($Q18&gt;0,VLOOKUP($C18,$BH$109:$CL$513,30,FALSE),0)</f>
        <v>0.12</v>
      </c>
      <c r="AN18" s="93">
        <f>($Q18*AK18)/1000</f>
        <v>7.2441325079999994E-4</v>
      </c>
      <c r="AO18" s="91">
        <f>AN18*$BI$465</f>
        <v>0.19196951146199998</v>
      </c>
      <c r="AP18" s="88">
        <f>IF(AN18&gt;0,SQRT(($V18*$V18)+(AM18*AM18)),0)</f>
        <v>0.13896787201357882</v>
      </c>
      <c r="AQ18" s="91">
        <f>(AO18*AP18)^2</f>
        <v>7.1169404827230772E-4</v>
      </c>
      <c r="AR18" s="94">
        <v>0</v>
      </c>
      <c r="AS18" s="90" t="str">
        <f>VLOOKUP($C18,$BH$109:$CL$513,4,FALSE)</f>
        <v>kg CO2/gal</v>
      </c>
      <c r="AT18" s="88">
        <f>IF($Q18&gt;0,VLOOKUP($C18,$BH$109:$CL$513,6,FALSE),0)</f>
        <v>2.98E-3</v>
      </c>
      <c r="AU18" s="93">
        <f>($Q18*AR18)/1000</f>
        <v>0</v>
      </c>
      <c r="AV18" s="88">
        <f>IF(AU18&gt;0,SQRT(($V18*$V18)+(AT18*AT18)),0)</f>
        <v>0</v>
      </c>
      <c r="AW18" s="91">
        <f>(AU18*AV18)^2</f>
        <v>0</v>
      </c>
      <c r="AX18" s="94">
        <v>0</v>
      </c>
      <c r="AY18" s="90">
        <v>0</v>
      </c>
      <c r="AZ18" s="88">
        <v>0</v>
      </c>
      <c r="BA18" s="93">
        <f>($Q18*AX18)/1000</f>
        <v>0</v>
      </c>
      <c r="BB18" s="93">
        <f>BA18*$BI$466</f>
        <v>0</v>
      </c>
      <c r="BC18" s="88">
        <f>IF(BA18&gt;0,SQRT(($V18*$V18)+(AZ18*AZ18)),0)</f>
        <v>0</v>
      </c>
      <c r="BD18" s="91">
        <f>(BB18*BC18)^2</f>
        <v>0</v>
      </c>
      <c r="BE18" s="87">
        <f>AA18+AH18+AO18+AU18+BB18</f>
        <v>0.21225308248439997</v>
      </c>
      <c r="BF18" s="95">
        <f>IF(BE18&gt;0,SQRT(AC18+AJ18+AQ18+AW18+BD18)/BE18,0)</f>
        <v>0.12619297535258592</v>
      </c>
      <c r="BG18" s="235">
        <f t="shared" si="0"/>
        <v>7.1742808272939299E-4</v>
      </c>
    </row>
    <row r="19" spans="1:133" x14ac:dyDescent="0.25">
      <c r="B19" s="83" t="s">
        <v>228</v>
      </c>
      <c r="C19" s="84" t="s">
        <v>232</v>
      </c>
      <c r="D19" s="85" t="str">
        <f>VLOOKUP($C19,$BH$109:$CL$513,2,FALSE)</f>
        <v>Gal</v>
      </c>
      <c r="E19" s="86">
        <v>790.1028</v>
      </c>
      <c r="F19" s="86">
        <v>971.7615999999997</v>
      </c>
      <c r="G19" s="86">
        <v>865.03230000000008</v>
      </c>
      <c r="H19" s="86">
        <v>553.44229999999993</v>
      </c>
      <c r="I19" s="86">
        <v>596.11580000000004</v>
      </c>
      <c r="J19" s="86">
        <v>695.19549999999992</v>
      </c>
      <c r="K19" s="86">
        <v>707.60889999999995</v>
      </c>
      <c r="L19" s="86">
        <v>695.55969999999991</v>
      </c>
      <c r="M19" s="86">
        <v>781.36779999999987</v>
      </c>
      <c r="N19" s="86">
        <v>826.54390000000012</v>
      </c>
      <c r="O19" s="86">
        <v>738.34720000000004</v>
      </c>
      <c r="P19" s="86">
        <v>725.88520000000005</v>
      </c>
      <c r="Q19" s="87">
        <f>SUM(E19:P19)</f>
        <v>8946.9630000000016</v>
      </c>
      <c r="R19" s="85">
        <f>COUNT(E19:P19)</f>
        <v>12</v>
      </c>
      <c r="S19" s="87">
        <f>IF(R19&gt;1,AVERAGE(E19:P19),0)</f>
        <v>745.58025000000009</v>
      </c>
      <c r="T19" s="87">
        <f>IF(R19&gt;1,STDEV(E19:P19),0)</f>
        <v>113.38760621640266</v>
      </c>
      <c r="U19" s="87">
        <f>IF(R19&gt;1,VLOOKUP($R19,$BH$445:$BI$457,2,FALSE),0)</f>
        <v>2.2000000000000002</v>
      </c>
      <c r="V19" s="88">
        <f>IF(R19&gt;1,1-((S19-((T19*U19)/(SQRT(R19))))/S19),VLOOKUP($C19,$BH$109:$CO$513,34,FALSE))</f>
        <v>9.6583568930357466E-2</v>
      </c>
      <c r="W19" s="89">
        <f>VLOOKUP($C19,$BH$109:$CL$513,3,FALSE)</f>
        <v>0</v>
      </c>
      <c r="X19" s="90" t="str">
        <f>VLOOKUP($C19,$BH$109:$CL$513,4,FALSE)</f>
        <v>kg CO2/gal</v>
      </c>
      <c r="Y19" s="88">
        <f>IF($Q19&gt;0,VLOOKUP($C19,$BH$109:$CL$513,6,FALSE),0)</f>
        <v>3.4799999999999996E-3</v>
      </c>
      <c r="Z19" s="91">
        <f>($Q19*W19)/1000</f>
        <v>0</v>
      </c>
      <c r="AA19" s="91">
        <f>Z19*$BI$463</f>
        <v>0</v>
      </c>
      <c r="AB19" s="88">
        <f>IF(Z19&gt;0,SQRT(($V19*$V19)+(Y19*Y19)),0)</f>
        <v>0</v>
      </c>
      <c r="AC19" s="91">
        <f>(AA19*AB19)^2</f>
        <v>0</v>
      </c>
      <c r="AD19" s="92">
        <f>VLOOKUP($C19,$BH$109:$CL$513,21,FALSE)</f>
        <v>8.7700000000000004E-5</v>
      </c>
      <c r="AE19" s="90" t="str">
        <f>VLOOKUP($C19,$BH$109:$CL$513,22,FALSE)</f>
        <v>kg CH4/gal</v>
      </c>
      <c r="AF19" s="88">
        <f>IF($Q19&gt;0,VLOOKUP($C19,$BH$109:$CL$513,24,FALSE),0)</f>
        <v>0.84</v>
      </c>
      <c r="AG19" s="93">
        <f>($Q19*AD19)/1000</f>
        <v>7.8464865510000017E-4</v>
      </c>
      <c r="AH19" s="91">
        <f>AG19*$BI$464</f>
        <v>2.1970162342800005E-2</v>
      </c>
      <c r="AI19" s="88">
        <f>IF(AG19&gt;0,SQRT(($V19*$V19)+(AF19*AF19)),0)</f>
        <v>0.84553437883230098</v>
      </c>
      <c r="AJ19" s="91">
        <f>(AH19*AI19)^2</f>
        <v>3.4508737653534874E-4</v>
      </c>
      <c r="AK19" s="92">
        <f>VLOOKUP($C19,$BH$109:$CL$513,27,FALSE)</f>
        <v>1.9990000000000001E-4</v>
      </c>
      <c r="AL19" s="90" t="str">
        <f>VLOOKUP($C19,$BH$109:$CL$513,28,FALSE)</f>
        <v>kg N2O/gal</v>
      </c>
      <c r="AM19" s="88">
        <f>IF($Q19&gt;0,VLOOKUP($C19,$BH$109:$CL$513,30,FALSE),0)</f>
        <v>1.23</v>
      </c>
      <c r="AN19" s="93">
        <f>($Q19*AK19)/1000</f>
        <v>1.7884979037000005E-3</v>
      </c>
      <c r="AO19" s="91">
        <f>AN19*$BI$465</f>
        <v>0.4739519444805001</v>
      </c>
      <c r="AP19" s="88">
        <f>IF(AN19&gt;0,SQRT(($V19*$V19)+(AM19*AM19)),0)</f>
        <v>1.2337861993827477</v>
      </c>
      <c r="AQ19" s="91">
        <f>(AO19*AP19)^2</f>
        <v>0.34193884072135428</v>
      </c>
      <c r="AR19" s="94">
        <v>0</v>
      </c>
      <c r="AS19" s="90" t="str">
        <f>VLOOKUP($C19,$BH$109:$CL$513,4,FALSE)</f>
        <v>kg CO2/gal</v>
      </c>
      <c r="AT19" s="88">
        <f>IF($Q19&gt;0,VLOOKUP($C19,$BH$109:$CL$513,6,FALSE),0)</f>
        <v>3.4799999999999996E-3</v>
      </c>
      <c r="AU19" s="93">
        <f>($Q19*AR19)/1000</f>
        <v>0</v>
      </c>
      <c r="AV19" s="88">
        <f>IF(AU19&gt;0,SQRT(($V19*$V19)+(AT19*AT19)),0)</f>
        <v>0</v>
      </c>
      <c r="AW19" s="91">
        <f>(AU19*AV19)^2</f>
        <v>0</v>
      </c>
      <c r="AX19" s="94">
        <v>0</v>
      </c>
      <c r="AY19" s="90">
        <v>0</v>
      </c>
      <c r="AZ19" s="88">
        <v>0</v>
      </c>
      <c r="BA19" s="93">
        <f>($Q19*AX19)/1000</f>
        <v>0</v>
      </c>
      <c r="BB19" s="93">
        <f>BA19*$BI$466</f>
        <v>0</v>
      </c>
      <c r="BC19" s="88">
        <f>IF(BA19&gt;0,SQRT(($V19*$V19)+(AZ19*AZ19)),0)</f>
        <v>0</v>
      </c>
      <c r="BD19" s="91">
        <f>(BB19*BC19)^2</f>
        <v>0</v>
      </c>
      <c r="BE19" s="87">
        <f>AA19+AH19+AO19+AU19+BB19</f>
        <v>0.49592210682330012</v>
      </c>
      <c r="BF19" s="95">
        <f>IF(BE19&gt;0,SQRT(AC19+AJ19+AQ19+AW19+BD19)/BE19,0)</f>
        <v>1.1797222904123044</v>
      </c>
      <c r="BG19" s="235">
        <f t="shared" si="0"/>
        <v>0.34228392809788954</v>
      </c>
    </row>
    <row r="20" spans="1:133" ht="14" x14ac:dyDescent="0.25">
      <c r="B20" s="99" t="s">
        <v>233</v>
      </c>
      <c r="C20" s="100"/>
      <c r="D20" s="100"/>
      <c r="E20" s="100"/>
      <c r="F20" s="100"/>
      <c r="G20" s="100"/>
      <c r="H20" s="100"/>
      <c r="I20" s="100"/>
      <c r="J20" s="100"/>
      <c r="K20" s="100"/>
      <c r="L20" s="100"/>
      <c r="M20" s="100"/>
      <c r="N20" s="100"/>
      <c r="O20" s="100"/>
      <c r="P20" s="100"/>
      <c r="Q20" s="100"/>
      <c r="R20" s="100"/>
      <c r="S20" s="100"/>
      <c r="T20" s="100"/>
      <c r="U20" s="100"/>
      <c r="V20" s="100"/>
      <c r="W20" s="101"/>
      <c r="X20" s="100"/>
      <c r="Y20" s="100"/>
      <c r="Z20" s="102"/>
      <c r="AA20" s="103">
        <f>SUM(AA16:AA19)</f>
        <v>2644.0391971035001</v>
      </c>
      <c r="AB20" s="104">
        <f>IF(AA20&gt;0,SQRT(SUM(AC16:AC19))/AA20,0)</f>
        <v>5.7480341634328483E-2</v>
      </c>
      <c r="AC20" s="103">
        <f>(AA20*AB20)^2</f>
        <v>23098.004397618297</v>
      </c>
      <c r="AD20" s="105"/>
      <c r="AE20" s="100"/>
      <c r="AF20" s="100"/>
      <c r="AG20" s="106"/>
      <c r="AH20" s="103">
        <f>SUM(AH16:AH19)</f>
        <v>0.89945776793880006</v>
      </c>
      <c r="AI20" s="104">
        <f>IF(AH20&gt;0,SQRT(SUM(AJ16:AJ19))/AH20,0)</f>
        <v>0.81057977729167729</v>
      </c>
      <c r="AJ20" s="103">
        <f>(AH20*AI20)^2</f>
        <v>0.531560966954991</v>
      </c>
      <c r="AK20" s="100"/>
      <c r="AL20" s="100"/>
      <c r="AM20" s="100"/>
      <c r="AN20" s="100"/>
      <c r="AO20" s="103">
        <f>SUM(AO16:AO19)</f>
        <v>3.1411118699145004</v>
      </c>
      <c r="AP20" s="104">
        <f>IF(AO20&gt;0,SQRT(SUM(AQ16:AQ19))/AO20,0)</f>
        <v>0.20582643408993656</v>
      </c>
      <c r="AQ20" s="103">
        <f>(AO20*AP20)^2</f>
        <v>0.41799309542293567</v>
      </c>
      <c r="AR20" s="100"/>
      <c r="AS20" s="100"/>
      <c r="AT20" s="100"/>
      <c r="AU20" s="103">
        <f>SUM(AU16:AU19)</f>
        <v>0</v>
      </c>
      <c r="AV20" s="104">
        <f>IF(AU20&gt;0,SQRT(SUM(AW16:AW19))/AU20,0)</f>
        <v>0</v>
      </c>
      <c r="AW20" s="103">
        <f>(AU20*AV20)^2</f>
        <v>0</v>
      </c>
      <c r="AX20" s="100"/>
      <c r="AY20" s="100"/>
      <c r="AZ20" s="107"/>
      <c r="BA20" s="103">
        <f>(AY20*AZ20)^2</f>
        <v>0</v>
      </c>
      <c r="BB20" s="103">
        <f>SUM(BB16:BB19)</f>
        <v>0</v>
      </c>
      <c r="BC20" s="104">
        <f>IF(BB20&gt;0,SQRT(SUM(BD16:BD19))/BB20,0)</f>
        <v>0</v>
      </c>
      <c r="BD20" s="103">
        <f>(BB20*BC20)^2</f>
        <v>0</v>
      </c>
      <c r="BE20" s="103">
        <f>SUM(BE16:BE19)</f>
        <v>2648.0797667413535</v>
      </c>
      <c r="BF20" s="109">
        <f>IF(BE20&gt;0,SQRT(SUM(BG16:BG19))/BE20,0)</f>
        <v>5.7393815004844237E-2</v>
      </c>
      <c r="BG20" s="235">
        <f t="shared" si="0"/>
        <v>23098.95395168068</v>
      </c>
    </row>
    <row r="21" spans="1:133" s="36" customFormat="1" ht="25.5" customHeight="1" x14ac:dyDescent="0.25">
      <c r="A21" s="30"/>
      <c r="B21" s="613" t="s">
        <v>234</v>
      </c>
      <c r="C21" s="614"/>
      <c r="D21" s="614"/>
      <c r="E21" s="614"/>
      <c r="F21" s="614"/>
      <c r="G21" s="614"/>
      <c r="H21" s="614"/>
      <c r="I21" s="614"/>
      <c r="J21" s="614"/>
      <c r="K21" s="614"/>
      <c r="L21" s="614"/>
      <c r="M21" s="614"/>
      <c r="N21" s="614"/>
      <c r="O21" s="614"/>
      <c r="P21" s="614"/>
      <c r="Q21" s="614"/>
      <c r="R21" s="614"/>
      <c r="S21" s="614"/>
      <c r="T21" s="614"/>
      <c r="U21" s="614"/>
      <c r="V21" s="615"/>
      <c r="W21" s="615"/>
      <c r="X21" s="615"/>
      <c r="Y21" s="615"/>
      <c r="Z21" s="615"/>
      <c r="AA21" s="615"/>
      <c r="AB21" s="615"/>
      <c r="AC21" s="615"/>
      <c r="AD21" s="615"/>
      <c r="AE21" s="615"/>
      <c r="AF21" s="615"/>
      <c r="AG21" s="615"/>
      <c r="AH21" s="615"/>
      <c r="AI21" s="615"/>
      <c r="AJ21" s="615"/>
      <c r="AK21" s="615"/>
      <c r="AL21" s="615"/>
      <c r="AM21" s="615"/>
      <c r="AN21" s="615"/>
      <c r="AO21" s="615"/>
      <c r="AP21" s="615"/>
      <c r="AQ21" s="615"/>
      <c r="AR21" s="615"/>
      <c r="AS21" s="615"/>
      <c r="AT21" s="615"/>
      <c r="AU21" s="615"/>
      <c r="AV21" s="615"/>
      <c r="AW21" s="615"/>
      <c r="AX21" s="615"/>
      <c r="AY21" s="615"/>
      <c r="AZ21" s="615"/>
      <c r="BA21" s="615"/>
      <c r="BB21" s="615"/>
      <c r="BC21" s="615"/>
      <c r="BD21" s="615"/>
      <c r="BE21" s="615"/>
      <c r="BF21" s="616"/>
      <c r="BG21" s="235"/>
      <c r="BI21" s="37"/>
      <c r="BJ21" s="37"/>
      <c r="BK21" s="37"/>
      <c r="BL21" s="38"/>
      <c r="BM21" s="38"/>
      <c r="BN21" s="38"/>
      <c r="BO21" s="37"/>
      <c r="BP21" s="37"/>
      <c r="BQ21" s="37"/>
      <c r="BR21" s="37"/>
      <c r="BS21" s="37"/>
      <c r="BT21" s="37"/>
      <c r="BU21" s="37"/>
      <c r="BV21" s="37"/>
      <c r="BW21" s="37"/>
      <c r="BX21" s="37"/>
      <c r="BY21" s="37"/>
      <c r="BZ21" s="37"/>
      <c r="CA21" s="39"/>
      <c r="CB21" s="37"/>
      <c r="CC21" s="37"/>
      <c r="CD21" s="39"/>
      <c r="CE21" s="39"/>
      <c r="CF21" s="39"/>
      <c r="CG21" s="39"/>
      <c r="CH21" s="37"/>
      <c r="CI21" s="37"/>
      <c r="CJ21" s="39"/>
      <c r="CK21" s="39"/>
      <c r="CL21" s="39"/>
      <c r="CM21" s="40"/>
      <c r="CN21" s="41"/>
      <c r="CO21" s="41"/>
      <c r="CP21" s="42"/>
      <c r="CQ21" s="42"/>
      <c r="CR21" s="42"/>
      <c r="CS21" s="42"/>
      <c r="CT21" s="42"/>
      <c r="CU21" s="42"/>
      <c r="CV21" s="42"/>
      <c r="CW21" s="42"/>
      <c r="CX21" s="42"/>
      <c r="CY21" s="42"/>
      <c r="CZ21" s="42"/>
      <c r="DA21" s="42"/>
      <c r="DB21" s="42"/>
      <c r="DC21" s="42"/>
      <c r="DD21" s="42"/>
      <c r="DE21" s="42"/>
      <c r="DF21" s="42"/>
      <c r="DG21" s="42"/>
      <c r="DH21" s="42"/>
      <c r="DI21" s="42"/>
      <c r="DJ21" s="42"/>
      <c r="DK21" s="42"/>
      <c r="DL21" s="42"/>
      <c r="DM21" s="42"/>
      <c r="DN21" s="42"/>
      <c r="DO21" s="42"/>
      <c r="DP21" s="42"/>
      <c r="DQ21" s="42"/>
      <c r="DR21" s="42"/>
      <c r="DS21" s="42"/>
      <c r="DT21" s="42"/>
      <c r="DU21" s="42"/>
      <c r="DV21" s="43"/>
      <c r="DW21" s="43"/>
      <c r="DX21" s="43"/>
      <c r="DY21" s="43"/>
      <c r="DZ21" s="43"/>
      <c r="EA21" s="43"/>
      <c r="EB21" s="43"/>
      <c r="EC21" s="43"/>
    </row>
    <row r="22" spans="1:133" ht="15" customHeight="1" x14ac:dyDescent="0.25">
      <c r="B22" s="83" t="s">
        <v>235</v>
      </c>
      <c r="C22" s="84" t="s">
        <v>229</v>
      </c>
      <c r="D22" s="85" t="str">
        <f t="shared" ref="D22:D28" si="1">VLOOKUP($C22,$BH$109:$CL$513,2,FALSE)</f>
        <v>Gal</v>
      </c>
      <c r="E22" s="97">
        <v>1264.5</v>
      </c>
      <c r="F22" s="97">
        <v>208.62900000000002</v>
      </c>
      <c r="G22" s="97">
        <v>447.3</v>
      </c>
      <c r="H22" s="97">
        <v>1543.5</v>
      </c>
      <c r="I22" s="97">
        <v>1195.2819</v>
      </c>
      <c r="J22" s="97">
        <v>1512</v>
      </c>
      <c r="K22" s="97">
        <v>1224</v>
      </c>
      <c r="L22" s="97">
        <v>394.38</v>
      </c>
      <c r="M22" s="97">
        <v>1745.0100000000002</v>
      </c>
      <c r="N22" s="97">
        <v>234.46170000000004</v>
      </c>
      <c r="O22" s="97">
        <v>2857.8879000000006</v>
      </c>
      <c r="P22" s="97">
        <v>631.08000000000004</v>
      </c>
      <c r="Q22" s="87">
        <f t="shared" ref="Q22:Q27" si="2">SUM(E22:P22)</f>
        <v>13258.030500000003</v>
      </c>
      <c r="R22" s="85">
        <f t="shared" ref="R22:R28" si="3">COUNT(E22:P22)</f>
        <v>12</v>
      </c>
      <c r="S22" s="87">
        <f t="shared" ref="S22:S28" si="4">IF(R22&gt;1,AVERAGE(E22:P22),0)</f>
        <v>1104.8358750000002</v>
      </c>
      <c r="T22" s="87">
        <f t="shared" ref="T22:T28" si="5">IF(R22&gt;1,STDEV(E22:P22),0)</f>
        <v>775.26417377314453</v>
      </c>
      <c r="U22" s="87">
        <f t="shared" ref="U22:U28" si="6">IF(R22&gt;1,VLOOKUP($R22,$BH$445:$BI$457,2,FALSE),0)</f>
        <v>2.2000000000000002</v>
      </c>
      <c r="V22" s="88">
        <f t="shared" ref="V22:V28" si="7">IF(R22&gt;1,1-((S22-((T22*U22)/(SQRT(R22))))/S22),VLOOKUP($C22,$BH$109:$CO$513,34,FALSE))</f>
        <v>0.44563983529508178</v>
      </c>
      <c r="W22" s="89">
        <f>VLOOKUP($C22,$BH$109:$CL$513,3,FALSE)</f>
        <v>10.148999999999999</v>
      </c>
      <c r="X22" s="90" t="str">
        <f t="shared" ref="X22:X28" si="8">VLOOKUP($C22,$BH$109:$CL$513,4,FALSE)</f>
        <v>kg CO2/gal</v>
      </c>
      <c r="Y22" s="88">
        <f t="shared" ref="Y22:Y28" si="9">IF($Q22&gt;0,VLOOKUP($C22,$BH$109:$CL$513,6,FALSE),0)</f>
        <v>2.0499999999999997E-3</v>
      </c>
      <c r="Z22" s="91">
        <f t="shared" ref="Z22:Z28" si="10">($Q22*W22)/1000</f>
        <v>134.5557515445</v>
      </c>
      <c r="AA22" s="91">
        <f t="shared" ref="AA22:AA28" si="11">Z22*$BI$463</f>
        <v>134.5557515445</v>
      </c>
      <c r="AB22" s="88">
        <f t="shared" ref="AB22:AB28" si="12">IF(Z22&gt;0,SQRT(($V22*$V22)+(Y22*Y22)),0)</f>
        <v>0.44564455040068379</v>
      </c>
      <c r="AC22" s="91">
        <f t="shared" ref="AC22:AC29" si="13">(AA22*AB22)^2</f>
        <v>3595.6857814135137</v>
      </c>
      <c r="AD22" s="92">
        <f>VLOOKUP($C22,$BH$109:$CL$513,21,FALSE)</f>
        <v>3.6999999999999998E-5</v>
      </c>
      <c r="AE22" s="90" t="str">
        <f>VLOOKUP($C22,$BH$109:$CL$513,22,FALSE)</f>
        <v>kg CH4/gal</v>
      </c>
      <c r="AF22" s="88">
        <f t="shared" ref="AF22:AF28" si="14">IF($Q22&gt;0,VLOOKUP($C22,$BH$109:$CL$513,24,FALSE),0)</f>
        <v>9.5000000000000001E-2</v>
      </c>
      <c r="AG22" s="93">
        <f t="shared" ref="AG22:AG28" si="15">($Q22*AD22)/1000</f>
        <v>4.9054712850000006E-4</v>
      </c>
      <c r="AH22" s="91">
        <f t="shared" ref="AH22:AH28" si="16">AG22*$BI$464</f>
        <v>1.3735319598000001E-2</v>
      </c>
      <c r="AI22" s="88">
        <f t="shared" ref="AI22:AI28" si="17">IF(AG22&gt;0,SQRT(($V22*$V22)+(AF22*AF22)),0)</f>
        <v>0.45565322648021228</v>
      </c>
      <c r="AJ22" s="91">
        <f t="shared" ref="AJ22:AJ29" si="18">(AH22*AI22)^2</f>
        <v>3.9169356622149092E-5</v>
      </c>
      <c r="AK22" s="92">
        <f>VLOOKUP($C22,$BH$109:$CL$513,27,FALSE)</f>
        <v>3.6999999999999998E-5</v>
      </c>
      <c r="AL22" s="90" t="str">
        <f>VLOOKUP($C22,$BH$109:$CL$513,28,FALSE)</f>
        <v>kg N2O/gal</v>
      </c>
      <c r="AM22" s="88">
        <f t="shared" ref="AM22:AM28" si="19">IF($Q22&gt;0,VLOOKUP($C22,$BH$109:$CL$513,30,FALSE),0)</f>
        <v>0.12</v>
      </c>
      <c r="AN22" s="93">
        <f t="shared" ref="AN22:AN28" si="20">($Q22*AK22)/1000</f>
        <v>4.9054712850000006E-4</v>
      </c>
      <c r="AO22" s="91">
        <f t="shared" ref="AO22:AO28" si="21">AN22*$BI$465</f>
        <v>0.12999498905250001</v>
      </c>
      <c r="AP22" s="88">
        <f t="shared" ref="AP22:AP28" si="22">IF(AN22&gt;0,SQRT(($V22*$V22)+(AM22*AM22)),0)</f>
        <v>0.46151366480509287</v>
      </c>
      <c r="AQ22" s="91">
        <f t="shared" ref="AQ22:AQ29" si="23">(AO22*AP22)^2</f>
        <v>3.5993356871195322E-3</v>
      </c>
      <c r="AR22" s="94">
        <v>0</v>
      </c>
      <c r="AS22" s="90" t="str">
        <f t="shared" ref="AS22:AS28" si="24">VLOOKUP($C22,$BH$109:$CL$513,4,FALSE)</f>
        <v>kg CO2/gal</v>
      </c>
      <c r="AT22" s="88">
        <f>IF($Q22&gt;0,VLOOKUP($C22,$BH$109:$CL$513,6,FALSE),0)</f>
        <v>2.0499999999999997E-3</v>
      </c>
      <c r="AU22" s="93">
        <f t="shared" ref="AU22:AU28" si="25">($Q22*AR22)/1000</f>
        <v>0</v>
      </c>
      <c r="AV22" s="88">
        <f>IF(AU22&gt;0,SQRT(($V22*$V22)+(AT22*AT22)),0)</f>
        <v>0</v>
      </c>
      <c r="AW22" s="91">
        <f t="shared" ref="AW22:AW28" si="26">(AU22*AV22)^2</f>
        <v>0</v>
      </c>
      <c r="AX22" s="94">
        <v>0</v>
      </c>
      <c r="AY22" s="90">
        <v>0</v>
      </c>
      <c r="AZ22" s="88">
        <v>0</v>
      </c>
      <c r="BA22" s="93">
        <f t="shared" ref="BA22:BA28" si="27">($Q22*AX22)/1000</f>
        <v>0</v>
      </c>
      <c r="BB22" s="93">
        <f t="shared" ref="BB22:BB28" si="28">BA22*$BI$466</f>
        <v>0</v>
      </c>
      <c r="BC22" s="88">
        <f t="shared" ref="BC22:BC25" si="29">IF(BA22&gt;0,SQRT(($V22*$V22)+(AZ22*AZ22)),0)</f>
        <v>0</v>
      </c>
      <c r="BD22" s="91">
        <f t="shared" ref="BD22:BD28" si="30">(BB22*BC22)^2</f>
        <v>0</v>
      </c>
      <c r="BE22" s="87">
        <f t="shared" ref="BE22:BE28" si="31">AA22+AH22+AO22+AU22+BB22</f>
        <v>134.6994818531505</v>
      </c>
      <c r="BF22" s="95">
        <f>IF(BE22&gt;0,SQRT(AC22+AJ22+AQ22+AW22+BD22)/BE22,0)</f>
        <v>0.44516925317723133</v>
      </c>
      <c r="BG22" s="235">
        <f t="shared" si="0"/>
        <v>3595.6894199185576</v>
      </c>
    </row>
    <row r="23" spans="1:133" ht="27" x14ac:dyDescent="0.25">
      <c r="B23" s="83" t="s">
        <v>235</v>
      </c>
      <c r="C23" s="84" t="s">
        <v>230</v>
      </c>
      <c r="D23" s="85" t="str">
        <f t="shared" si="1"/>
        <v>Gal</v>
      </c>
      <c r="E23" s="97">
        <v>3.42</v>
      </c>
      <c r="F23" s="97">
        <v>0</v>
      </c>
      <c r="G23" s="97">
        <v>5.4</v>
      </c>
      <c r="H23" s="97">
        <v>9</v>
      </c>
      <c r="I23" s="97">
        <v>5.4</v>
      </c>
      <c r="J23" s="97">
        <v>1.8</v>
      </c>
      <c r="K23" s="97">
        <v>5.4</v>
      </c>
      <c r="L23" s="97">
        <v>1.5047999999999999</v>
      </c>
      <c r="M23" s="97">
        <v>0</v>
      </c>
      <c r="N23" s="97">
        <v>1.8</v>
      </c>
      <c r="O23" s="97">
        <v>0</v>
      </c>
      <c r="P23" s="97">
        <v>0</v>
      </c>
      <c r="Q23" s="87">
        <f t="shared" si="2"/>
        <v>33.724800000000002</v>
      </c>
      <c r="R23" s="85">
        <f t="shared" si="3"/>
        <v>12</v>
      </c>
      <c r="S23" s="87">
        <f t="shared" si="4"/>
        <v>2.8104</v>
      </c>
      <c r="T23" s="87">
        <f t="shared" si="5"/>
        <v>2.9254470539482584</v>
      </c>
      <c r="U23" s="87">
        <f t="shared" si="6"/>
        <v>2.2000000000000002</v>
      </c>
      <c r="V23" s="88">
        <f t="shared" si="7"/>
        <v>0.66108326519596039</v>
      </c>
      <c r="W23" s="89">
        <f>VLOOKUP($C23,$BH$109:$CL$513,3,FALSE)</f>
        <v>8.8085000000000004</v>
      </c>
      <c r="X23" s="90" t="str">
        <f t="shared" si="8"/>
        <v>kg CO2/gal</v>
      </c>
      <c r="Y23" s="88">
        <f t="shared" si="9"/>
        <v>2.0300000000000001E-3</v>
      </c>
      <c r="Z23" s="91">
        <f t="shared" si="10"/>
        <v>0.29706490080000003</v>
      </c>
      <c r="AA23" s="91">
        <f t="shared" si="11"/>
        <v>0.29706490080000003</v>
      </c>
      <c r="AB23" s="88">
        <f t="shared" si="12"/>
        <v>0.66108638196695024</v>
      </c>
      <c r="AC23" s="91">
        <f t="shared" si="13"/>
        <v>3.8567288364746405E-2</v>
      </c>
      <c r="AD23" s="92">
        <f>VLOOKUP($C23,$BH$109:$CL$513,21,FALSE)</f>
        <v>2.9260000000000001E-4</v>
      </c>
      <c r="AE23" s="90" t="str">
        <f>VLOOKUP($C23,$BH$109:$CL$513,22,FALSE)</f>
        <v>kg CH4/gal</v>
      </c>
      <c r="AF23" s="88">
        <f t="shared" si="14"/>
        <v>1.1000000000000001</v>
      </c>
      <c r="AG23" s="93">
        <f t="shared" si="15"/>
        <v>9.8678764800000002E-6</v>
      </c>
      <c r="AH23" s="91">
        <f t="shared" si="16"/>
        <v>2.7630054143999998E-4</v>
      </c>
      <c r="AI23" s="88">
        <f t="shared" si="17"/>
        <v>1.2833670883742316</v>
      </c>
      <c r="AJ23" s="91">
        <f t="shared" si="18"/>
        <v>1.2573762919037369E-7</v>
      </c>
      <c r="AK23" s="92">
        <f>VLOOKUP($C23,$BH$109:$CL$513,27,FALSE)</f>
        <v>2.8400000000000003E-5</v>
      </c>
      <c r="AL23" s="90" t="str">
        <f>VLOOKUP($C23,$BH$109:$CL$513,28,FALSE)</f>
        <v>kg N2O/gal</v>
      </c>
      <c r="AM23" s="88">
        <f t="shared" si="19"/>
        <v>0.11</v>
      </c>
      <c r="AN23" s="93">
        <f t="shared" si="20"/>
        <v>9.5778432000000026E-7</v>
      </c>
      <c r="AO23" s="91">
        <f t="shared" si="21"/>
        <v>2.5381284480000004E-4</v>
      </c>
      <c r="AP23" s="88">
        <f t="shared" si="22"/>
        <v>0.67017242820199074</v>
      </c>
      <c r="AQ23" s="91">
        <f t="shared" si="23"/>
        <v>2.8933455649637095E-8</v>
      </c>
      <c r="AR23" s="94">
        <v>0</v>
      </c>
      <c r="AS23" s="90" t="str">
        <f t="shared" si="24"/>
        <v>kg CO2/gal</v>
      </c>
      <c r="AT23" s="88">
        <f>IF($Q23&gt;0,VLOOKUP($C23,$BH$109:$CL$513,6,FALSE),0)</f>
        <v>2.0300000000000001E-3</v>
      </c>
      <c r="AU23" s="93">
        <f t="shared" si="25"/>
        <v>0</v>
      </c>
      <c r="AV23" s="88">
        <f t="shared" ref="AV23:AV27" si="32">IF(AU23&gt;0,SQRT(($V23*$V23)+(AT23*AT23)),0)</f>
        <v>0</v>
      </c>
      <c r="AW23" s="91">
        <f t="shared" si="26"/>
        <v>0</v>
      </c>
      <c r="AX23" s="94">
        <v>0</v>
      </c>
      <c r="AY23" s="90">
        <v>0</v>
      </c>
      <c r="AZ23" s="88">
        <v>0</v>
      </c>
      <c r="BA23" s="93">
        <f t="shared" si="27"/>
        <v>0</v>
      </c>
      <c r="BB23" s="93">
        <f t="shared" si="28"/>
        <v>0</v>
      </c>
      <c r="BC23" s="88">
        <f t="shared" si="29"/>
        <v>0</v>
      </c>
      <c r="BD23" s="91">
        <f t="shared" si="30"/>
        <v>0</v>
      </c>
      <c r="BE23" s="87">
        <f t="shared" si="31"/>
        <v>0.29759501418624007</v>
      </c>
      <c r="BF23" s="95">
        <f t="shared" ref="BF23:BF28" si="33">IF(BE23&gt;0,SQRT(AC23+AJ23+AQ23+AW23+BD23)/BE23,0)</f>
        <v>0.6599100956388656</v>
      </c>
      <c r="BG23" s="235">
        <f t="shared" si="0"/>
        <v>3.8567443035831241E-2</v>
      </c>
    </row>
    <row r="24" spans="1:133" ht="16" customHeight="1" x14ac:dyDescent="0.25">
      <c r="B24" s="83" t="s">
        <v>235</v>
      </c>
      <c r="C24" s="84" t="s">
        <v>231</v>
      </c>
      <c r="D24" s="85" t="str">
        <f t="shared" si="1"/>
        <v>Gal</v>
      </c>
      <c r="E24" s="97">
        <v>140.5</v>
      </c>
      <c r="F24" s="97">
        <v>23.180999999999997</v>
      </c>
      <c r="G24" s="97">
        <v>49.7</v>
      </c>
      <c r="H24" s="97">
        <v>171.5</v>
      </c>
      <c r="I24" s="97">
        <v>132.8091</v>
      </c>
      <c r="J24" s="97">
        <v>168</v>
      </c>
      <c r="K24" s="97">
        <v>136</v>
      </c>
      <c r="L24" s="97">
        <v>43.82</v>
      </c>
      <c r="M24" s="97">
        <v>193.89</v>
      </c>
      <c r="N24" s="97">
        <v>26.051300000000001</v>
      </c>
      <c r="O24" s="97">
        <v>317.54310000000004</v>
      </c>
      <c r="P24" s="97">
        <v>70.12</v>
      </c>
      <c r="Q24" s="87">
        <f>SUM(E24:P24)</f>
        <v>1473.1145000000001</v>
      </c>
      <c r="R24" s="85">
        <f t="shared" si="3"/>
        <v>12</v>
      </c>
      <c r="S24" s="87">
        <f t="shared" si="4"/>
        <v>122.75954166666668</v>
      </c>
      <c r="T24" s="87">
        <f t="shared" si="5"/>
        <v>86.140463752571605</v>
      </c>
      <c r="U24" s="87">
        <f t="shared" si="6"/>
        <v>2.2000000000000002</v>
      </c>
      <c r="V24" s="88">
        <f t="shared" si="7"/>
        <v>0.44563983529508178</v>
      </c>
      <c r="W24" s="89">
        <v>0</v>
      </c>
      <c r="X24" s="90" t="str">
        <f t="shared" si="8"/>
        <v>kg CO2/gal</v>
      </c>
      <c r="Y24" s="88">
        <f t="shared" si="9"/>
        <v>2.98E-3</v>
      </c>
      <c r="Z24" s="91">
        <f t="shared" si="10"/>
        <v>0</v>
      </c>
      <c r="AA24" s="91">
        <f t="shared" si="11"/>
        <v>0</v>
      </c>
      <c r="AB24" s="88">
        <f t="shared" si="12"/>
        <v>0</v>
      </c>
      <c r="AC24" s="91">
        <f t="shared" si="13"/>
        <v>0</v>
      </c>
      <c r="AD24" s="92">
        <f>VLOOKUP($C24,$BH$109:$CL$513,21,FALSE)</f>
        <v>3.4200000000000005E-5</v>
      </c>
      <c r="AE24" s="90" t="str">
        <f>VLOOKUP($C24,$BH$109:$CL$513,22,FALSE)</f>
        <v>kg CH4/gal</v>
      </c>
      <c r="AF24" s="88">
        <f t="shared" si="14"/>
        <v>9.5000000000000001E-2</v>
      </c>
      <c r="AG24" s="93">
        <f t="shared" si="15"/>
        <v>5.0380515900000016E-5</v>
      </c>
      <c r="AH24" s="91">
        <f t="shared" si="16"/>
        <v>1.4106544452000005E-3</v>
      </c>
      <c r="AI24" s="88">
        <f t="shared" si="17"/>
        <v>0.45565322648021228</v>
      </c>
      <c r="AJ24" s="91">
        <f t="shared" si="18"/>
        <v>4.1315230797942533E-7</v>
      </c>
      <c r="AK24" s="92">
        <f>VLOOKUP($C24,$BH$109:$CL$513,27,FALSE)</f>
        <v>3.4200000000000005E-5</v>
      </c>
      <c r="AL24" s="90" t="str">
        <f>VLOOKUP($C24,$BH$109:$CL$513,28,FALSE)</f>
        <v>kg N2O/gal</v>
      </c>
      <c r="AM24" s="88">
        <f t="shared" si="19"/>
        <v>0.12</v>
      </c>
      <c r="AN24" s="93">
        <f t="shared" si="20"/>
        <v>5.0380515900000016E-5</v>
      </c>
      <c r="AO24" s="91">
        <f t="shared" si="21"/>
        <v>1.3350836713500003E-2</v>
      </c>
      <c r="AP24" s="88">
        <f t="shared" si="22"/>
        <v>0.46151366480509287</v>
      </c>
      <c r="AQ24" s="91">
        <f t="shared" si="23"/>
        <v>3.7965235443393758E-5</v>
      </c>
      <c r="AR24" s="94">
        <f>VLOOKUP($C24,$BH$109:$CL$513,3,FALSE)</f>
        <v>0</v>
      </c>
      <c r="AS24" s="90" t="str">
        <f t="shared" si="24"/>
        <v>kg CO2/gal</v>
      </c>
      <c r="AT24" s="88">
        <f>IF($Q24&gt;0,VLOOKUP($C24,$BH$109:$CL$513,6,FALSE),0)</f>
        <v>2.98E-3</v>
      </c>
      <c r="AU24" s="93">
        <f t="shared" si="25"/>
        <v>0</v>
      </c>
      <c r="AV24" s="88">
        <f t="shared" si="32"/>
        <v>0</v>
      </c>
      <c r="AW24" s="91">
        <f t="shared" si="26"/>
        <v>0</v>
      </c>
      <c r="AX24" s="94">
        <v>0</v>
      </c>
      <c r="AY24" s="90">
        <v>0</v>
      </c>
      <c r="AZ24" s="88">
        <v>0</v>
      </c>
      <c r="BA24" s="93">
        <f t="shared" si="27"/>
        <v>0</v>
      </c>
      <c r="BB24" s="93">
        <f t="shared" si="28"/>
        <v>0</v>
      </c>
      <c r="BC24" s="88">
        <f t="shared" si="29"/>
        <v>0</v>
      </c>
      <c r="BD24" s="91">
        <f t="shared" si="30"/>
        <v>0</v>
      </c>
      <c r="BE24" s="87">
        <f>AA24+AH24+AO24+AU24+BB24</f>
        <v>1.4761491158700004E-2</v>
      </c>
      <c r="BF24" s="95">
        <f t="shared" si="33"/>
        <v>0.41967503222286134</v>
      </c>
      <c r="BG24" s="235">
        <f t="shared" si="0"/>
        <v>3.8378387751373189E-5</v>
      </c>
    </row>
    <row r="25" spans="1:133" ht="27" x14ac:dyDescent="0.25">
      <c r="B25" s="83" t="s">
        <v>235</v>
      </c>
      <c r="C25" s="84" t="s">
        <v>232</v>
      </c>
      <c r="D25" s="85" t="str">
        <f t="shared" si="1"/>
        <v>Gal</v>
      </c>
      <c r="E25" s="97">
        <v>0.38</v>
      </c>
      <c r="F25" s="97">
        <v>0</v>
      </c>
      <c r="G25" s="97">
        <v>0.6</v>
      </c>
      <c r="H25" s="97">
        <v>1</v>
      </c>
      <c r="I25" s="97">
        <v>0.6</v>
      </c>
      <c r="J25" s="97">
        <v>0.2</v>
      </c>
      <c r="K25" s="97">
        <v>0.6</v>
      </c>
      <c r="L25" s="97">
        <v>0.16719999999999999</v>
      </c>
      <c r="M25" s="97">
        <v>0</v>
      </c>
      <c r="N25" s="97">
        <v>0.2</v>
      </c>
      <c r="O25" s="97">
        <v>0</v>
      </c>
      <c r="P25" s="97">
        <v>0</v>
      </c>
      <c r="Q25" s="87">
        <f t="shared" si="2"/>
        <v>3.7472000000000003</v>
      </c>
      <c r="R25" s="85">
        <f t="shared" si="3"/>
        <v>12</v>
      </c>
      <c r="S25" s="87">
        <f t="shared" si="4"/>
        <v>0.31226666666666669</v>
      </c>
      <c r="T25" s="87">
        <f t="shared" si="5"/>
        <v>0.32504967266091761</v>
      </c>
      <c r="U25" s="87">
        <f t="shared" si="6"/>
        <v>2.2000000000000002</v>
      </c>
      <c r="V25" s="88">
        <f t="shared" si="7"/>
        <v>0.6610832651959605</v>
      </c>
      <c r="W25" s="89">
        <v>0</v>
      </c>
      <c r="X25" s="90" t="str">
        <f t="shared" si="8"/>
        <v>kg CO2/gal</v>
      </c>
      <c r="Y25" s="88">
        <f t="shared" si="9"/>
        <v>3.4799999999999996E-3</v>
      </c>
      <c r="Z25" s="91">
        <f t="shared" si="10"/>
        <v>0</v>
      </c>
      <c r="AA25" s="91">
        <f t="shared" si="11"/>
        <v>0</v>
      </c>
      <c r="AB25" s="88">
        <f t="shared" si="12"/>
        <v>0</v>
      </c>
      <c r="AC25" s="91">
        <f t="shared" si="13"/>
        <v>0</v>
      </c>
      <c r="AD25" s="92">
        <f>VLOOKUP($C25,$BH$109:$CL$513,21,FALSE)</f>
        <v>8.7700000000000004E-5</v>
      </c>
      <c r="AE25" s="90" t="str">
        <f>VLOOKUP($C25,$BH$109:$CL$513,22,FALSE)</f>
        <v>kg CH4/gal</v>
      </c>
      <c r="AF25" s="88">
        <f t="shared" si="14"/>
        <v>0.84</v>
      </c>
      <c r="AG25" s="115">
        <f t="shared" si="15"/>
        <v>3.2862944000000003E-7</v>
      </c>
      <c r="AH25" s="91">
        <f t="shared" si="16"/>
        <v>9.2016243200000003E-6</v>
      </c>
      <c r="AI25" s="88">
        <f t="shared" si="17"/>
        <v>1.0689392328482252</v>
      </c>
      <c r="AJ25" s="91">
        <f t="shared" si="18"/>
        <v>9.6746448296847702E-11</v>
      </c>
      <c r="AK25" s="92">
        <f>VLOOKUP($C25,$BH$109:$CL$513,27,FALSE)</f>
        <v>1.9990000000000001E-4</v>
      </c>
      <c r="AL25" s="90" t="str">
        <f>VLOOKUP($C25,$BH$109:$CL$513,28,FALSE)</f>
        <v>kg N2O/gal</v>
      </c>
      <c r="AM25" s="88">
        <f t="shared" si="19"/>
        <v>1.23</v>
      </c>
      <c r="AN25" s="93">
        <f t="shared" si="20"/>
        <v>7.4906528000000011E-7</v>
      </c>
      <c r="AO25" s="91">
        <f t="shared" si="21"/>
        <v>1.9850229920000004E-4</v>
      </c>
      <c r="AP25" s="88">
        <f t="shared" si="22"/>
        <v>1.3963993281014397</v>
      </c>
      <c r="AQ25" s="91">
        <f t="shared" si="23"/>
        <v>7.6833451908792957E-8</v>
      </c>
      <c r="AR25" s="94">
        <f>VLOOKUP($C25,$BH$109:$CL$513,3,FALSE)</f>
        <v>0</v>
      </c>
      <c r="AS25" s="90" t="str">
        <f t="shared" si="24"/>
        <v>kg CO2/gal</v>
      </c>
      <c r="AT25" s="88">
        <f>IF($Q25&gt;0,VLOOKUP($C25,$BH$109:$CL$513,6,FALSE),0)</f>
        <v>3.4799999999999996E-3</v>
      </c>
      <c r="AU25" s="93">
        <f t="shared" si="25"/>
        <v>0</v>
      </c>
      <c r="AV25" s="88">
        <f t="shared" si="32"/>
        <v>0</v>
      </c>
      <c r="AW25" s="91">
        <f t="shared" si="26"/>
        <v>0</v>
      </c>
      <c r="AX25" s="94">
        <v>0</v>
      </c>
      <c r="AY25" s="90">
        <v>0</v>
      </c>
      <c r="AZ25" s="88">
        <v>0</v>
      </c>
      <c r="BA25" s="93">
        <f t="shared" si="27"/>
        <v>0</v>
      </c>
      <c r="BB25" s="93">
        <f t="shared" si="28"/>
        <v>0</v>
      </c>
      <c r="BC25" s="88">
        <f t="shared" si="29"/>
        <v>0</v>
      </c>
      <c r="BD25" s="91">
        <f t="shared" si="30"/>
        <v>0</v>
      </c>
      <c r="BE25" s="87">
        <f t="shared" si="31"/>
        <v>2.0770392352000003E-4</v>
      </c>
      <c r="BF25" s="95">
        <f t="shared" si="33"/>
        <v>1.3353764891038551</v>
      </c>
      <c r="BG25" s="235">
        <f t="shared" si="0"/>
        <v>7.6930198357089812E-8</v>
      </c>
    </row>
    <row r="26" spans="1:133" x14ac:dyDescent="0.25">
      <c r="B26" s="83" t="s">
        <v>236</v>
      </c>
      <c r="C26" s="112" t="s">
        <v>237</v>
      </c>
      <c r="D26" s="85" t="str">
        <f t="shared" si="1"/>
        <v>m3</v>
      </c>
      <c r="E26" s="113">
        <v>571342.73339852004</v>
      </c>
      <c r="F26" s="113">
        <v>527530.75732426997</v>
      </c>
      <c r="G26" s="113">
        <v>500370.2934571199</v>
      </c>
      <c r="H26" s="113">
        <v>561691.17529303988</v>
      </c>
      <c r="I26" s="113">
        <v>573523.17065436998</v>
      </c>
      <c r="J26" s="113">
        <v>611363.34326177987</v>
      </c>
      <c r="K26" s="113">
        <v>546728.86328131997</v>
      </c>
      <c r="L26" s="114">
        <v>559916.26904306002</v>
      </c>
      <c r="M26" s="114">
        <v>363544.47119143006</v>
      </c>
      <c r="N26" s="114">
        <v>560890.7290039201</v>
      </c>
      <c r="O26" s="114">
        <v>437796.44616703992</v>
      </c>
      <c r="P26" s="114">
        <v>543626.44482432981</v>
      </c>
      <c r="Q26" s="87">
        <f t="shared" si="2"/>
        <v>6358324.6969001992</v>
      </c>
      <c r="R26" s="85">
        <f t="shared" si="3"/>
        <v>12</v>
      </c>
      <c r="S26" s="87">
        <f t="shared" si="4"/>
        <v>529860.39140834997</v>
      </c>
      <c r="T26" s="87">
        <f t="shared" si="5"/>
        <v>67846.94577222786</v>
      </c>
      <c r="U26" s="87">
        <f t="shared" si="6"/>
        <v>2.2000000000000002</v>
      </c>
      <c r="V26" s="88">
        <f t="shared" si="7"/>
        <v>8.1320661714854192E-2</v>
      </c>
      <c r="W26" s="89">
        <f>VLOOKUP($C26,$BH$109:$CL$513,3,FALSE)</f>
        <v>0</v>
      </c>
      <c r="X26" s="90" t="str">
        <f t="shared" si="8"/>
        <v>kg CO2/m3</v>
      </c>
      <c r="Y26" s="88">
        <f t="shared" si="9"/>
        <v>8.8870000000000005E-2</v>
      </c>
      <c r="Z26" s="91">
        <f t="shared" si="10"/>
        <v>0</v>
      </c>
      <c r="AA26" s="98">
        <f t="shared" si="11"/>
        <v>0</v>
      </c>
      <c r="AB26" s="88">
        <f t="shared" si="12"/>
        <v>0</v>
      </c>
      <c r="AC26" s="91">
        <f t="shared" si="13"/>
        <v>0</v>
      </c>
      <c r="AD26" s="110">
        <f>VLOOKUP($C26,$BH$109:$CL$513,9,FALSE)</f>
        <v>2.1999999999999999E-5</v>
      </c>
      <c r="AE26" s="90" t="str">
        <f>VLOOKUP($C26,$BH$109:$CL$513,10,FALSE)</f>
        <v>kg CH4/m3</v>
      </c>
      <c r="AF26" s="88">
        <f t="shared" si="14"/>
        <v>0</v>
      </c>
      <c r="AG26" s="115">
        <f t="shared" si="15"/>
        <v>0.13988314333180438</v>
      </c>
      <c r="AH26" s="91">
        <f t="shared" si="16"/>
        <v>3.9167280132905224</v>
      </c>
      <c r="AI26" s="88">
        <f t="shared" si="17"/>
        <v>8.1320661714854192E-2</v>
      </c>
      <c r="AJ26" s="91">
        <f t="shared" si="18"/>
        <v>0.10144920220836789</v>
      </c>
      <c r="AK26" s="92">
        <f>VLOOKUP($C26,$BH$109:$CL$513,15,FALSE)</f>
        <v>2.2000000000000001E-6</v>
      </c>
      <c r="AL26" s="90" t="str">
        <f>VLOOKUP($C26,$BH$109:$CL$513,16,FALSE)</f>
        <v>kg N2O/m3</v>
      </c>
      <c r="AM26" s="88">
        <f t="shared" si="19"/>
        <v>0</v>
      </c>
      <c r="AN26" s="93">
        <f t="shared" si="20"/>
        <v>1.3988314333180438E-2</v>
      </c>
      <c r="AO26" s="91">
        <f t="shared" si="21"/>
        <v>3.7069032982928163</v>
      </c>
      <c r="AP26" s="88">
        <f t="shared" si="22"/>
        <v>8.1320661714854192E-2</v>
      </c>
      <c r="AQ26" s="91">
        <f t="shared" si="23"/>
        <v>9.0870793687278503E-2</v>
      </c>
      <c r="AR26" s="94">
        <v>0</v>
      </c>
      <c r="AS26" s="90" t="str">
        <f t="shared" si="24"/>
        <v>kg CO2/m3</v>
      </c>
      <c r="AT26" s="88">
        <v>0</v>
      </c>
      <c r="AU26" s="93">
        <f t="shared" si="25"/>
        <v>0</v>
      </c>
      <c r="AV26" s="88">
        <f t="shared" si="32"/>
        <v>0</v>
      </c>
      <c r="AW26" s="91">
        <f t="shared" si="26"/>
        <v>0</v>
      </c>
      <c r="AX26" s="94">
        <v>0</v>
      </c>
      <c r="AY26" s="90">
        <v>0</v>
      </c>
      <c r="AZ26" s="88">
        <v>0</v>
      </c>
      <c r="BA26" s="93">
        <f t="shared" si="27"/>
        <v>0</v>
      </c>
      <c r="BB26" s="93">
        <f t="shared" si="28"/>
        <v>0</v>
      </c>
      <c r="BC26" s="88">
        <f>IF(BA26&gt;0,SQRT(($V26*$V26)+(AZ26*AZ26)),0)</f>
        <v>0</v>
      </c>
      <c r="BD26" s="91">
        <f t="shared" si="30"/>
        <v>0</v>
      </c>
      <c r="BE26" s="87">
        <f t="shared" si="31"/>
        <v>7.6236313115833383</v>
      </c>
      <c r="BF26" s="95">
        <f t="shared" si="33"/>
        <v>5.7524166601741165E-2</v>
      </c>
      <c r="BG26" s="235">
        <f t="shared" si="0"/>
        <v>0.19231999589564641</v>
      </c>
    </row>
    <row r="27" spans="1:133" ht="40.5" x14ac:dyDescent="0.25">
      <c r="B27" s="83" t="s">
        <v>238</v>
      </c>
      <c r="C27" s="112" t="s">
        <v>239</v>
      </c>
      <c r="D27" s="85" t="str">
        <f t="shared" si="1"/>
        <v>m3</v>
      </c>
      <c r="E27" s="116">
        <v>1329</v>
      </c>
      <c r="F27" s="116">
        <v>1510</v>
      </c>
      <c r="G27" s="116">
        <v>1173</v>
      </c>
      <c r="H27" s="116">
        <v>583</v>
      </c>
      <c r="I27" s="116">
        <v>575</v>
      </c>
      <c r="J27" s="116">
        <v>550</v>
      </c>
      <c r="K27" s="116">
        <v>587</v>
      </c>
      <c r="L27" s="116">
        <v>623</v>
      </c>
      <c r="M27" s="116">
        <v>360</v>
      </c>
      <c r="N27" s="116">
        <v>699</v>
      </c>
      <c r="O27" s="116">
        <v>586</v>
      </c>
      <c r="P27" s="116">
        <v>732</v>
      </c>
      <c r="Q27" s="87">
        <f t="shared" si="2"/>
        <v>9307</v>
      </c>
      <c r="R27" s="85">
        <f t="shared" si="3"/>
        <v>12</v>
      </c>
      <c r="S27" s="87">
        <f t="shared" si="4"/>
        <v>775.58333333333337</v>
      </c>
      <c r="T27" s="87">
        <f t="shared" si="5"/>
        <v>357.65002149977272</v>
      </c>
      <c r="U27" s="87">
        <f t="shared" si="6"/>
        <v>2.2000000000000002</v>
      </c>
      <c r="V27" s="88">
        <f t="shared" si="7"/>
        <v>0.29286120529591853</v>
      </c>
      <c r="W27" s="427">
        <v>1.9801</v>
      </c>
      <c r="X27" s="90" t="str">
        <f t="shared" si="8"/>
        <v>kg CO2/m3</v>
      </c>
      <c r="Y27" s="88">
        <f t="shared" si="9"/>
        <v>6.5890000000000004E-2</v>
      </c>
      <c r="Z27" s="91">
        <f t="shared" si="10"/>
        <v>18.4287907</v>
      </c>
      <c r="AA27" s="91">
        <f t="shared" si="11"/>
        <v>18.4287907</v>
      </c>
      <c r="AB27" s="88">
        <f t="shared" si="12"/>
        <v>0.30018190762832148</v>
      </c>
      <c r="AC27" s="91">
        <f t="shared" si="13"/>
        <v>30.602908354856005</v>
      </c>
      <c r="AD27" s="92">
        <f>VLOOKUP($C27,$BH$109:$CL$513,9,FALSE)</f>
        <v>3.57E-5</v>
      </c>
      <c r="AE27" s="90" t="str">
        <f>VLOOKUP($C27,$BH$109:$CL$513,10,FALSE)</f>
        <v>kg CH4/m3</v>
      </c>
      <c r="AF27" s="88">
        <f t="shared" si="14"/>
        <v>15.4</v>
      </c>
      <c r="AG27" s="93">
        <f t="shared" si="15"/>
        <v>3.3225989999999999E-4</v>
      </c>
      <c r="AH27" s="91">
        <f t="shared" si="16"/>
        <v>9.3032771999999996E-3</v>
      </c>
      <c r="AI27" s="88">
        <f t="shared" si="17"/>
        <v>15.402784413396411</v>
      </c>
      <c r="AJ27" s="91">
        <f t="shared" si="18"/>
        <v>2.0533850529189098E-2</v>
      </c>
      <c r="AK27" s="111">
        <f>VLOOKUP($C27,$BH$109:$CL$513,15,FALSE)</f>
        <v>3.5999999999999998E-6</v>
      </c>
      <c r="AL27" s="90" t="str">
        <f>VLOOKUP($C27,$BH$109:$CL$513,16,FALSE)</f>
        <v>kg N2O/m3</v>
      </c>
      <c r="AM27" s="88">
        <f t="shared" si="19"/>
        <v>0.77</v>
      </c>
      <c r="AN27" s="93">
        <f t="shared" si="20"/>
        <v>3.3505199999999999E-5</v>
      </c>
      <c r="AO27" s="91">
        <f t="shared" si="21"/>
        <v>8.8788779999999998E-3</v>
      </c>
      <c r="AP27" s="88">
        <f t="shared" si="22"/>
        <v>0.8238128947566784</v>
      </c>
      <c r="AQ27" s="91">
        <f t="shared" si="23"/>
        <v>5.3502410378224794E-5</v>
      </c>
      <c r="AR27" s="94">
        <v>0</v>
      </c>
      <c r="AS27" s="90" t="str">
        <f t="shared" si="24"/>
        <v>kg CO2/m3</v>
      </c>
      <c r="AT27" s="88">
        <v>0</v>
      </c>
      <c r="AU27" s="93">
        <f t="shared" si="25"/>
        <v>0</v>
      </c>
      <c r="AV27" s="88">
        <f t="shared" si="32"/>
        <v>0</v>
      </c>
      <c r="AW27" s="91">
        <f t="shared" si="26"/>
        <v>0</v>
      </c>
      <c r="AX27" s="94">
        <v>0</v>
      </c>
      <c r="AY27" s="90">
        <v>0</v>
      </c>
      <c r="AZ27" s="88">
        <v>0</v>
      </c>
      <c r="BA27" s="93">
        <f t="shared" si="27"/>
        <v>0</v>
      </c>
      <c r="BB27" s="93">
        <f t="shared" si="28"/>
        <v>0</v>
      </c>
      <c r="BC27" s="88">
        <f>IF(BA27&gt;0,SQRT(($V27*$V27)+(AZ27*AZ27)),0)</f>
        <v>0</v>
      </c>
      <c r="BD27" s="91">
        <f t="shared" si="30"/>
        <v>0</v>
      </c>
      <c r="BE27" s="87">
        <f t="shared" si="31"/>
        <v>18.446972855200002</v>
      </c>
      <c r="BF27" s="95">
        <f t="shared" si="33"/>
        <v>0.29998688853039523</v>
      </c>
      <c r="BG27" s="235">
        <f t="shared" si="0"/>
        <v>30.623495707795573</v>
      </c>
    </row>
    <row r="28" spans="1:133" ht="27" x14ac:dyDescent="0.25">
      <c r="B28" s="123" t="s">
        <v>240</v>
      </c>
      <c r="C28" s="112" t="s">
        <v>241</v>
      </c>
      <c r="D28" s="85" t="str">
        <f t="shared" si="1"/>
        <v>kg</v>
      </c>
      <c r="E28" s="117">
        <v>8</v>
      </c>
      <c r="F28" s="117">
        <v>7</v>
      </c>
      <c r="G28" s="117">
        <v>0</v>
      </c>
      <c r="H28" s="117">
        <v>6</v>
      </c>
      <c r="I28" s="117">
        <v>7</v>
      </c>
      <c r="J28" s="117">
        <v>21</v>
      </c>
      <c r="K28" s="117">
        <v>0</v>
      </c>
      <c r="L28" s="117">
        <v>21</v>
      </c>
      <c r="M28" s="117">
        <v>14</v>
      </c>
      <c r="N28" s="117">
        <v>14</v>
      </c>
      <c r="O28" s="117">
        <v>21</v>
      </c>
      <c r="P28" s="117">
        <v>6</v>
      </c>
      <c r="Q28" s="87">
        <f>SUM(E28:P28)</f>
        <v>125</v>
      </c>
      <c r="R28" s="85">
        <f t="shared" si="3"/>
        <v>12</v>
      </c>
      <c r="S28" s="87">
        <f t="shared" si="4"/>
        <v>10.416666666666666</v>
      </c>
      <c r="T28" s="87">
        <f t="shared" si="5"/>
        <v>7.6688073427754118</v>
      </c>
      <c r="U28" s="87">
        <f t="shared" si="6"/>
        <v>2.2000000000000002</v>
      </c>
      <c r="V28" s="88">
        <f t="shared" si="7"/>
        <v>0.46755329108027899</v>
      </c>
      <c r="W28" s="89">
        <f>VLOOKUP($C28,$BH$109:$CL$513,3,FALSE)</f>
        <v>3.38</v>
      </c>
      <c r="X28" s="90" t="str">
        <f t="shared" si="8"/>
        <v>kg CO2/kg</v>
      </c>
      <c r="Y28" s="88">
        <f t="shared" si="9"/>
        <v>0.2</v>
      </c>
      <c r="Z28" s="91">
        <f t="shared" si="10"/>
        <v>0.42249999999999999</v>
      </c>
      <c r="AA28" s="91">
        <f t="shared" si="11"/>
        <v>0.42249999999999999</v>
      </c>
      <c r="AB28" s="88">
        <f t="shared" si="12"/>
        <v>0.50853326341548211</v>
      </c>
      <c r="AC28" s="91">
        <f t="shared" si="13"/>
        <v>4.6162801568000018E-2</v>
      </c>
      <c r="AD28" s="92">
        <f>VLOOKUP($C28,$BH$109:$CL$513,9,FALSE)</f>
        <v>0</v>
      </c>
      <c r="AE28" s="90" t="str">
        <f>VLOOKUP($C28,$BH$109:$CL$513,10,FALSE)</f>
        <v>kg CH4/m3</v>
      </c>
      <c r="AF28" s="88">
        <f t="shared" si="14"/>
        <v>0</v>
      </c>
      <c r="AG28" s="93">
        <f t="shared" si="15"/>
        <v>0</v>
      </c>
      <c r="AH28" s="91">
        <f t="shared" si="16"/>
        <v>0</v>
      </c>
      <c r="AI28" s="88">
        <f t="shared" si="17"/>
        <v>0</v>
      </c>
      <c r="AJ28" s="91">
        <f t="shared" si="18"/>
        <v>0</v>
      </c>
      <c r="AK28" s="92">
        <f>VLOOKUP($C28,$BH$109:$CL$513,15,FALSE)</f>
        <v>0</v>
      </c>
      <c r="AL28" s="90" t="str">
        <f>VLOOKUP($C28,$BH$109:$CL$513,16,FALSE)</f>
        <v>kg N2O/m3</v>
      </c>
      <c r="AM28" s="88">
        <f t="shared" si="19"/>
        <v>0</v>
      </c>
      <c r="AN28" s="93">
        <f t="shared" si="20"/>
        <v>0</v>
      </c>
      <c r="AO28" s="91">
        <f t="shared" si="21"/>
        <v>0</v>
      </c>
      <c r="AP28" s="88">
        <f t="shared" si="22"/>
        <v>0</v>
      </c>
      <c r="AQ28" s="91">
        <f t="shared" si="23"/>
        <v>0</v>
      </c>
      <c r="AR28" s="94">
        <v>0</v>
      </c>
      <c r="AS28" s="90" t="str">
        <f t="shared" si="24"/>
        <v>kg CO2/kg</v>
      </c>
      <c r="AT28" s="88">
        <v>0</v>
      </c>
      <c r="AU28" s="93">
        <f t="shared" si="25"/>
        <v>0</v>
      </c>
      <c r="AV28" s="88">
        <f>IF(AU28&gt;0,SQRT(($V28*$V28)+(AT28*AT28)),0)</f>
        <v>0</v>
      </c>
      <c r="AW28" s="91">
        <f t="shared" si="26"/>
        <v>0</v>
      </c>
      <c r="AX28" s="94">
        <v>0</v>
      </c>
      <c r="AY28" s="90">
        <v>0</v>
      </c>
      <c r="AZ28" s="88">
        <v>0</v>
      </c>
      <c r="BA28" s="93">
        <f t="shared" si="27"/>
        <v>0</v>
      </c>
      <c r="BB28" s="93">
        <f t="shared" si="28"/>
        <v>0</v>
      </c>
      <c r="BC28" s="88">
        <f>IF(BA28&gt;0,SQRT(($V28*$V28)+(AZ28*AZ28)),0)</f>
        <v>0</v>
      </c>
      <c r="BD28" s="91">
        <f t="shared" si="30"/>
        <v>0</v>
      </c>
      <c r="BE28" s="87">
        <f t="shared" si="31"/>
        <v>0.42249999999999999</v>
      </c>
      <c r="BF28" s="95">
        <f t="shared" si="33"/>
        <v>0.50853326341548211</v>
      </c>
      <c r="BG28" s="235">
        <f t="shared" si="0"/>
        <v>4.6162801568000018E-2</v>
      </c>
    </row>
    <row r="29" spans="1:133" ht="14" x14ac:dyDescent="0.25">
      <c r="B29" s="99" t="s">
        <v>242</v>
      </c>
      <c r="C29" s="118"/>
      <c r="D29" s="100"/>
      <c r="E29" s="100"/>
      <c r="F29" s="100"/>
      <c r="G29" s="100"/>
      <c r="H29" s="100"/>
      <c r="I29" s="100"/>
      <c r="J29" s="100"/>
      <c r="K29" s="100"/>
      <c r="L29" s="100"/>
      <c r="M29" s="100"/>
      <c r="N29" s="100"/>
      <c r="O29" s="100"/>
      <c r="P29" s="100"/>
      <c r="Q29" s="100"/>
      <c r="R29" s="100"/>
      <c r="S29" s="100"/>
      <c r="T29" s="100"/>
      <c r="U29" s="100"/>
      <c r="V29" s="100"/>
      <c r="W29" s="100"/>
      <c r="X29" s="100"/>
      <c r="Y29" s="100"/>
      <c r="Z29" s="102"/>
      <c r="AA29" s="103">
        <f>SUM(AA22:AA28)</f>
        <v>153.70410714530001</v>
      </c>
      <c r="AB29" s="104">
        <f>IF(AA29&gt;0,SQRT(SUM(AC22:AC28))/AA29,0)</f>
        <v>0.39178769236160443</v>
      </c>
      <c r="AC29" s="103">
        <f t="shared" si="13"/>
        <v>3626.3734198583024</v>
      </c>
      <c r="AD29" s="105"/>
      <c r="AE29" s="100"/>
      <c r="AF29" s="100"/>
      <c r="AG29" s="106"/>
      <c r="AH29" s="103">
        <f>SUM(AH22:AH28)</f>
        <v>3.9414627666994821</v>
      </c>
      <c r="AI29" s="104">
        <f>IF(AH29&gt;0,SQRT(SUM(AJ22:AJ28))/AH29,0)</f>
        <v>8.8626376926780853E-2</v>
      </c>
      <c r="AJ29" s="103">
        <f t="shared" si="18"/>
        <v>0.12202276108086278</v>
      </c>
      <c r="AK29" s="100"/>
      <c r="AL29" s="100"/>
      <c r="AM29" s="100"/>
      <c r="AN29" s="100"/>
      <c r="AO29" s="103">
        <f>SUM(AO22:AO28)</f>
        <v>3.8595803172028162</v>
      </c>
      <c r="AP29" s="104">
        <f>IF(AO29&gt;0,SQRT(SUM(AQ22:AQ28))/AO29,0)</f>
        <v>7.9674172039403302E-2</v>
      </c>
      <c r="AQ29" s="103">
        <f t="shared" si="23"/>
        <v>9.4561702787127222E-2</v>
      </c>
      <c r="AR29" s="100"/>
      <c r="AS29" s="100"/>
      <c r="AT29" s="100"/>
      <c r="AU29" s="103">
        <f>SUM(AU22:AU28)</f>
        <v>0</v>
      </c>
      <c r="AV29" s="104">
        <f>IF(AU29&gt;0,SQRT(SUM(AW22:AW28))/AU29,0)</f>
        <v>0</v>
      </c>
      <c r="AW29" s="103">
        <f>SUM(AW22:AW28)</f>
        <v>0</v>
      </c>
      <c r="AX29" s="100"/>
      <c r="AY29" s="100"/>
      <c r="AZ29" s="107"/>
      <c r="BA29" s="103">
        <f>(AY29*AZ29)^2</f>
        <v>0</v>
      </c>
      <c r="BB29" s="103">
        <f>SUM(BB22:BB28)</f>
        <v>0</v>
      </c>
      <c r="BC29" s="104">
        <f>IF(BB29&gt;0,SQRT(SUM(BD22:BD28))/BB29,0)</f>
        <v>0</v>
      </c>
      <c r="BD29" s="501">
        <f>(BB29*BC29)^2</f>
        <v>0</v>
      </c>
      <c r="BE29" s="103">
        <f>SUM(BE22:BE28)</f>
        <v>161.50515022920229</v>
      </c>
      <c r="BF29" s="109">
        <f>IF(BE29&gt;0,SQRT(SUM(BG22:BG28))/BE29,0)</f>
        <v>0.37287464596692732</v>
      </c>
      <c r="BG29" s="235">
        <f t="shared" si="0"/>
        <v>3626.59000432217</v>
      </c>
      <c r="BH29" s="468"/>
    </row>
    <row r="30" spans="1:133" s="36" customFormat="1" ht="25.5" customHeight="1" x14ac:dyDescent="0.25">
      <c r="A30" s="30"/>
      <c r="B30" s="613" t="s">
        <v>243</v>
      </c>
      <c r="C30" s="614"/>
      <c r="D30" s="614"/>
      <c r="E30" s="614"/>
      <c r="F30" s="614"/>
      <c r="G30" s="614"/>
      <c r="H30" s="614"/>
      <c r="I30" s="614"/>
      <c r="J30" s="614"/>
      <c r="K30" s="614"/>
      <c r="L30" s="614"/>
      <c r="M30" s="614"/>
      <c r="N30" s="614"/>
      <c r="O30" s="614"/>
      <c r="P30" s="614"/>
      <c r="Q30" s="614"/>
      <c r="R30" s="614"/>
      <c r="S30" s="614"/>
      <c r="T30" s="614"/>
      <c r="U30" s="614"/>
      <c r="V30" s="615"/>
      <c r="W30" s="615"/>
      <c r="X30" s="615"/>
      <c r="Y30" s="615"/>
      <c r="Z30" s="615"/>
      <c r="AA30" s="615"/>
      <c r="AB30" s="615"/>
      <c r="AC30" s="615"/>
      <c r="AD30" s="615"/>
      <c r="AE30" s="615"/>
      <c r="AF30" s="615"/>
      <c r="AG30" s="615"/>
      <c r="AH30" s="615"/>
      <c r="AI30" s="615"/>
      <c r="AJ30" s="615"/>
      <c r="AK30" s="615"/>
      <c r="AL30" s="615"/>
      <c r="AM30" s="615"/>
      <c r="AN30" s="615"/>
      <c r="AO30" s="615"/>
      <c r="AP30" s="615"/>
      <c r="AQ30" s="615"/>
      <c r="AR30" s="615"/>
      <c r="AS30" s="615"/>
      <c r="AT30" s="615"/>
      <c r="AU30" s="615"/>
      <c r="AV30" s="615"/>
      <c r="AW30" s="615"/>
      <c r="AX30" s="615"/>
      <c r="AY30" s="615"/>
      <c r="AZ30" s="615"/>
      <c r="BA30" s="615"/>
      <c r="BB30" s="615"/>
      <c r="BC30" s="615"/>
      <c r="BD30" s="615"/>
      <c r="BE30" s="615"/>
      <c r="BF30" s="616"/>
      <c r="BG30" s="235"/>
      <c r="BI30" s="37"/>
      <c r="BJ30" s="37"/>
      <c r="BK30" s="37"/>
      <c r="BL30" s="38"/>
      <c r="BM30" s="38"/>
      <c r="BN30" s="38"/>
      <c r="BO30" s="37"/>
      <c r="BP30" s="37"/>
      <c r="BQ30" s="37"/>
      <c r="BR30" s="37"/>
      <c r="BS30" s="37"/>
      <c r="BT30" s="37"/>
      <c r="BU30" s="37"/>
      <c r="BV30" s="37"/>
      <c r="BW30" s="37"/>
      <c r="BX30" s="37"/>
      <c r="BY30" s="37"/>
      <c r="BZ30" s="37"/>
      <c r="CA30" s="39"/>
      <c r="CB30" s="37"/>
      <c r="CC30" s="37"/>
      <c r="CD30" s="39"/>
      <c r="CE30" s="39"/>
      <c r="CF30" s="39"/>
      <c r="CG30" s="39"/>
      <c r="CH30" s="37"/>
      <c r="CI30" s="37"/>
      <c r="CJ30" s="39"/>
      <c r="CK30" s="39"/>
      <c r="CL30" s="39"/>
      <c r="CM30" s="40"/>
      <c r="CN30" s="41"/>
      <c r="CO30" s="41"/>
      <c r="CP30" s="42"/>
      <c r="CQ30" s="42"/>
      <c r="CR30" s="42"/>
      <c r="CS30" s="42"/>
      <c r="CT30" s="42"/>
      <c r="CU30" s="42"/>
      <c r="CV30" s="42"/>
      <c r="CW30" s="42"/>
      <c r="CX30" s="42"/>
      <c r="CY30" s="42"/>
      <c r="CZ30" s="42"/>
      <c r="DA30" s="42"/>
      <c r="DB30" s="42"/>
      <c r="DC30" s="42"/>
      <c r="DD30" s="42"/>
      <c r="DE30" s="42"/>
      <c r="DF30" s="42"/>
      <c r="DG30" s="42"/>
      <c r="DH30" s="42"/>
      <c r="DI30" s="42"/>
      <c r="DJ30" s="42"/>
      <c r="DK30" s="42"/>
      <c r="DL30" s="42"/>
      <c r="DM30" s="42"/>
      <c r="DN30" s="42"/>
      <c r="DO30" s="42"/>
      <c r="DP30" s="42"/>
      <c r="DQ30" s="42"/>
      <c r="DR30" s="42"/>
      <c r="DS30" s="42"/>
      <c r="DT30" s="42"/>
      <c r="DU30" s="42"/>
      <c r="DV30" s="43"/>
      <c r="DW30" s="43"/>
      <c r="DX30" s="43"/>
      <c r="DY30" s="43"/>
      <c r="DZ30" s="43"/>
      <c r="EA30" s="43"/>
      <c r="EB30" s="43"/>
      <c r="EC30" s="43"/>
    </row>
    <row r="31" spans="1:133" x14ac:dyDescent="0.25">
      <c r="B31" s="83" t="s">
        <v>244</v>
      </c>
      <c r="C31" s="112" t="s">
        <v>245</v>
      </c>
      <c r="D31" s="85" t="str">
        <f>VLOOKUP($C31,$BH$109:$CL$513,2,FALSE)</f>
        <v>kg</v>
      </c>
      <c r="E31" s="119">
        <v>0</v>
      </c>
      <c r="F31" s="119">
        <v>0</v>
      </c>
      <c r="G31" s="97">
        <v>0</v>
      </c>
      <c r="H31" s="97">
        <v>0</v>
      </c>
      <c r="I31" s="97">
        <v>0</v>
      </c>
      <c r="J31" s="97">
        <v>0.86</v>
      </c>
      <c r="K31" s="97">
        <v>0</v>
      </c>
      <c r="L31" s="97">
        <v>0</v>
      </c>
      <c r="M31" s="97">
        <v>0</v>
      </c>
      <c r="N31" s="97">
        <v>0</v>
      </c>
      <c r="O31" s="97">
        <v>0</v>
      </c>
      <c r="P31" s="97">
        <v>0</v>
      </c>
      <c r="Q31" s="87">
        <f>SUM(E31:P31)</f>
        <v>0.86</v>
      </c>
      <c r="R31" s="85">
        <f>COUNT(E31:P31)</f>
        <v>12</v>
      </c>
      <c r="S31" s="87">
        <f>IF(R31&gt;1,AVERAGE(E31:P31),0)</f>
        <v>7.166666666666667E-2</v>
      </c>
      <c r="T31" s="87">
        <f>IF(R31&gt;1,STDEV(E31:P31),0)</f>
        <v>0.24826061575153907</v>
      </c>
      <c r="U31" s="87">
        <f>IF(R31&gt;1,VLOOKUP($R31,$BH$445:$BI$457,2,FALSE),0)</f>
        <v>2.2000000000000002</v>
      </c>
      <c r="V31" s="88">
        <f>IF(R31&gt;1,1-((S31-((T31*U31)/(SQRT(R31))))/S31),VLOOKUP($C31,$BH$109:$CO$513,34,FALSE))</f>
        <v>2.2000000000000002</v>
      </c>
      <c r="W31" s="89">
        <v>0</v>
      </c>
      <c r="X31" s="90" t="str">
        <f>VLOOKUP($C31,$BH$109:$CL$513,4,FALSE)</f>
        <v>kgCO2e/kg</v>
      </c>
      <c r="Y31" s="88">
        <f>IF($Q31&gt;0,VLOOKUP($C31,$BH$109:$CL$513,6,FALSE),0)</f>
        <v>0.5</v>
      </c>
      <c r="Z31" s="91">
        <f>($Q31*W31)/1000</f>
        <v>0</v>
      </c>
      <c r="AA31" s="91">
        <f>Z31*$BI$463</f>
        <v>0</v>
      </c>
      <c r="AB31" s="88">
        <f>IF(Z31&gt;0,SQRT(($V31*$V31)+(Y31*Y31)),0)</f>
        <v>0</v>
      </c>
      <c r="AC31" s="91">
        <f t="shared" ref="AC31:AC34" si="34">(AA31*AB31)^2</f>
        <v>0</v>
      </c>
      <c r="AD31" s="92">
        <f>VLOOKUP($C31,$BH$109:$CL$513,21,FALSE)</f>
        <v>0</v>
      </c>
      <c r="AE31" s="90" t="str">
        <f>VLOOKUP($C31,$BH$109:$CL$513,10,FALSE)</f>
        <v>kgCO2e/kg</v>
      </c>
      <c r="AF31" s="88">
        <f>IF($Q31&gt;0,VLOOKUP($C31,$BH$109:$CL$513,24,FALSE),0)</f>
        <v>0</v>
      </c>
      <c r="AG31" s="93">
        <f>($Q31*AD31)/1000</f>
        <v>0</v>
      </c>
      <c r="AH31" s="93">
        <f>AG31*$BI$464</f>
        <v>0</v>
      </c>
      <c r="AI31" s="88">
        <f>IF(AG31&gt;0,SQRT(($V31*$V31)+(AF31*AF31)),0)</f>
        <v>0</v>
      </c>
      <c r="AJ31" s="91">
        <f t="shared" ref="AJ31:AJ36" si="35">(AH31*AI31)^2</f>
        <v>0</v>
      </c>
      <c r="AK31" s="92">
        <f>VLOOKUP($C31,$BH$109:$CL$513,15,FALSE)</f>
        <v>0</v>
      </c>
      <c r="AL31" s="90">
        <f>VLOOKUP($C31,$BH$109:$CL$513,16,FALSE)</f>
        <v>0</v>
      </c>
      <c r="AM31" s="88">
        <f>IF($Q31&gt;0,VLOOKUP($C31,$BH$109:$CL$513,30,FALSE),0)</f>
        <v>0</v>
      </c>
      <c r="AN31" s="93">
        <f>(V31*AK31)/1000</f>
        <v>0</v>
      </c>
      <c r="AO31" s="93">
        <f>AN31*$BI$465</f>
        <v>0</v>
      </c>
      <c r="AP31" s="88">
        <f>IF(AN31&gt;0,SQRT(($V31*$V31)+(AM31*AM31)),0)</f>
        <v>0</v>
      </c>
      <c r="AQ31" s="91">
        <f t="shared" ref="AQ31:AQ34" si="36">(AO31*AP31)^2</f>
        <v>0</v>
      </c>
      <c r="AR31" s="94">
        <f>VLOOKUP($C31,$BH$109:$CL$513,3,FALSE)</f>
        <v>3942.8</v>
      </c>
      <c r="AS31" s="90" t="str">
        <f>VLOOKUP($C31,$BH$109:$CL$513,4,FALSE)</f>
        <v>kgCO2e/kg</v>
      </c>
      <c r="AT31" s="88">
        <f>IF($Q31&gt;0,VLOOKUP($C31,$BH$109:$CL$513,6,FALSE),0)</f>
        <v>0.5</v>
      </c>
      <c r="AU31" s="91">
        <f>($Q31*AR31)/1000</f>
        <v>3.3908079999999998</v>
      </c>
      <c r="AV31" s="88">
        <f>IF(AU31&gt;0,SQRT(($V31*$V31)+(AT31*AT31)),0)</f>
        <v>2.2561028345356955</v>
      </c>
      <c r="AW31" s="91">
        <f t="shared" ref="AW31:AW37" si="37">(AU31*AV31)^2</f>
        <v>58.522676564677745</v>
      </c>
      <c r="AX31" s="94">
        <v>0</v>
      </c>
      <c r="AY31" s="90" t="str">
        <f>VLOOKUP($C31,$BH$109:$CL$513,4,FALSE)</f>
        <v>kgCO2e/kg</v>
      </c>
      <c r="AZ31" s="88">
        <v>0</v>
      </c>
      <c r="BA31" s="93">
        <f>($Q31*AX31)/1000</f>
        <v>0</v>
      </c>
      <c r="BB31" s="93">
        <f>BA31*$BI$466</f>
        <v>0</v>
      </c>
      <c r="BC31" s="88">
        <f t="shared" ref="BC31" si="38">IF(BA31&gt;0,SQRT(($V31*$V31)+(AZ31*AZ31)),0)</f>
        <v>0</v>
      </c>
      <c r="BD31" s="91">
        <f t="shared" ref="BD31:BD37" si="39">(BB31*BC31)^2</f>
        <v>0</v>
      </c>
      <c r="BE31" s="87">
        <f>AA31+AH31+AO31+AU31+BB31</f>
        <v>3.3908079999999998</v>
      </c>
      <c r="BF31" s="95">
        <f>IF(BE31&gt;0,SQRT(AC31+AJ31+AQ31+AW31+BD31)/BE31,0)</f>
        <v>2.2561028345356955</v>
      </c>
      <c r="BG31" s="235">
        <f>(BE31*BF31)^2</f>
        <v>58.522676564677745</v>
      </c>
    </row>
    <row r="32" spans="1:133" ht="13.5" customHeight="1" x14ac:dyDescent="0.25">
      <c r="B32" s="201" t="s">
        <v>246</v>
      </c>
      <c r="C32" s="112" t="s">
        <v>247</v>
      </c>
      <c r="D32" s="85" t="str">
        <f>VLOOKUP($C32,$BH$109:$CL$513,2,FALSE)</f>
        <v>kg</v>
      </c>
      <c r="E32" s="120">
        <v>0</v>
      </c>
      <c r="F32" s="120">
        <v>0</v>
      </c>
      <c r="G32" s="120">
        <v>0</v>
      </c>
      <c r="H32" s="120">
        <v>0</v>
      </c>
      <c r="I32" s="97">
        <v>0</v>
      </c>
      <c r="J32" s="223">
        <v>0</v>
      </c>
      <c r="K32" s="97">
        <v>498.95</v>
      </c>
      <c r="L32" s="121">
        <v>68.040000000000006</v>
      </c>
      <c r="M32" s="121">
        <v>0</v>
      </c>
      <c r="N32" s="121">
        <v>1115.8399999999999</v>
      </c>
      <c r="O32" s="121">
        <v>0</v>
      </c>
      <c r="P32" s="121">
        <v>0</v>
      </c>
      <c r="Q32" s="87">
        <f>SUM(E32:P32)</f>
        <v>1682.83</v>
      </c>
      <c r="R32" s="85">
        <f>COUNT(E32:P32)</f>
        <v>12</v>
      </c>
      <c r="S32" s="87">
        <f>IF(R32&gt;1,AVERAGE(E32:P32),0)</f>
        <v>140.23583333333332</v>
      </c>
      <c r="T32" s="87">
        <f>IF(R32&gt;1,STDEV(E32:P32),0)</f>
        <v>338.80624421256499</v>
      </c>
      <c r="U32" s="87">
        <f>IF(R32&gt;1,VLOOKUP($R32,$BH$445:$BI$457,2,FALSE),0)</f>
        <v>2.2000000000000002</v>
      </c>
      <c r="V32" s="88">
        <f>IF(R32&gt;1,1-((S32-((T32*U32)/(SQRT(R32))))/S32),VLOOKUP($C32,$BH$109:$CO$513,34,FALSE))</f>
        <v>1.5343500930873035</v>
      </c>
      <c r="W32" s="89">
        <f>VLOOKUP($C32,$BH$109:$CL$513,3,FALSE)</f>
        <v>1</v>
      </c>
      <c r="X32" s="90" t="str">
        <f>VLOOKUP($C32,$BH$109:$CL$513,4,FALSE)</f>
        <v>kgCO2e/kg</v>
      </c>
      <c r="Y32" s="88">
        <f>IF($Q32&gt;0,VLOOKUP($C32,$BH$109:$CL$513,6,FALSE),0)</f>
        <v>0.5</v>
      </c>
      <c r="Z32" s="91">
        <f>($Q32*W32)/1000</f>
        <v>1.6828299999999998</v>
      </c>
      <c r="AA32" s="91">
        <f>Z32*$BI$463</f>
        <v>1.6828299999999998</v>
      </c>
      <c r="AB32" s="88">
        <f>IF(Z32&gt;0,SQRT(($V32*$V32)+(Y32*Y32)),0)</f>
        <v>1.613762748410378</v>
      </c>
      <c r="AC32" s="91">
        <f t="shared" si="34"/>
        <v>7.3749633007249997</v>
      </c>
      <c r="AD32" s="92">
        <f>VLOOKUP($C32,$BH$109:$CL$513,21,FALSE)</f>
        <v>0</v>
      </c>
      <c r="AE32" s="90" t="str">
        <f>VLOOKUP($C32,$BH$109:$CL$513,10,FALSE)</f>
        <v>kgCO2e/kg</v>
      </c>
      <c r="AF32" s="88">
        <f>IF($Q32&gt;0,VLOOKUP($C32,$BH$109:$CL$513,24,FALSE),0)</f>
        <v>0</v>
      </c>
      <c r="AG32" s="93">
        <f>($Q32*AD32)/1000</f>
        <v>0</v>
      </c>
      <c r="AH32" s="93">
        <f>AG32*$BI$464</f>
        <v>0</v>
      </c>
      <c r="AI32" s="88">
        <f>IF(AG32&gt;0,SQRT(($V32*$V32)+(AF32*AF32)),0)</f>
        <v>0</v>
      </c>
      <c r="AJ32" s="91">
        <f t="shared" si="35"/>
        <v>0</v>
      </c>
      <c r="AK32" s="92">
        <f>VLOOKUP($C32,$BH$109:$CL$513,15,FALSE)</f>
        <v>0</v>
      </c>
      <c r="AL32" s="90">
        <f>VLOOKUP($C32,$BH$109:$CL$513,16,FALSE)</f>
        <v>0</v>
      </c>
      <c r="AM32" s="88">
        <f>IF($Q32&gt;0,VLOOKUP($C32,$BH$109:$CL$513,30,FALSE),0)</f>
        <v>0</v>
      </c>
      <c r="AN32" s="93">
        <f>(V32*AK32)/1000</f>
        <v>0</v>
      </c>
      <c r="AO32" s="93">
        <f>AN32*$BI$465</f>
        <v>0</v>
      </c>
      <c r="AP32" s="88">
        <f>IF(AN32&gt;0,SQRT(($V32*$V32)+(AM32*AM32)),0)</f>
        <v>0</v>
      </c>
      <c r="AQ32" s="91">
        <f t="shared" si="36"/>
        <v>0</v>
      </c>
      <c r="AR32" s="94">
        <v>0</v>
      </c>
      <c r="AS32" s="90" t="str">
        <f>VLOOKUP($C32,$BH$109:$CL$513,4,FALSE)</f>
        <v>kgCO2e/kg</v>
      </c>
      <c r="AT32" s="88">
        <f>IF($Q32&gt;0,VLOOKUP($C32,$BH$109:$CL$513,6,FALSE),0)</f>
        <v>0.5</v>
      </c>
      <c r="AU32" s="91">
        <f>($Q32*AR32)/1000</f>
        <v>0</v>
      </c>
      <c r="AV32" s="88">
        <f>IF(AU32&gt;0,SQRT(($V32*$V32)+(AT32*AT32)),0)</f>
        <v>0</v>
      </c>
      <c r="AW32" s="91">
        <f t="shared" si="37"/>
        <v>0</v>
      </c>
      <c r="AX32" s="94">
        <v>0</v>
      </c>
      <c r="AY32" s="90" t="str">
        <f>VLOOKUP($C32,$BH$109:$CL$513,4,FALSE)</f>
        <v>kgCO2e/kg</v>
      </c>
      <c r="AZ32" s="88">
        <v>0</v>
      </c>
      <c r="BA32" s="93">
        <f>($Q32*AX32)/1000</f>
        <v>0</v>
      </c>
      <c r="BB32" s="93">
        <f>BA32*$BI$466</f>
        <v>0</v>
      </c>
      <c r="BC32" s="88">
        <f>IF(BA32&gt;0,SQRT(($V32*$V32)+(AZ32*AZ32)),0)</f>
        <v>0</v>
      </c>
      <c r="BD32" s="91">
        <f t="shared" si="39"/>
        <v>0</v>
      </c>
      <c r="BE32" s="87">
        <f>AA32+AH32+AO32+AU32+BB32</f>
        <v>1.6828299999999998</v>
      </c>
      <c r="BF32" s="95">
        <f>IF(BE32&gt;0,SQRT(AC32+AJ32+AQ32+AW32+BD32)/BE32,0)</f>
        <v>1.613762748410378</v>
      </c>
      <c r="BG32" s="235">
        <f t="shared" si="0"/>
        <v>7.3749633007249997</v>
      </c>
    </row>
    <row r="33" spans="1:133" x14ac:dyDescent="0.25">
      <c r="B33" s="201" t="s">
        <v>248</v>
      </c>
      <c r="C33" s="112" t="s">
        <v>249</v>
      </c>
      <c r="D33" s="85" t="str">
        <f>VLOOKUP($C33,$BH$109:$CL$513,2,FALSE)</f>
        <v>kg</v>
      </c>
      <c r="E33" s="120">
        <v>0</v>
      </c>
      <c r="F33" s="120">
        <v>0</v>
      </c>
      <c r="G33" s="120">
        <v>0</v>
      </c>
      <c r="H33" s="120">
        <v>0</v>
      </c>
      <c r="I33" s="97">
        <v>0</v>
      </c>
      <c r="J33" s="97">
        <v>0</v>
      </c>
      <c r="K33" s="97">
        <v>0</v>
      </c>
      <c r="L33" s="121">
        <v>1050.8</v>
      </c>
      <c r="M33" s="121">
        <v>0</v>
      </c>
      <c r="N33" s="121">
        <v>0</v>
      </c>
      <c r="O33" s="121">
        <v>0</v>
      </c>
      <c r="P33" s="121">
        <v>0</v>
      </c>
      <c r="Q33" s="87">
        <f>SUM(E33:P33)</f>
        <v>1050.8</v>
      </c>
      <c r="R33" s="85">
        <f>COUNT(E33:P33)</f>
        <v>12</v>
      </c>
      <c r="S33" s="87">
        <f>IF(R33&gt;1,AVERAGE(E33:P33),0)</f>
        <v>87.566666666666663</v>
      </c>
      <c r="T33" s="87">
        <f>IF(R33&gt;1,STDEV(E33:P33),0)</f>
        <v>303.33983143222935</v>
      </c>
      <c r="U33" s="87">
        <f>IF(R33&gt;1,VLOOKUP($R33,$BH$445:$BI$457,2,FALSE),0)</f>
        <v>2.2000000000000002</v>
      </c>
      <c r="V33" s="88">
        <f>IF(R33&gt;1,1-((S33-((T33*U33)/(SQRT(R33))))/S33),VLOOKUP($C33,$BH$109:$CO$513,34,FALSE))</f>
        <v>2.2000000000000002</v>
      </c>
      <c r="W33" s="89">
        <v>0</v>
      </c>
      <c r="X33" s="90" t="str">
        <f>VLOOKUP($C33,$BH$109:$CL$513,4,FALSE)</f>
        <v>kgCO2e/kg</v>
      </c>
      <c r="Y33" s="88">
        <f>IF($Q33&gt;0,VLOOKUP($C33,$BH$109:$CL$513,6,FALSE),0)</f>
        <v>0.5</v>
      </c>
      <c r="Z33" s="91">
        <f>($Q33*W33)/1000</f>
        <v>0</v>
      </c>
      <c r="AA33" s="91">
        <f>Z33*$BI$463</f>
        <v>0</v>
      </c>
      <c r="AB33" s="88">
        <f>IF(Z33&gt;0,SQRT(($V33*$V33)+(Y33*Y33)),0)</f>
        <v>0</v>
      </c>
      <c r="AC33" s="91">
        <f t="shared" si="34"/>
        <v>0</v>
      </c>
      <c r="AD33" s="92">
        <f>VLOOKUP($C33,$BH$109:$CL$513,21,FALSE)</f>
        <v>0</v>
      </c>
      <c r="AE33" s="90" t="str">
        <f>VLOOKUP($C33,$BH$109:$CL$513,10,FALSE)</f>
        <v>kgCO2e/kg</v>
      </c>
      <c r="AF33" s="88">
        <f>IF($Q33&gt;0,VLOOKUP($C33,$BH$109:$CL$513,24,FALSE),0)</f>
        <v>0</v>
      </c>
      <c r="AG33" s="93">
        <f>($Q33*AD33)/1000</f>
        <v>0</v>
      </c>
      <c r="AH33" s="93">
        <f>AG33*$BI$464</f>
        <v>0</v>
      </c>
      <c r="AI33" s="88">
        <f>IF(AG33&gt;0,SQRT(($V33*$V33)+(AF33*AF33)),0)</f>
        <v>0</v>
      </c>
      <c r="AJ33" s="91">
        <f t="shared" si="35"/>
        <v>0</v>
      </c>
      <c r="AK33" s="92">
        <f>VLOOKUP($C33,$BH$109:$CL$513,15,FALSE)</f>
        <v>0</v>
      </c>
      <c r="AL33" s="90">
        <f>VLOOKUP($C33,$BH$109:$CL$513,16,FALSE)</f>
        <v>0</v>
      </c>
      <c r="AM33" s="88">
        <f>IF($Q33&gt;0,VLOOKUP($C33,$BH$109:$CL$513,30,FALSE),0)</f>
        <v>0</v>
      </c>
      <c r="AN33" s="93">
        <f>(V33*AK33)/1000</f>
        <v>0</v>
      </c>
      <c r="AO33" s="93">
        <f>AN33*$BI$465</f>
        <v>0</v>
      </c>
      <c r="AP33" s="88">
        <f>IF(AN33&gt;0,SQRT(($V33*$V33)+(AM33*AM33)),0)</f>
        <v>0</v>
      </c>
      <c r="AQ33" s="91">
        <f t="shared" si="36"/>
        <v>0</v>
      </c>
      <c r="AR33" s="94">
        <f>VLOOKUP($C33,$BH$109:$CL$513,3,FALSE)</f>
        <v>79</v>
      </c>
      <c r="AS33" s="90" t="str">
        <f>VLOOKUP($C33,$BH$109:$CL$513,4,FALSE)</f>
        <v>kgCO2e/kg</v>
      </c>
      <c r="AT33" s="88">
        <f>IF($Q33&gt;0,VLOOKUP($C33,$BH$109:$CL$513,6,FALSE),0)</f>
        <v>0.5</v>
      </c>
      <c r="AU33" s="91">
        <f>($Q33*AR33)/1000</f>
        <v>83.013199999999998</v>
      </c>
      <c r="AV33" s="88">
        <f>IF(AU33&gt;0,SQRT(($V33*$V33)+(AT33*AT33)),0)</f>
        <v>2.2561028345356955</v>
      </c>
      <c r="AW33" s="91">
        <f t="shared" si="37"/>
        <v>35076.164094881598</v>
      </c>
      <c r="AX33" s="94">
        <v>0</v>
      </c>
      <c r="AY33" s="90" t="str">
        <f>VLOOKUP($C33,$BH$109:$CL$513,4,FALSE)</f>
        <v>kgCO2e/kg</v>
      </c>
      <c r="AZ33" s="88">
        <v>0</v>
      </c>
      <c r="BA33" s="93">
        <f>($Q33*AX33)/1000</f>
        <v>0</v>
      </c>
      <c r="BB33" s="93">
        <f>BA33*$BI$466</f>
        <v>0</v>
      </c>
      <c r="BC33" s="88">
        <f t="shared" ref="BC33:BC34" si="40">IF(BA33&gt;0,SQRT(($V33*$V33)+(AZ33*AZ33)),0)</f>
        <v>0</v>
      </c>
      <c r="BD33" s="91">
        <f t="shared" si="39"/>
        <v>0</v>
      </c>
      <c r="BE33" s="87">
        <f>AA33+AH33+AO33+AU33+BB33</f>
        <v>83.013199999999998</v>
      </c>
      <c r="BF33" s="95">
        <f>IF(BE33&gt;0,SQRT(AC33+AJ33+AQ33+AW33+BD33)/BE33,0)</f>
        <v>2.2561028345356955</v>
      </c>
      <c r="BG33" s="235">
        <f t="shared" si="0"/>
        <v>35076.164094881598</v>
      </c>
    </row>
    <row r="34" spans="1:133" x14ac:dyDescent="0.25">
      <c r="B34" s="122" t="s">
        <v>250</v>
      </c>
      <c r="C34" s="84" t="s">
        <v>251</v>
      </c>
      <c r="D34" s="85" t="str">
        <f>VLOOKUP($C34,$BH$109:$CL$513,2,FALSE)</f>
        <v>kg</v>
      </c>
      <c r="E34" s="97">
        <v>0</v>
      </c>
      <c r="F34" s="97">
        <v>0</v>
      </c>
      <c r="G34" s="97">
        <v>0</v>
      </c>
      <c r="H34" s="97">
        <v>0</v>
      </c>
      <c r="I34" s="97">
        <v>0</v>
      </c>
      <c r="J34" s="97">
        <v>0</v>
      </c>
      <c r="K34" s="97">
        <v>0</v>
      </c>
      <c r="L34" s="97">
        <v>0</v>
      </c>
      <c r="M34" s="97">
        <v>0</v>
      </c>
      <c r="N34" s="97">
        <v>0</v>
      </c>
      <c r="O34" s="97">
        <v>0</v>
      </c>
      <c r="P34" s="97">
        <v>0</v>
      </c>
      <c r="Q34" s="87">
        <f>SUM(E34:P34)</f>
        <v>0</v>
      </c>
      <c r="R34" s="85">
        <v>0</v>
      </c>
      <c r="S34" s="87">
        <f>IF(R34&gt;1,AVERAGE(E34:P34),0)</f>
        <v>0</v>
      </c>
      <c r="T34" s="87">
        <f>IF(R34&gt;1,STDEV(E34:P34),0)</f>
        <v>0</v>
      </c>
      <c r="U34" s="87">
        <f>IF(R34&gt;1,VLOOKUP($R34,$BH$445:$BI$457,2,FALSE),0)</f>
        <v>0</v>
      </c>
      <c r="V34" s="88">
        <f>IF(R34&gt;1,1-((S34-((T34*U34)/(SQRT(R34))))/S34),VLOOKUP($C34,$BH$109:$CO$513,34,FALSE))</f>
        <v>0.5</v>
      </c>
      <c r="W34" s="89">
        <v>0</v>
      </c>
      <c r="X34" s="90" t="str">
        <f>VLOOKUP($C34,$BH$109:$CL$513,4,FALSE)</f>
        <v>kgCO2e/kg</v>
      </c>
      <c r="Y34" s="88">
        <f>IF($Q34&gt;0,VLOOKUP($C34,$BH$109:$CL$513,6,FALSE),0)</f>
        <v>0</v>
      </c>
      <c r="Z34" s="91">
        <f>($Q34*W34)/1000</f>
        <v>0</v>
      </c>
      <c r="AA34" s="91">
        <f>Z34*$BI$463</f>
        <v>0</v>
      </c>
      <c r="AB34" s="88">
        <f>IF(Z34&gt;0,SQRT(($V34*$V34)+(Y34*Y34)),0)</f>
        <v>0</v>
      </c>
      <c r="AC34" s="91">
        <f t="shared" si="34"/>
        <v>0</v>
      </c>
      <c r="AD34" s="92">
        <f>VLOOKUP($C34,$BH$109:$CL$513,21,FALSE)</f>
        <v>0</v>
      </c>
      <c r="AE34" s="90" t="str">
        <f>VLOOKUP($C34,$BH$109:$CL$513,10,FALSE)</f>
        <v>kgCO2e/kg</v>
      </c>
      <c r="AF34" s="88">
        <f>IF($Q34&gt;0,VLOOKUP($C34,$BH$109:$CL$513,24,FALSE),0)</f>
        <v>0</v>
      </c>
      <c r="AG34" s="93">
        <f>($Q34*AD34)/1000</f>
        <v>0</v>
      </c>
      <c r="AH34" s="93">
        <f>AG34*$BI$464</f>
        <v>0</v>
      </c>
      <c r="AI34" s="88">
        <f>IF(AG34&gt;0,SQRT(($V34*$V34)+(AF34*AF34)),0)</f>
        <v>0</v>
      </c>
      <c r="AJ34" s="91">
        <f t="shared" si="35"/>
        <v>0</v>
      </c>
      <c r="AK34" s="92">
        <f>VLOOKUP($C34,$BH$109:$CL$513,15,FALSE)</f>
        <v>0</v>
      </c>
      <c r="AL34" s="90">
        <f>VLOOKUP($C34,$BH$109:$CL$513,16,FALSE)</f>
        <v>0</v>
      </c>
      <c r="AM34" s="88">
        <f>IF($Q34&gt;0,VLOOKUP($C34,$BH$109:$CL$513,30,FALSE),0)</f>
        <v>0</v>
      </c>
      <c r="AN34" s="93">
        <f>($Q34*AK34)/1000</f>
        <v>0</v>
      </c>
      <c r="AO34" s="93">
        <f>AN34*$BI$465</f>
        <v>0</v>
      </c>
      <c r="AP34" s="88">
        <f>IF(AN34&gt;0,SQRT(($V34*$V34)+(AM34*AM34)),0)</f>
        <v>0</v>
      </c>
      <c r="AQ34" s="91">
        <f t="shared" si="36"/>
        <v>0</v>
      </c>
      <c r="AR34" s="94">
        <f>VLOOKUP($C34,$BH$109:$CL$513,3,FALSE)</f>
        <v>23500</v>
      </c>
      <c r="AS34" s="90" t="str">
        <f>VLOOKUP($C34,$BH$109:$CL$513,4,FALSE)</f>
        <v>kgCO2e/kg</v>
      </c>
      <c r="AT34" s="88">
        <f>IF($Q34&gt;0,VLOOKUP($C34,$BH$109:$CL$513,6,FALSE),0)</f>
        <v>0</v>
      </c>
      <c r="AU34" s="91">
        <f>($Q34*AR34)/1000</f>
        <v>0</v>
      </c>
      <c r="AV34" s="88">
        <f>IF(AU34&gt;0,SQRT(($V34*$V34)+(AT34*AT34)),0)</f>
        <v>0</v>
      </c>
      <c r="AW34" s="91">
        <f t="shared" si="37"/>
        <v>0</v>
      </c>
      <c r="AX34" s="89">
        <f>VLOOKUP($C34,$BH$109:$CL$513,3,FALSE)/BI466</f>
        <v>1</v>
      </c>
      <c r="AY34" s="90" t="str">
        <f>VLOOKUP($C34,$BH$109:$CL$513,4,FALSE)</f>
        <v>kgCO2e/kg</v>
      </c>
      <c r="AZ34" s="88">
        <f>IF($Q34&gt;0,VLOOKUP($C34,$BH$109:$CL$513,6,FALSE),0)</f>
        <v>0</v>
      </c>
      <c r="BA34" s="93">
        <f>($Q34*AX34)/1000</f>
        <v>0</v>
      </c>
      <c r="BB34" s="93">
        <f>BA34*$BI$466</f>
        <v>0</v>
      </c>
      <c r="BC34" s="88">
        <f t="shared" si="40"/>
        <v>0</v>
      </c>
      <c r="BD34" s="91">
        <f t="shared" si="39"/>
        <v>0</v>
      </c>
      <c r="BE34" s="87">
        <f>AA34+AH34+AO34+AU34+BB34</f>
        <v>0</v>
      </c>
      <c r="BF34" s="95">
        <f>IF(BE34&gt;0,SQRT(AC34+AJ34+AQ34+AW34+BD34)/BE34,0)</f>
        <v>0</v>
      </c>
      <c r="BG34" s="235">
        <f t="shared" si="0"/>
        <v>0</v>
      </c>
    </row>
    <row r="35" spans="1:133" ht="27" x14ac:dyDescent="0.25">
      <c r="B35" s="503" t="s">
        <v>252</v>
      </c>
      <c r="C35" s="112" t="s">
        <v>253</v>
      </c>
      <c r="D35" s="85" t="s">
        <v>254</v>
      </c>
      <c r="E35" s="97">
        <v>932.98440000000005</v>
      </c>
      <c r="F35" s="97">
        <v>890.32439999999997</v>
      </c>
      <c r="G35" s="97">
        <v>830.40440000000001</v>
      </c>
      <c r="H35" s="97">
        <v>835.15440000000001</v>
      </c>
      <c r="I35" s="97">
        <v>885.11440000000005</v>
      </c>
      <c r="J35" s="97">
        <v>952.20439999999996</v>
      </c>
      <c r="K35" s="97">
        <v>994.62440000000004</v>
      </c>
      <c r="L35" s="97">
        <v>990.37440000000004</v>
      </c>
      <c r="M35" s="97">
        <v>963.0444</v>
      </c>
      <c r="N35" s="97">
        <v>920.93439999999998</v>
      </c>
      <c r="O35" s="97">
        <v>940.96439999999996</v>
      </c>
      <c r="P35" s="97">
        <v>934.52440000000001</v>
      </c>
      <c r="Q35" s="87">
        <f>AVERAGE(E35:P35)</f>
        <v>922.55439999999999</v>
      </c>
      <c r="R35" s="85">
        <f t="shared" ref="R35" si="41">COUNT(E35:P35)</f>
        <v>12</v>
      </c>
      <c r="S35" s="87">
        <f>IF(R35&gt;1,AVERAGE(E35:P35),0)</f>
        <v>922.55439999999999</v>
      </c>
      <c r="T35" s="87">
        <f>IF(R35&gt;1,STDEV(E35:P35),0)</f>
        <v>53.493183253059961</v>
      </c>
      <c r="U35" s="87">
        <f>IF(R35&gt;1,VLOOKUP($R35,$BH$445:$BI$457,2,FALSE),0)</f>
        <v>2.2000000000000002</v>
      </c>
      <c r="V35" s="88">
        <f>IF(R35&gt;1,1-((S35-((T35*U35)/(SQRT(R35))))/S35),VLOOKUP($C35,$BH$109:$CO$513,34,FALSE))</f>
        <v>3.6824640504733996E-2</v>
      </c>
      <c r="W35" s="89">
        <v>0</v>
      </c>
      <c r="X35" s="90">
        <v>0</v>
      </c>
      <c r="Y35" s="88">
        <v>0</v>
      </c>
      <c r="Z35" s="91">
        <f>($Q35*W35)/1000</f>
        <v>0</v>
      </c>
      <c r="AA35" s="91">
        <f>Z35*$BI$463</f>
        <v>0</v>
      </c>
      <c r="AB35" s="88">
        <f>IF(Z35&gt;0,SQRT(($V35*$V35)+(Y35*Y35)),0)</f>
        <v>0</v>
      </c>
      <c r="AC35" s="91">
        <f>(AA35*AB35)^2</f>
        <v>0</v>
      </c>
      <c r="AD35" s="492">
        <f>VLOOKUP($C35,$BH$109:$CL$523,3,FALSE)</f>
        <v>22.265000000000001</v>
      </c>
      <c r="AE35" s="492" t="str">
        <f>VLOOKUP($C35,$BH$109:$CL$523,4,FALSE)</f>
        <v>kgCH4/Ha</v>
      </c>
      <c r="AF35" s="88">
        <f>VLOOKUP($C35,$BH$109:$CL$523,6,FALSE)</f>
        <v>1.06</v>
      </c>
      <c r="AG35" s="93">
        <f>($Q35*AD35)/1000</f>
        <v>20.540673716000001</v>
      </c>
      <c r="AH35" s="91">
        <f>AG35*$BI$464</f>
        <v>575.13886404799996</v>
      </c>
      <c r="AI35" s="88">
        <f>IF(AG35&gt;0,SQRT(($V35*$V35)+(AF35*AF35)),0)</f>
        <v>1.0606394553043474</v>
      </c>
      <c r="AJ35" s="91">
        <f>(AH35*AI35)^2</f>
        <v>372118.26543978829</v>
      </c>
      <c r="AK35" s="92">
        <f>VLOOKUP($C35,$BH$109:$CL$513,15,FALSE)</f>
        <v>0</v>
      </c>
      <c r="AL35" s="90">
        <v>0</v>
      </c>
      <c r="AM35" s="88">
        <f>IF($Q35&gt;0,VLOOKUP($C35,$BH$109:$CL$513,30,FALSE),0)</f>
        <v>0</v>
      </c>
      <c r="AN35" s="93">
        <f>($Q35*AK35)/1000</f>
        <v>0</v>
      </c>
      <c r="AO35" s="93">
        <f>AN35*$BI$465</f>
        <v>0</v>
      </c>
      <c r="AP35" s="88">
        <f>IF(AN35&gt;0,SQRT(($V35*$V35)+(AM35*AM35)),0)</f>
        <v>0</v>
      </c>
      <c r="AQ35" s="91">
        <f t="shared" ref="AQ35" si="42">(AO35*AP35)^2</f>
        <v>0</v>
      </c>
      <c r="AR35" s="94">
        <v>0</v>
      </c>
      <c r="AS35" s="90">
        <v>0</v>
      </c>
      <c r="AT35" s="88">
        <f>IF($Q35&gt;0,VLOOKUP($C35,$BH$109:$CL$513,6,FALSE),0)</f>
        <v>1.06</v>
      </c>
      <c r="AU35" s="91">
        <v>0</v>
      </c>
      <c r="AV35" s="88">
        <f>IF(AU35&gt;0,SQRT(($V35*$V35)+(AT35*AT35)),0)</f>
        <v>0</v>
      </c>
      <c r="AW35" s="91">
        <f>(AU35*AV35)^2</f>
        <v>0</v>
      </c>
      <c r="AX35" s="89">
        <f>VLOOKUP($C35,$BH$109:$CL$513,3,FALSE)/BI467</f>
        <v>1.3829192546583851E-3</v>
      </c>
      <c r="AY35" s="90" t="str">
        <f>VLOOKUP($C35,$BH$109:$CL$513,4,FALSE)</f>
        <v>kgCH4/Ha</v>
      </c>
      <c r="AZ35" s="88">
        <v>0</v>
      </c>
      <c r="BA35" s="93">
        <v>0</v>
      </c>
      <c r="BB35" s="93">
        <f>BA35*$BI$466</f>
        <v>0</v>
      </c>
      <c r="BC35" s="88">
        <f t="shared" ref="BC35" si="43">IF(BA35&gt;0,SQRT(($V35*$V35)+(AZ35*AZ35)),0)</f>
        <v>0</v>
      </c>
      <c r="BD35" s="91">
        <f t="shared" ref="BD35" si="44">(BB35*BC35)^2</f>
        <v>0</v>
      </c>
      <c r="BE35" s="87">
        <f>AA35+AH35+AO35+AU35+BB35</f>
        <v>575.13886404799996</v>
      </c>
      <c r="BF35" s="95">
        <f>IF(BE35&gt;0,SQRT(AC35+AJ35+AQ35+AW35+BD35)/BE35,0)</f>
        <v>1.0606394553043474</v>
      </c>
    </row>
    <row r="36" spans="1:133" ht="14" x14ac:dyDescent="0.25">
      <c r="B36" s="100" t="s">
        <v>233</v>
      </c>
      <c r="C36" s="100"/>
      <c r="D36" s="100"/>
      <c r="E36" s="100"/>
      <c r="F36" s="100"/>
      <c r="G36" s="100"/>
      <c r="H36" s="100"/>
      <c r="I36" s="100"/>
      <c r="J36" s="100"/>
      <c r="K36" s="100"/>
      <c r="L36" s="100"/>
      <c r="M36" s="100"/>
      <c r="N36" s="100"/>
      <c r="O36" s="100"/>
      <c r="P36" s="100"/>
      <c r="Q36" s="100"/>
      <c r="R36" s="100"/>
      <c r="S36" s="100"/>
      <c r="T36" s="100"/>
      <c r="U36" s="100"/>
      <c r="V36" s="100"/>
      <c r="W36" s="100"/>
      <c r="X36" s="100"/>
      <c r="Y36" s="100"/>
      <c r="Z36" s="102"/>
      <c r="AA36" s="103">
        <f>SUM(AA31:AA35)</f>
        <v>1.6828299999999998</v>
      </c>
      <c r="AB36" s="104">
        <f>IF(AA36&gt;0,SQRT(SUM(AC31:AC35))/AA36,0)</f>
        <v>1.613762748410378</v>
      </c>
      <c r="AC36" s="103">
        <f>(AA36*AB36)^2</f>
        <v>7.3749633007249997</v>
      </c>
      <c r="AD36" s="105"/>
      <c r="AE36" s="100"/>
      <c r="AF36" s="100"/>
      <c r="AG36" s="106"/>
      <c r="AH36" s="103">
        <f>SUM(AH31:AH35)</f>
        <v>575.13886404799996</v>
      </c>
      <c r="AI36" s="104">
        <f>IF(AH36&gt;0,SQRT(SUM(AJ31:AJ34))/AH36,0)</f>
        <v>0</v>
      </c>
      <c r="AJ36" s="103">
        <f t="shared" si="35"/>
        <v>0</v>
      </c>
      <c r="AK36" s="100"/>
      <c r="AL36" s="100"/>
      <c r="AM36" s="100"/>
      <c r="AN36" s="100"/>
      <c r="AO36" s="103">
        <f>SUM(AO31:AO35)</f>
        <v>0</v>
      </c>
      <c r="AP36" s="104">
        <f>IF(AO36&gt;0,SQRT(SUM(AQ31:AQ35))/AO36,0)</f>
        <v>0</v>
      </c>
      <c r="AQ36" s="103">
        <f>(AO36*AP36)^2</f>
        <v>0</v>
      </c>
      <c r="AR36" s="100"/>
      <c r="AS36" s="100"/>
      <c r="AT36" s="100"/>
      <c r="AU36" s="103">
        <f>SUM(AU31:AU35)</f>
        <v>86.404008000000005</v>
      </c>
      <c r="AV36" s="104">
        <f>IF(AU36&gt;0,SQRT(SUM(AW31:AW35))/AU36,0)</f>
        <v>2.1693726202750048</v>
      </c>
      <c r="AW36" s="103">
        <f>(AU36*AV36)^2</f>
        <v>35134.686771446264</v>
      </c>
      <c r="AX36" s="100"/>
      <c r="AY36" s="100"/>
      <c r="AZ36" s="107"/>
      <c r="BA36" s="108"/>
      <c r="BB36" s="103">
        <f>SUM(BB31:BB35)</f>
        <v>0</v>
      </c>
      <c r="BC36" s="104">
        <f>IF(BB36&gt;0,SQRT(SUM(BD31:BD35))/BB36,0)</f>
        <v>0</v>
      </c>
      <c r="BD36" s="103">
        <f t="shared" si="39"/>
        <v>0</v>
      </c>
      <c r="BE36" s="103">
        <f>SUM(BE31:BE35)</f>
        <v>663.2257020479999</v>
      </c>
      <c r="BF36" s="109">
        <f>IF(BE36&gt;0,SQRT(SUM(BG31:BG35))/BE36,0)</f>
        <v>0.28265213520672561</v>
      </c>
      <c r="BG36" s="235">
        <f t="shared" si="0"/>
        <v>35142.061734747003</v>
      </c>
    </row>
    <row r="37" spans="1:133" s="44" customFormat="1" ht="25.5" customHeight="1" x14ac:dyDescent="0.25">
      <c r="A37" s="30"/>
      <c r="B37" s="580" t="s">
        <v>255</v>
      </c>
      <c r="C37" s="594"/>
      <c r="D37" s="594"/>
      <c r="E37" s="216"/>
      <c r="F37" s="216"/>
      <c r="G37" s="216"/>
      <c r="H37" s="216"/>
      <c r="I37" s="216"/>
      <c r="J37" s="216"/>
      <c r="K37" s="216"/>
      <c r="L37" s="216"/>
      <c r="M37" s="216"/>
      <c r="N37" s="216"/>
      <c r="O37" s="216"/>
      <c r="P37" s="216"/>
      <c r="Q37" s="216"/>
      <c r="R37" s="216"/>
      <c r="S37" s="216"/>
      <c r="T37" s="216"/>
      <c r="U37" s="216"/>
      <c r="V37" s="216"/>
      <c r="W37" s="216"/>
      <c r="X37" s="216"/>
      <c r="Y37" s="216"/>
      <c r="Z37" s="216"/>
      <c r="AA37" s="217">
        <f>+AA20+AA29+AA36</f>
        <v>2799.4261342488003</v>
      </c>
      <c r="AB37" s="217">
        <f>+AB20+AB29+AB36</f>
        <v>2.0630307824063108</v>
      </c>
      <c r="AC37" s="428">
        <f>(AA37*AB37)^2</f>
        <v>33354116.518101186</v>
      </c>
      <c r="AD37" s="216"/>
      <c r="AE37" s="216"/>
      <c r="AF37" s="216"/>
      <c r="AG37" s="216"/>
      <c r="AH37" s="217">
        <f>+AH20+AH29+AH36</f>
        <v>579.97978458263822</v>
      </c>
      <c r="AI37" s="217">
        <f>+AI20+AI29+AI36</f>
        <v>0.89920615421845818</v>
      </c>
      <c r="AJ37" s="167">
        <f>(AH37*AI37)^2</f>
        <v>271984.56191622245</v>
      </c>
      <c r="AK37" s="216"/>
      <c r="AL37" s="216"/>
      <c r="AM37" s="216"/>
      <c r="AN37" s="216"/>
      <c r="AO37" s="217">
        <f>+AO20+AO29+AO36</f>
        <v>7.0006921871173162</v>
      </c>
      <c r="AP37" s="217">
        <f>+AP20+AP29+AP36</f>
        <v>0.28550060612933986</v>
      </c>
      <c r="AQ37" s="167">
        <f>(AO37*AP37)^2</f>
        <v>3.9948091361480387</v>
      </c>
      <c r="AR37" s="216"/>
      <c r="AS37" s="216"/>
      <c r="AT37" s="216"/>
      <c r="AU37" s="428">
        <f>+AU29+AU36</f>
        <v>86.404008000000005</v>
      </c>
      <c r="AV37" s="216">
        <f>IF(AU37&gt;0,(SQRT(AW20+AW29+AW36))/AU37,0)</f>
        <v>2.1693726202750048</v>
      </c>
      <c r="AW37" s="216">
        <f t="shared" si="37"/>
        <v>35134.686771446264</v>
      </c>
      <c r="AX37" s="216"/>
      <c r="AY37" s="216"/>
      <c r="AZ37" s="216"/>
      <c r="BA37" s="216"/>
      <c r="BB37" s="216">
        <f>+BB29+BB36</f>
        <v>0</v>
      </c>
      <c r="BC37" s="216">
        <f>IF(BB37&gt;0,(SQRT(BD29+BD36))/BB37,0)</f>
        <v>0</v>
      </c>
      <c r="BD37" s="216">
        <f t="shared" si="39"/>
        <v>0</v>
      </c>
      <c r="BE37" s="459">
        <f>BE20++BE29+BE36</f>
        <v>3472.8106190185554</v>
      </c>
      <c r="BF37" s="218">
        <f>IF(BE37&gt;0,(SQRT(BG20+BG29+BG36))/BE37,0)</f>
        <v>7.1622677709400506E-2</v>
      </c>
      <c r="BG37" s="235">
        <f t="shared" si="0"/>
        <v>61867.605690749842</v>
      </c>
      <c r="BH37" s="53"/>
      <c r="BI37" s="54"/>
      <c r="BJ37" s="54"/>
      <c r="BK37" s="54"/>
      <c r="BL37" s="55"/>
      <c r="BM37" s="55"/>
      <c r="BN37" s="55"/>
      <c r="BO37" s="79"/>
      <c r="BP37" s="79"/>
      <c r="BQ37" s="79"/>
      <c r="BR37" s="79"/>
      <c r="BS37" s="79"/>
      <c r="BT37" s="79"/>
      <c r="BU37" s="54"/>
      <c r="BV37" s="79"/>
      <c r="BW37" s="79"/>
      <c r="BX37" s="54"/>
      <c r="BY37" s="54"/>
      <c r="BZ37" s="54"/>
      <c r="CA37" s="56"/>
      <c r="CB37" s="79"/>
      <c r="CC37" s="79"/>
      <c r="CD37" s="56"/>
      <c r="CE37" s="56"/>
      <c r="CF37" s="56"/>
      <c r="CG37" s="56"/>
      <c r="CH37" s="79"/>
      <c r="CI37" s="79"/>
      <c r="CJ37" s="56"/>
      <c r="CK37" s="56"/>
      <c r="CL37" s="56"/>
      <c r="CM37" s="57"/>
      <c r="CN37" s="58"/>
      <c r="CO37" s="58"/>
      <c r="CP37" s="35"/>
      <c r="CQ37" s="35"/>
      <c r="CR37" s="35"/>
      <c r="CS37" s="35"/>
      <c r="CT37" s="35"/>
      <c r="CU37" s="35"/>
      <c r="CV37" s="35"/>
      <c r="CW37" s="35"/>
      <c r="CX37" s="35"/>
      <c r="CY37" s="35"/>
      <c r="CZ37" s="35"/>
      <c r="DA37" s="35"/>
      <c r="DB37" s="35"/>
      <c r="DC37" s="35"/>
      <c r="DD37" s="35"/>
      <c r="DE37" s="35"/>
      <c r="DF37" s="35"/>
      <c r="DG37" s="35"/>
      <c r="DH37" s="35"/>
      <c r="DI37" s="35"/>
      <c r="DJ37" s="35"/>
      <c r="DK37" s="35"/>
      <c r="DL37" s="35"/>
      <c r="DM37" s="35"/>
      <c r="DN37" s="35"/>
      <c r="DO37" s="35"/>
      <c r="DP37" s="35"/>
      <c r="DQ37" s="35"/>
      <c r="DR37" s="35"/>
      <c r="DS37" s="35"/>
      <c r="DT37" s="35"/>
      <c r="DU37" s="35"/>
      <c r="DV37" s="59"/>
      <c r="DW37" s="59"/>
      <c r="DX37" s="59"/>
      <c r="DY37" s="59"/>
      <c r="DZ37" s="59"/>
      <c r="EA37" s="59"/>
      <c r="EB37" s="59"/>
      <c r="EC37" s="59"/>
    </row>
    <row r="38" spans="1:133" ht="14" x14ac:dyDescent="0.25">
      <c r="B38" s="202"/>
      <c r="C38" s="203"/>
      <c r="D38" s="203"/>
      <c r="E38" s="203"/>
      <c r="F38" s="203"/>
      <c r="G38" s="203"/>
      <c r="H38" s="203"/>
      <c r="I38" s="203"/>
      <c r="J38" s="203"/>
      <c r="K38" s="203"/>
      <c r="L38" s="203"/>
      <c r="M38" s="203"/>
      <c r="N38" s="203"/>
      <c r="O38" s="203"/>
      <c r="P38" s="203"/>
      <c r="Q38" s="203"/>
      <c r="R38" s="203"/>
      <c r="S38" s="203"/>
      <c r="T38" s="203"/>
      <c r="U38" s="203"/>
      <c r="V38" s="203"/>
      <c r="W38" s="203"/>
      <c r="X38" s="203"/>
      <c r="Y38" s="203"/>
      <c r="Z38" s="203"/>
      <c r="AA38" s="203"/>
      <c r="AB38" s="203"/>
      <c r="AC38" s="203"/>
      <c r="AD38" s="203"/>
      <c r="AE38" s="203"/>
      <c r="AF38" s="203"/>
      <c r="AG38" s="203"/>
      <c r="AH38" s="203"/>
      <c r="AI38" s="203"/>
      <c r="AJ38" s="203"/>
      <c r="AK38" s="203"/>
      <c r="AL38" s="203"/>
      <c r="AM38" s="203"/>
      <c r="AN38" s="203"/>
      <c r="AO38" s="203"/>
      <c r="AP38" s="203"/>
      <c r="AQ38" s="203"/>
      <c r="AR38" s="203"/>
      <c r="AS38" s="203"/>
      <c r="AT38" s="203"/>
      <c r="AU38" s="203"/>
      <c r="AV38" s="203"/>
      <c r="AW38" s="203"/>
      <c r="AX38" s="203"/>
      <c r="AY38" s="203"/>
      <c r="AZ38" s="203"/>
      <c r="BA38" s="203"/>
      <c r="BB38" s="203"/>
      <c r="BC38" s="203"/>
      <c r="BD38" s="203"/>
      <c r="BE38" s="203"/>
      <c r="BF38" s="203"/>
      <c r="BG38" s="242"/>
      <c r="BO38" s="66"/>
      <c r="BP38" s="66"/>
      <c r="BQ38" s="66"/>
      <c r="BR38" s="66"/>
      <c r="BS38" s="66"/>
      <c r="BT38" s="66"/>
      <c r="BV38" s="66"/>
      <c r="BW38" s="66"/>
      <c r="CB38" s="66"/>
      <c r="CC38" s="66"/>
      <c r="CH38" s="66"/>
      <c r="CI38" s="66"/>
    </row>
    <row r="39" spans="1:133" s="44" customFormat="1" ht="25.5" customHeight="1" x14ac:dyDescent="0.25">
      <c r="A39" s="30"/>
      <c r="B39" s="580" t="s">
        <v>256</v>
      </c>
      <c r="C39" s="594"/>
      <c r="D39" s="594"/>
      <c r="E39" s="594"/>
      <c r="F39" s="594"/>
      <c r="G39" s="594"/>
      <c r="H39" s="594"/>
      <c r="I39" s="594"/>
      <c r="J39" s="594"/>
      <c r="K39" s="594"/>
      <c r="L39" s="594"/>
      <c r="M39" s="594"/>
      <c r="N39" s="594"/>
      <c r="O39" s="594"/>
      <c r="P39" s="594"/>
      <c r="Q39" s="594"/>
      <c r="R39" s="594"/>
      <c r="S39" s="594"/>
      <c r="T39" s="594"/>
      <c r="U39" s="594"/>
      <c r="V39" s="594"/>
      <c r="W39" s="594"/>
      <c r="X39" s="594"/>
      <c r="Y39" s="594"/>
      <c r="Z39" s="594"/>
      <c r="AA39" s="594"/>
      <c r="AB39" s="594"/>
      <c r="AC39" s="594"/>
      <c r="AD39" s="594"/>
      <c r="AE39" s="594"/>
      <c r="AF39" s="594"/>
      <c r="AG39" s="594"/>
      <c r="AH39" s="594"/>
      <c r="AI39" s="594"/>
      <c r="AJ39" s="594"/>
      <c r="AK39" s="594"/>
      <c r="AL39" s="594"/>
      <c r="AM39" s="594"/>
      <c r="AN39" s="594"/>
      <c r="AO39" s="594"/>
      <c r="AP39" s="594"/>
      <c r="AQ39" s="594"/>
      <c r="AR39" s="594"/>
      <c r="AS39" s="594"/>
      <c r="AT39" s="594"/>
      <c r="AU39" s="594"/>
      <c r="AV39" s="594"/>
      <c r="AW39" s="594"/>
      <c r="AX39" s="594"/>
      <c r="AY39" s="594"/>
      <c r="AZ39" s="594"/>
      <c r="BA39" s="594"/>
      <c r="BB39" s="594"/>
      <c r="BC39" s="594"/>
      <c r="BD39" s="594"/>
      <c r="BE39" s="594"/>
      <c r="BF39" s="594"/>
      <c r="BG39" s="235"/>
      <c r="BH39" s="53"/>
      <c r="BI39" s="54"/>
      <c r="BJ39" s="54"/>
      <c r="BK39" s="54"/>
      <c r="BL39" s="55"/>
      <c r="BM39" s="55"/>
      <c r="BN39" s="55"/>
      <c r="BO39" s="79"/>
      <c r="BP39" s="79"/>
      <c r="BQ39" s="79"/>
      <c r="BR39" s="79"/>
      <c r="BS39" s="79"/>
      <c r="BT39" s="79"/>
      <c r="BU39" s="54"/>
      <c r="BV39" s="79"/>
      <c r="BW39" s="79"/>
      <c r="BX39" s="54"/>
      <c r="BY39" s="54"/>
      <c r="BZ39" s="54"/>
      <c r="CA39" s="56"/>
      <c r="CB39" s="79"/>
      <c r="CC39" s="79"/>
      <c r="CD39" s="56"/>
      <c r="CE39" s="56"/>
      <c r="CF39" s="56"/>
      <c r="CG39" s="56"/>
      <c r="CH39" s="79"/>
      <c r="CI39" s="79"/>
      <c r="CJ39" s="56"/>
      <c r="CK39" s="56"/>
      <c r="CL39" s="56"/>
      <c r="CM39" s="57"/>
      <c r="CN39" s="58"/>
      <c r="CO39" s="58"/>
      <c r="CP39" s="35"/>
      <c r="CQ39" s="35"/>
      <c r="CR39" s="35"/>
      <c r="CS39" s="35"/>
      <c r="CT39" s="35"/>
      <c r="CU39" s="35"/>
      <c r="CV39" s="35"/>
      <c r="CW39" s="35"/>
      <c r="CX39" s="35"/>
      <c r="CY39" s="35"/>
      <c r="CZ39" s="35"/>
      <c r="DA39" s="35"/>
      <c r="DB39" s="35"/>
      <c r="DC39" s="35"/>
      <c r="DD39" s="35"/>
      <c r="DE39" s="35"/>
      <c r="DF39" s="35"/>
      <c r="DG39" s="35"/>
      <c r="DH39" s="35"/>
      <c r="DI39" s="35"/>
      <c r="DJ39" s="35"/>
      <c r="DK39" s="35"/>
      <c r="DL39" s="35"/>
      <c r="DM39" s="35"/>
      <c r="DN39" s="35"/>
      <c r="DO39" s="35"/>
      <c r="DP39" s="35"/>
      <c r="DQ39" s="35"/>
      <c r="DR39" s="35"/>
      <c r="DS39" s="35"/>
      <c r="DT39" s="35"/>
      <c r="DU39" s="35"/>
      <c r="DV39" s="59"/>
      <c r="DW39" s="59"/>
      <c r="DX39" s="59"/>
      <c r="DY39" s="59"/>
      <c r="DZ39" s="59"/>
      <c r="EA39" s="59"/>
      <c r="EB39" s="59"/>
      <c r="EC39" s="59"/>
    </row>
    <row r="40" spans="1:133" ht="27" x14ac:dyDescent="0.25">
      <c r="B40" s="467" t="s">
        <v>257</v>
      </c>
      <c r="C40" s="506" t="s">
        <v>258</v>
      </c>
      <c r="D40" s="85" t="str">
        <f>VLOOKUP($C40,$BH$109:$CL$513,2,FALSE)</f>
        <v>KWh</v>
      </c>
      <c r="E40" s="124">
        <v>11320373.640000002</v>
      </c>
      <c r="F40" s="124">
        <v>16626056.030000001</v>
      </c>
      <c r="G40" s="124">
        <v>18265335.190000001</v>
      </c>
      <c r="H40" s="124">
        <v>13303308.850000001</v>
      </c>
      <c r="I40" s="124">
        <v>11060642.609999999</v>
      </c>
      <c r="J40" s="124">
        <v>11994005.02</v>
      </c>
      <c r="K40" s="124">
        <v>13130033.609999999</v>
      </c>
      <c r="L40" s="124">
        <v>17177837.889999997</v>
      </c>
      <c r="M40" s="124">
        <v>17466479.780000001</v>
      </c>
      <c r="N40" s="124">
        <v>17578907.740000002</v>
      </c>
      <c r="O40" s="124">
        <v>10149025</v>
      </c>
      <c r="P40" s="124">
        <v>10334765.92</v>
      </c>
      <c r="Q40" s="429">
        <f>SUM(E40:P40)</f>
        <v>168406771.27999997</v>
      </c>
      <c r="R40" s="85">
        <f>COUNT(E40:P40)</f>
        <v>12</v>
      </c>
      <c r="S40" s="87">
        <f>IF(R40&gt;1,AVERAGE(E40:P40),0)</f>
        <v>14033897.606666664</v>
      </c>
      <c r="T40" s="87">
        <f>IF(R40&gt;1,STDEV(E40:P40),0)</f>
        <v>3152914.7677517314</v>
      </c>
      <c r="U40" s="87">
        <f>IF(R40&gt;1,VLOOKUP($R40,$BH$445:$BI$457,2,FALSE),0)</f>
        <v>2.2000000000000002</v>
      </c>
      <c r="V40" s="88">
        <f>IF(R40&gt;1,1-((S40-((T40*U40)/(SQRT(R40))))/S40),VLOOKUP($C40,$BH$109:$CO$513,34,FALSE))</f>
        <v>0.14268094758875427</v>
      </c>
      <c r="W40" s="89">
        <v>0.20300000000000001</v>
      </c>
      <c r="X40" s="90" t="str">
        <f>VLOOKUP($C40,$BH$109:$CL$513,4,FALSE)</f>
        <v>kgCO2 e/KWh</v>
      </c>
      <c r="Y40" s="88">
        <f>IF($Q40&gt;0,VLOOKUP($C40,$BH$109:$CL$513,6,FALSE),0)</f>
        <v>0.1</v>
      </c>
      <c r="Z40" s="91">
        <f>($Q40*W40)/1000</f>
        <v>34186.574569839999</v>
      </c>
      <c r="AA40" s="91">
        <f>Z40*$BI$463</f>
        <v>34186.574569839999</v>
      </c>
      <c r="AB40" s="88">
        <f>IF(Z40&gt;0,SQRT(($V40*$V40)+(Y40*Y40)),0)</f>
        <v>0.17423505044859613</v>
      </c>
      <c r="AC40" s="91">
        <f>(AA40*AB40)^2</f>
        <v>35479886.827688254</v>
      </c>
      <c r="AD40" s="92">
        <f>VLOOKUP($C40,$BH$109:$CL$513,21,FALSE)</f>
        <v>0</v>
      </c>
      <c r="AE40" s="90">
        <f>VLOOKUP($C40,$BH$109:$CL$513,10,FALSE)</f>
        <v>0</v>
      </c>
      <c r="AF40" s="88">
        <f>IF($Q40&gt;0,VLOOKUP($C40,$BH$109:$CL$513,24,FALSE),0)</f>
        <v>0</v>
      </c>
      <c r="AG40" s="93">
        <f>($Q40*AD40)/1000</f>
        <v>0</v>
      </c>
      <c r="AH40" s="93">
        <f>AG40*$BI$464</f>
        <v>0</v>
      </c>
      <c r="AI40" s="88">
        <f>IF(AG40&gt;0,SQRT(($V40*$V40)+(AF40*AF40)),0)</f>
        <v>0</v>
      </c>
      <c r="AJ40" s="91">
        <f>(AH40*AI40)^2</f>
        <v>0</v>
      </c>
      <c r="AK40" s="92">
        <f>VLOOKUP($C40,$BH$109:$CL$513,15,FALSE)</f>
        <v>0</v>
      </c>
      <c r="AL40" s="90">
        <f>VLOOKUP($C40,$BH$109:$CL$513,16,FALSE)</f>
        <v>0</v>
      </c>
      <c r="AM40" s="88">
        <f>IF($Q40&gt;0,VLOOKUP($C40,$BH$109:$CL$513,30,FALSE),0)</f>
        <v>0</v>
      </c>
      <c r="AN40" s="93">
        <f>(V40*AK40)/1000</f>
        <v>0</v>
      </c>
      <c r="AO40" s="93">
        <f>AN40*$BI$465</f>
        <v>0</v>
      </c>
      <c r="AP40" s="88">
        <f>IF(AN40&gt;0,SQRT(($V40*$V40)+(AM40*AM40)+(#REF!*#REF!)),0)</f>
        <v>0</v>
      </c>
      <c r="AQ40" s="91">
        <f>(AO40*AP40)^2</f>
        <v>0</v>
      </c>
      <c r="AR40" s="94">
        <v>0</v>
      </c>
      <c r="AS40" s="90"/>
      <c r="AT40" s="88">
        <f>IF($Q40&gt;0,VLOOKUP($C40,$BH$109:$CL$513,6,FALSE),0)</f>
        <v>0.1</v>
      </c>
      <c r="AU40" s="91">
        <f>($Q40*AR40)/1000</f>
        <v>0</v>
      </c>
      <c r="AV40" s="88">
        <f>IF(AU40&gt;0,SQRT(($V40*$V40)+(AT40*AT40)),0)</f>
        <v>0</v>
      </c>
      <c r="AW40" s="91">
        <f>(AU40*AV40)^2</f>
        <v>0</v>
      </c>
      <c r="AX40" s="88">
        <f>IF($Q40&gt;0,VLOOKUP($C40,$BH$109:$CL$513,24,FALSE),0)</f>
        <v>0</v>
      </c>
      <c r="AY40" s="91">
        <f>(AW40*AX40)^2</f>
        <v>0</v>
      </c>
      <c r="AZ40" s="88">
        <f>IF($Q40&gt;0,VLOOKUP($C40,$BH$109:$CL$513,6,FALSE),0)</f>
        <v>0.1</v>
      </c>
      <c r="BA40" s="93">
        <f>($Q40*AX40)/1000</f>
        <v>0</v>
      </c>
      <c r="BB40" s="93">
        <f>BA40*$BI$466</f>
        <v>0</v>
      </c>
      <c r="BC40" s="88">
        <f t="shared" ref="BC40" si="45">IF(BA40&gt;0,SQRT(($V40*$V40)+(AZ40*AZ40)),0)</f>
        <v>0</v>
      </c>
      <c r="BD40" s="91">
        <f>(BB40*BC40)^2</f>
        <v>0</v>
      </c>
      <c r="BE40" s="87">
        <f>AA40+AH40+AO40+AU40+BB40</f>
        <v>34186.574569839999</v>
      </c>
      <c r="BF40" s="430">
        <f>IF(BE40&gt;0,SQRT(AC40+AJ40+AQ40+AW40+BD40)/BE40,0)</f>
        <v>0.17423505044859613</v>
      </c>
      <c r="BG40" s="235">
        <f>(BE40*BF40)^2</f>
        <v>35479886.827688254</v>
      </c>
    </row>
    <row r="41" spans="1:133" s="44" customFormat="1" ht="25.5" customHeight="1" x14ac:dyDescent="0.25">
      <c r="A41" s="30"/>
      <c r="B41" s="580" t="s">
        <v>259</v>
      </c>
      <c r="C41" s="594"/>
      <c r="D41" s="594"/>
      <c r="E41" s="216"/>
      <c r="F41" s="216"/>
      <c r="G41" s="216"/>
      <c r="H41" s="216"/>
      <c r="I41" s="216"/>
      <c r="J41" s="216"/>
      <c r="K41" s="216"/>
      <c r="L41" s="216"/>
      <c r="M41" s="216"/>
      <c r="N41" s="216"/>
      <c r="O41" s="216"/>
      <c r="P41" s="216"/>
      <c r="Q41" s="216"/>
      <c r="R41" s="216"/>
      <c r="S41" s="216"/>
      <c r="T41" s="216"/>
      <c r="U41" s="216"/>
      <c r="V41" s="216"/>
      <c r="W41" s="216"/>
      <c r="X41" s="216"/>
      <c r="Y41" s="216"/>
      <c r="Z41" s="216"/>
      <c r="AA41" s="428">
        <f>+AA40</f>
        <v>34186.574569839999</v>
      </c>
      <c r="AB41" s="428">
        <f>IF(AA41&gt;0,(SQRT(AC32+AC40))/AA41,0)</f>
        <v>0.17423506855712395</v>
      </c>
      <c r="AC41" s="428">
        <f>(AA41*AB41)^2</f>
        <v>35479894.202651545</v>
      </c>
      <c r="AD41" s="216"/>
      <c r="AE41" s="216"/>
      <c r="AF41" s="216"/>
      <c r="AG41" s="216"/>
      <c r="AH41" s="219">
        <f>+AH32+AH40</f>
        <v>0</v>
      </c>
      <c r="AI41" s="216">
        <f>IF(AH41&gt;0,(SQRT(AJ32+AJ40))/AH41,0)</f>
        <v>0</v>
      </c>
      <c r="AJ41" s="216">
        <f>(AH41*AI41)^2</f>
        <v>0</v>
      </c>
      <c r="AK41" s="216"/>
      <c r="AL41" s="216"/>
      <c r="AM41" s="216"/>
      <c r="AN41" s="216"/>
      <c r="AO41" s="219">
        <f>+AO32+AO40</f>
        <v>0</v>
      </c>
      <c r="AP41" s="216">
        <f>IF(AO41&gt;0,(SQRT(AQ32+AQ40))/AO41,0)</f>
        <v>0</v>
      </c>
      <c r="AQ41" s="216">
        <f>(AO41*AP41)^2</f>
        <v>0</v>
      </c>
      <c r="AR41" s="216"/>
      <c r="AS41" s="216"/>
      <c r="AT41" s="216"/>
      <c r="AU41" s="219">
        <f>AU40</f>
        <v>0</v>
      </c>
      <c r="AV41" s="216">
        <f>IF(AU41&gt;0,(SQRT(AW32+AW40))/AU41,0)</f>
        <v>0</v>
      </c>
      <c r="AW41" s="216">
        <f>(AU41*AV41)^2</f>
        <v>0</v>
      </c>
      <c r="AX41" s="216"/>
      <c r="AY41" s="216"/>
      <c r="AZ41" s="216"/>
      <c r="BA41" s="219">
        <f>BA40</f>
        <v>0</v>
      </c>
      <c r="BB41" s="216">
        <f>+BB32+BB40</f>
        <v>0</v>
      </c>
      <c r="BC41" s="216">
        <f>IF(BB41&gt;0,(SQRT(BD32+BD40))/BB41,0)</f>
        <v>0</v>
      </c>
      <c r="BD41" s="216">
        <f>(BB41*BC41)^2</f>
        <v>0</v>
      </c>
      <c r="BE41" s="459">
        <f>+BE40</f>
        <v>34186.574569839999</v>
      </c>
      <c r="BF41" s="431">
        <f>IF(BE41&gt;0,(SQRT(BG32+BG40))/BE41,0)</f>
        <v>0.17423506855712395</v>
      </c>
      <c r="BG41" s="235">
        <f>(BE41*BF41)^2</f>
        <v>35479894.202651545</v>
      </c>
      <c r="BH41" s="53"/>
      <c r="BI41" s="54"/>
      <c r="BJ41" s="54"/>
      <c r="BK41" s="54"/>
      <c r="BL41" s="55"/>
      <c r="BM41" s="55"/>
      <c r="BN41" s="55"/>
      <c r="BO41" s="79"/>
      <c r="BP41" s="79"/>
      <c r="BQ41" s="79"/>
      <c r="BR41" s="79"/>
      <c r="BS41" s="79"/>
      <c r="BT41" s="79"/>
      <c r="BU41" s="54"/>
      <c r="BV41" s="79"/>
      <c r="BW41" s="79"/>
      <c r="BX41" s="54"/>
      <c r="BY41" s="54"/>
      <c r="BZ41" s="54"/>
      <c r="CA41" s="56"/>
      <c r="CB41" s="79"/>
      <c r="CC41" s="79"/>
      <c r="CD41" s="56"/>
      <c r="CE41" s="56"/>
      <c r="CF41" s="56"/>
      <c r="CG41" s="56"/>
      <c r="CH41" s="79"/>
      <c r="CI41" s="79"/>
      <c r="CJ41" s="56"/>
      <c r="CK41" s="56"/>
      <c r="CL41" s="56"/>
      <c r="CM41" s="57"/>
      <c r="CN41" s="58"/>
      <c r="CO41" s="58"/>
      <c r="CP41" s="35"/>
      <c r="CQ41" s="35"/>
      <c r="CR41" s="35"/>
      <c r="CS41" s="35"/>
      <c r="CT41" s="35"/>
      <c r="CU41" s="35"/>
      <c r="CV41" s="35"/>
      <c r="CW41" s="35"/>
      <c r="CX41" s="35"/>
      <c r="CY41" s="35"/>
      <c r="CZ41" s="35"/>
      <c r="DA41" s="35"/>
      <c r="DB41" s="35"/>
      <c r="DC41" s="35"/>
      <c r="DD41" s="35"/>
      <c r="DE41" s="35"/>
      <c r="DF41" s="35"/>
      <c r="DG41" s="35"/>
      <c r="DH41" s="35"/>
      <c r="DI41" s="35"/>
      <c r="DJ41" s="35"/>
      <c r="DK41" s="35"/>
      <c r="DL41" s="35"/>
      <c r="DM41" s="35"/>
      <c r="DN41" s="35"/>
      <c r="DO41" s="35"/>
      <c r="DP41" s="35"/>
      <c r="DQ41" s="35"/>
      <c r="DR41" s="35"/>
      <c r="DS41" s="35"/>
      <c r="DT41" s="35"/>
      <c r="DU41" s="35"/>
      <c r="DV41" s="59"/>
      <c r="DW41" s="59"/>
      <c r="DX41" s="59"/>
      <c r="DY41" s="59"/>
      <c r="DZ41" s="59"/>
      <c r="EA41" s="59"/>
      <c r="EB41" s="59"/>
      <c r="EC41" s="59"/>
    </row>
    <row r="42" spans="1:133" s="44" customFormat="1" ht="14" x14ac:dyDescent="0.25">
      <c r="A42" s="30"/>
      <c r="B42" s="125"/>
      <c r="C42" s="125"/>
      <c r="D42" s="125"/>
      <c r="E42" s="126"/>
      <c r="F42" s="126"/>
      <c r="G42" s="126"/>
      <c r="H42" s="126"/>
      <c r="I42" s="126"/>
      <c r="J42" s="126"/>
      <c r="K42" s="126"/>
      <c r="L42" s="126"/>
      <c r="M42" s="126"/>
      <c r="N42" s="126"/>
      <c r="O42" s="126"/>
      <c r="P42" s="126"/>
      <c r="Q42" s="126"/>
      <c r="R42" s="127"/>
      <c r="S42" s="126"/>
      <c r="T42" s="126"/>
      <c r="U42" s="126"/>
      <c r="V42" s="128"/>
      <c r="W42" s="125"/>
      <c r="X42" s="125"/>
      <c r="Y42" s="128"/>
      <c r="Z42" s="129"/>
      <c r="AA42" s="129"/>
      <c r="AB42" s="128"/>
      <c r="AC42" s="129"/>
      <c r="AD42" s="130"/>
      <c r="AE42" s="125"/>
      <c r="AF42" s="128"/>
      <c r="AG42" s="131"/>
      <c r="AH42" s="131"/>
      <c r="AI42" s="128"/>
      <c r="AJ42" s="129"/>
      <c r="AK42" s="125"/>
      <c r="AL42" s="125"/>
      <c r="AM42" s="128"/>
      <c r="AN42" s="128"/>
      <c r="AO42" s="128"/>
      <c r="AP42" s="128"/>
      <c r="AQ42" s="129"/>
      <c r="AR42" s="125"/>
      <c r="AS42" s="125"/>
      <c r="AT42" s="128"/>
      <c r="AU42" s="129"/>
      <c r="AV42" s="128"/>
      <c r="AW42" s="129"/>
      <c r="AX42" s="125"/>
      <c r="AY42" s="125"/>
      <c r="AZ42" s="128"/>
      <c r="BA42" s="129"/>
      <c r="BB42" s="129"/>
      <c r="BC42" s="128"/>
      <c r="BD42" s="129"/>
      <c r="BE42" s="126"/>
      <c r="BF42" s="128"/>
      <c r="BG42" s="235"/>
      <c r="BH42" s="53"/>
      <c r="BI42" s="54"/>
      <c r="BJ42" s="54"/>
      <c r="BK42" s="54"/>
      <c r="BL42" s="55"/>
      <c r="BM42" s="55"/>
      <c r="BN42" s="55"/>
      <c r="BO42" s="54"/>
      <c r="BP42" s="54"/>
      <c r="BQ42" s="54"/>
      <c r="BR42" s="54"/>
      <c r="BS42" s="54"/>
      <c r="BT42" s="54"/>
      <c r="BU42" s="54"/>
      <c r="BV42" s="54"/>
      <c r="BW42" s="54"/>
      <c r="BX42" s="54"/>
      <c r="BY42" s="54"/>
      <c r="BZ42" s="54"/>
      <c r="CA42" s="56"/>
      <c r="CB42" s="54"/>
      <c r="CC42" s="54"/>
      <c r="CD42" s="56"/>
      <c r="CE42" s="56"/>
      <c r="CF42" s="56"/>
      <c r="CG42" s="56"/>
      <c r="CH42" s="54"/>
      <c r="CI42" s="54"/>
      <c r="CJ42" s="56"/>
      <c r="CK42" s="56"/>
      <c r="CL42" s="56"/>
      <c r="CM42" s="57"/>
      <c r="CN42" s="58"/>
      <c r="CO42" s="58"/>
      <c r="CP42" s="35"/>
      <c r="CQ42" s="35"/>
      <c r="CR42" s="35"/>
      <c r="CS42" s="35"/>
      <c r="CT42" s="35"/>
      <c r="CU42" s="35"/>
      <c r="CV42" s="35"/>
      <c r="CW42" s="35"/>
      <c r="CX42" s="35"/>
      <c r="CY42" s="35"/>
      <c r="CZ42" s="35"/>
      <c r="DA42" s="35"/>
      <c r="DB42" s="35"/>
      <c r="DC42" s="35"/>
      <c r="DD42" s="35"/>
      <c r="DE42" s="35"/>
      <c r="DF42" s="35"/>
      <c r="DG42" s="35"/>
      <c r="DH42" s="35"/>
      <c r="DI42" s="35"/>
      <c r="DJ42" s="35"/>
      <c r="DK42" s="35"/>
      <c r="DL42" s="35"/>
      <c r="DM42" s="35"/>
      <c r="DN42" s="35"/>
      <c r="DO42" s="35"/>
      <c r="DP42" s="35"/>
      <c r="DQ42" s="35"/>
      <c r="DR42" s="35"/>
      <c r="DS42" s="35"/>
      <c r="DT42" s="35"/>
      <c r="DU42" s="35"/>
      <c r="DV42" s="59"/>
      <c r="DW42" s="59"/>
      <c r="DX42" s="59"/>
      <c r="DY42" s="59"/>
      <c r="DZ42" s="59"/>
      <c r="EA42" s="59"/>
      <c r="EB42" s="59"/>
      <c r="EC42" s="59"/>
    </row>
    <row r="43" spans="1:133" s="44" customFormat="1" ht="25.5" customHeight="1" x14ac:dyDescent="0.25">
      <c r="A43" s="30"/>
      <c r="B43" s="580" t="s">
        <v>260</v>
      </c>
      <c r="C43" s="594"/>
      <c r="D43" s="594"/>
      <c r="E43" s="594"/>
      <c r="F43" s="594"/>
      <c r="G43" s="594"/>
      <c r="H43" s="594"/>
      <c r="I43" s="594"/>
      <c r="J43" s="594"/>
      <c r="K43" s="594"/>
      <c r="L43" s="594"/>
      <c r="M43" s="594"/>
      <c r="N43" s="594"/>
      <c r="O43" s="594"/>
      <c r="P43" s="594"/>
      <c r="Q43" s="594"/>
      <c r="R43" s="594"/>
      <c r="S43" s="594"/>
      <c r="T43" s="594"/>
      <c r="U43" s="594"/>
      <c r="V43" s="594"/>
      <c r="W43" s="594"/>
      <c r="X43" s="594"/>
      <c r="Y43" s="594"/>
      <c r="Z43" s="594"/>
      <c r="AA43" s="594"/>
      <c r="AB43" s="594"/>
      <c r="AC43" s="594"/>
      <c r="AD43" s="594"/>
      <c r="AE43" s="594"/>
      <c r="AF43" s="594"/>
      <c r="AG43" s="594"/>
      <c r="AH43" s="594"/>
      <c r="AI43" s="594"/>
      <c r="AJ43" s="594"/>
      <c r="AK43" s="594"/>
      <c r="AL43" s="594"/>
      <c r="AM43" s="594"/>
      <c r="AN43" s="594"/>
      <c r="AO43" s="594"/>
      <c r="AP43" s="594"/>
      <c r="AQ43" s="594"/>
      <c r="AR43" s="594"/>
      <c r="AS43" s="594"/>
      <c r="AT43" s="594"/>
      <c r="AU43" s="594"/>
      <c r="AV43" s="594"/>
      <c r="AW43" s="594"/>
      <c r="AX43" s="594"/>
      <c r="AY43" s="594"/>
      <c r="AZ43" s="594"/>
      <c r="BA43" s="594"/>
      <c r="BB43" s="594"/>
      <c r="BC43" s="594"/>
      <c r="BD43" s="594"/>
      <c r="BE43" s="594"/>
      <c r="BF43" s="594"/>
      <c r="BG43" s="235"/>
      <c r="BH43" s="53"/>
      <c r="BI43" s="54"/>
      <c r="BJ43" s="54"/>
      <c r="BK43" s="54"/>
      <c r="BL43" s="55"/>
      <c r="BM43" s="55"/>
      <c r="BN43" s="55"/>
      <c r="BO43" s="79"/>
      <c r="BP43" s="79"/>
      <c r="BQ43" s="79"/>
      <c r="BR43" s="79"/>
      <c r="BS43" s="79"/>
      <c r="BT43" s="79"/>
      <c r="BU43" s="54"/>
      <c r="BV43" s="79"/>
      <c r="BW43" s="79"/>
      <c r="BX43" s="54"/>
      <c r="BY43" s="54"/>
      <c r="BZ43" s="54"/>
      <c r="CA43" s="56"/>
      <c r="CB43" s="79"/>
      <c r="CC43" s="79"/>
      <c r="CD43" s="56"/>
      <c r="CE43" s="56"/>
      <c r="CF43" s="56"/>
      <c r="CG43" s="56"/>
      <c r="CH43" s="79"/>
      <c r="CI43" s="79"/>
      <c r="CJ43" s="56"/>
      <c r="CK43" s="56"/>
      <c r="CL43" s="56"/>
      <c r="CM43" s="57"/>
      <c r="CN43" s="58"/>
      <c r="CO43" s="58"/>
      <c r="CP43" s="35"/>
      <c r="CQ43" s="35"/>
      <c r="CR43" s="35"/>
      <c r="CS43" s="35"/>
      <c r="CT43" s="35"/>
      <c r="CU43" s="35"/>
      <c r="CV43" s="35"/>
      <c r="CW43" s="35"/>
      <c r="CX43" s="35"/>
      <c r="CY43" s="35"/>
      <c r="CZ43" s="35"/>
      <c r="DA43" s="35"/>
      <c r="DB43" s="35"/>
      <c r="DC43" s="35"/>
      <c r="DD43" s="35"/>
      <c r="DE43" s="35"/>
      <c r="DF43" s="35"/>
      <c r="DG43" s="35"/>
      <c r="DH43" s="35"/>
      <c r="DI43" s="35"/>
      <c r="DJ43" s="35"/>
      <c r="DK43" s="35"/>
      <c r="DL43" s="35"/>
      <c r="DM43" s="35"/>
      <c r="DN43" s="35"/>
      <c r="DO43" s="35"/>
      <c r="DP43" s="35"/>
      <c r="DQ43" s="35"/>
      <c r="DR43" s="35"/>
      <c r="DS43" s="35"/>
      <c r="DT43" s="35"/>
      <c r="DU43" s="35"/>
      <c r="DV43" s="59"/>
      <c r="DW43" s="59"/>
      <c r="DX43" s="59"/>
      <c r="DY43" s="59"/>
      <c r="DZ43" s="59"/>
      <c r="EA43" s="59"/>
      <c r="EB43" s="59"/>
      <c r="EC43" s="59"/>
    </row>
    <row r="44" spans="1:133" s="36" customFormat="1" ht="15" customHeight="1" x14ac:dyDescent="0.25">
      <c r="A44" s="30"/>
      <c r="B44" s="589" t="s">
        <v>261</v>
      </c>
      <c r="C44" s="589" t="s">
        <v>175</v>
      </c>
      <c r="D44" s="589" t="s">
        <v>117</v>
      </c>
      <c r="E44" s="589"/>
      <c r="F44" s="589"/>
      <c r="G44" s="589"/>
      <c r="H44" s="589"/>
      <c r="I44" s="589"/>
      <c r="J44" s="589"/>
      <c r="K44" s="589"/>
      <c r="L44" s="589"/>
      <c r="M44" s="589"/>
      <c r="N44" s="589"/>
      <c r="O44" s="589"/>
      <c r="P44" s="589"/>
      <c r="Q44" s="589"/>
      <c r="R44" s="589"/>
      <c r="S44" s="589" t="s">
        <v>176</v>
      </c>
      <c r="T44" s="589"/>
      <c r="U44" s="589"/>
      <c r="V44" s="589"/>
      <c r="W44" s="595" t="s">
        <v>177</v>
      </c>
      <c r="X44" s="595"/>
      <c r="Y44" s="595"/>
      <c r="Z44" s="595"/>
      <c r="AA44" s="595"/>
      <c r="AB44" s="595"/>
      <c r="AC44" s="595"/>
      <c r="AD44" s="595" t="s">
        <v>178</v>
      </c>
      <c r="AE44" s="595"/>
      <c r="AF44" s="595"/>
      <c r="AG44" s="595"/>
      <c r="AH44" s="595"/>
      <c r="AI44" s="595"/>
      <c r="AJ44" s="595"/>
      <c r="AK44" s="595" t="s">
        <v>179</v>
      </c>
      <c r="AL44" s="595"/>
      <c r="AM44" s="595"/>
      <c r="AN44" s="595"/>
      <c r="AO44" s="595"/>
      <c r="AP44" s="595"/>
      <c r="AQ44" s="595"/>
      <c r="AR44" s="595" t="s">
        <v>180</v>
      </c>
      <c r="AS44" s="595"/>
      <c r="AT44" s="595"/>
      <c r="AU44" s="595"/>
      <c r="AV44" s="595"/>
      <c r="AW44" s="595"/>
      <c r="AX44" s="595" t="s">
        <v>181</v>
      </c>
      <c r="AY44" s="595"/>
      <c r="AZ44" s="595"/>
      <c r="BA44" s="595"/>
      <c r="BB44" s="595"/>
      <c r="BC44" s="595"/>
      <c r="BD44" s="595"/>
      <c r="BE44" s="588" t="s">
        <v>182</v>
      </c>
      <c r="BF44" s="588" t="s">
        <v>149</v>
      </c>
      <c r="BG44" s="235"/>
      <c r="BI44" s="37"/>
      <c r="BJ44" s="37"/>
      <c r="BK44" s="37"/>
      <c r="BL44" s="38"/>
      <c r="BM44" s="38"/>
      <c r="BN44" s="38"/>
      <c r="BO44" s="37"/>
      <c r="BP44" s="37"/>
      <c r="BQ44" s="37"/>
      <c r="BR44" s="37"/>
      <c r="BS44" s="37"/>
      <c r="BT44" s="37"/>
      <c r="BU44" s="37"/>
      <c r="BV44" s="37"/>
      <c r="BW44" s="37"/>
      <c r="BX44" s="37"/>
      <c r="BY44" s="37"/>
      <c r="BZ44" s="37"/>
      <c r="CA44" s="39"/>
      <c r="CB44" s="37"/>
      <c r="CC44" s="37"/>
      <c r="CD44" s="39"/>
      <c r="CE44" s="39"/>
      <c r="CF44" s="39"/>
      <c r="CG44" s="39"/>
      <c r="CH44" s="37"/>
      <c r="CI44" s="37"/>
      <c r="CJ44" s="39"/>
      <c r="CK44" s="39"/>
      <c r="CL44" s="39"/>
      <c r="CM44" s="40"/>
      <c r="CN44" s="41"/>
      <c r="CO44" s="41"/>
      <c r="CP44" s="42"/>
      <c r="CQ44" s="42"/>
      <c r="CR44" s="42"/>
      <c r="CS44" s="42"/>
      <c r="CT44" s="42"/>
      <c r="CU44" s="42"/>
      <c r="CV44" s="42"/>
      <c r="CW44" s="42"/>
      <c r="CX44" s="42"/>
      <c r="CY44" s="42"/>
      <c r="CZ44" s="42"/>
      <c r="DA44" s="42"/>
      <c r="DB44" s="42"/>
      <c r="DC44" s="42"/>
      <c r="DD44" s="42"/>
      <c r="DE44" s="42"/>
      <c r="DF44" s="42"/>
      <c r="DG44" s="42"/>
      <c r="DH44" s="42"/>
      <c r="DI44" s="42"/>
      <c r="DJ44" s="42"/>
      <c r="DK44" s="42"/>
      <c r="DL44" s="42"/>
      <c r="DM44" s="42"/>
      <c r="DN44" s="42"/>
      <c r="DO44" s="42"/>
      <c r="DP44" s="42"/>
      <c r="DQ44" s="42"/>
      <c r="DR44" s="42"/>
      <c r="DS44" s="42"/>
      <c r="DT44" s="42"/>
      <c r="DU44" s="42"/>
      <c r="DV44" s="43"/>
      <c r="DW44" s="43"/>
      <c r="DX44" s="43"/>
      <c r="DY44" s="43"/>
      <c r="DZ44" s="43"/>
      <c r="EA44" s="43"/>
      <c r="EB44" s="43"/>
      <c r="EC44" s="43"/>
    </row>
    <row r="45" spans="1:133" s="36" customFormat="1" ht="42" x14ac:dyDescent="0.25">
      <c r="A45" s="30"/>
      <c r="B45" s="595"/>
      <c r="C45" s="589"/>
      <c r="D45" s="80" t="s">
        <v>183</v>
      </c>
      <c r="E45" s="80" t="s">
        <v>184</v>
      </c>
      <c r="F45" s="80" t="s">
        <v>185</v>
      </c>
      <c r="G45" s="80" t="s">
        <v>186</v>
      </c>
      <c r="H45" s="80" t="s">
        <v>187</v>
      </c>
      <c r="I45" s="80" t="s">
        <v>188</v>
      </c>
      <c r="J45" s="80" t="s">
        <v>189</v>
      </c>
      <c r="K45" s="80" t="s">
        <v>190</v>
      </c>
      <c r="L45" s="80" t="s">
        <v>191</v>
      </c>
      <c r="M45" s="80" t="s">
        <v>192</v>
      </c>
      <c r="N45" s="80" t="s">
        <v>193</v>
      </c>
      <c r="O45" s="80" t="s">
        <v>194</v>
      </c>
      <c r="P45" s="80" t="s">
        <v>195</v>
      </c>
      <c r="Q45" s="80" t="s">
        <v>196</v>
      </c>
      <c r="R45" s="80" t="s">
        <v>197</v>
      </c>
      <c r="S45" s="80" t="s">
        <v>198</v>
      </c>
      <c r="T45" s="80" t="s">
        <v>199</v>
      </c>
      <c r="U45" s="80" t="s">
        <v>200</v>
      </c>
      <c r="V45" s="80" t="s">
        <v>176</v>
      </c>
      <c r="W45" s="588" t="s">
        <v>201</v>
      </c>
      <c r="X45" s="588"/>
      <c r="Y45" s="80" t="s">
        <v>202</v>
      </c>
      <c r="Z45" s="81" t="s">
        <v>203</v>
      </c>
      <c r="AA45" s="81" t="s">
        <v>204</v>
      </c>
      <c r="AB45" s="80" t="s">
        <v>205</v>
      </c>
      <c r="AC45" s="81" t="s">
        <v>206</v>
      </c>
      <c r="AD45" s="588" t="s">
        <v>207</v>
      </c>
      <c r="AE45" s="588"/>
      <c r="AF45" s="80" t="s">
        <v>208</v>
      </c>
      <c r="AG45" s="82" t="s">
        <v>209</v>
      </c>
      <c r="AH45" s="82" t="s">
        <v>210</v>
      </c>
      <c r="AI45" s="80" t="s">
        <v>211</v>
      </c>
      <c r="AJ45" s="81" t="s">
        <v>206</v>
      </c>
      <c r="AK45" s="588" t="s">
        <v>212</v>
      </c>
      <c r="AL45" s="588"/>
      <c r="AM45" s="80" t="s">
        <v>213</v>
      </c>
      <c r="AN45" s="80" t="s">
        <v>214</v>
      </c>
      <c r="AO45" s="80" t="s">
        <v>215</v>
      </c>
      <c r="AP45" s="80" t="s">
        <v>216</v>
      </c>
      <c r="AQ45" s="81" t="s">
        <v>206</v>
      </c>
      <c r="AR45" s="588" t="s">
        <v>262</v>
      </c>
      <c r="AS45" s="588"/>
      <c r="AT45" s="80" t="s">
        <v>218</v>
      </c>
      <c r="AU45" s="81" t="s">
        <v>219</v>
      </c>
      <c r="AV45" s="80" t="s">
        <v>220</v>
      </c>
      <c r="AW45" s="81" t="s">
        <v>206</v>
      </c>
      <c r="AX45" s="588" t="s">
        <v>221</v>
      </c>
      <c r="AY45" s="588"/>
      <c r="AZ45" s="80" t="s">
        <v>222</v>
      </c>
      <c r="BA45" s="81" t="s">
        <v>223</v>
      </c>
      <c r="BB45" s="81" t="s">
        <v>224</v>
      </c>
      <c r="BC45" s="80" t="s">
        <v>225</v>
      </c>
      <c r="BD45" s="81" t="s">
        <v>206</v>
      </c>
      <c r="BE45" s="588"/>
      <c r="BF45" s="588"/>
      <c r="BG45" s="235" t="s">
        <v>226</v>
      </c>
      <c r="BI45" s="37"/>
      <c r="BJ45" s="37"/>
      <c r="BK45" s="37"/>
      <c r="BL45" s="38"/>
      <c r="BM45" s="38"/>
      <c r="BN45" s="38"/>
      <c r="BO45" s="37"/>
      <c r="BP45" s="37"/>
      <c r="BQ45" s="37"/>
      <c r="BR45" s="37"/>
      <c r="BS45" s="37"/>
      <c r="BT45" s="37"/>
      <c r="BU45" s="37"/>
      <c r="BV45" s="37"/>
      <c r="BW45" s="37"/>
      <c r="BX45" s="37"/>
      <c r="BY45" s="37"/>
      <c r="BZ45" s="37"/>
      <c r="CA45" s="39"/>
      <c r="CB45" s="37"/>
      <c r="CC45" s="37"/>
      <c r="CD45" s="39"/>
      <c r="CE45" s="39"/>
      <c r="CF45" s="39"/>
      <c r="CG45" s="39"/>
      <c r="CH45" s="37"/>
      <c r="CI45" s="37"/>
      <c r="CJ45" s="39"/>
      <c r="CK45" s="39"/>
      <c r="CL45" s="39"/>
      <c r="CM45" s="40"/>
      <c r="CN45" s="41"/>
      <c r="CO45" s="41"/>
      <c r="CP45" s="42"/>
      <c r="CQ45" s="42"/>
      <c r="CR45" s="42"/>
      <c r="CS45" s="42"/>
      <c r="CT45" s="42"/>
      <c r="CU45" s="42"/>
      <c r="CV45" s="42"/>
      <c r="CW45" s="42"/>
      <c r="CX45" s="42"/>
      <c r="CY45" s="42"/>
      <c r="CZ45" s="42"/>
      <c r="DA45" s="42"/>
      <c r="DB45" s="42"/>
      <c r="DC45" s="42"/>
      <c r="DD45" s="42"/>
      <c r="DE45" s="42"/>
      <c r="DF45" s="42"/>
      <c r="DG45" s="42"/>
      <c r="DH45" s="42"/>
      <c r="DI45" s="42"/>
      <c r="DJ45" s="42"/>
      <c r="DK45" s="42"/>
      <c r="DL45" s="42"/>
      <c r="DM45" s="42"/>
      <c r="DN45" s="42"/>
      <c r="DO45" s="42"/>
      <c r="DP45" s="42"/>
      <c r="DQ45" s="42"/>
      <c r="DR45" s="42"/>
      <c r="DS45" s="42"/>
      <c r="DT45" s="42"/>
      <c r="DU45" s="42"/>
      <c r="DV45" s="43"/>
      <c r="DW45" s="43"/>
      <c r="DX45" s="43"/>
      <c r="DY45" s="43"/>
      <c r="DZ45" s="43"/>
      <c r="EA45" s="43"/>
      <c r="EB45" s="43"/>
      <c r="EC45" s="43"/>
    </row>
    <row r="46" spans="1:133" s="36" customFormat="1" ht="21" customHeight="1" x14ac:dyDescent="0.25">
      <c r="A46" s="30"/>
      <c r="B46" s="613" t="s">
        <v>263</v>
      </c>
      <c r="C46" s="614"/>
      <c r="D46" s="614"/>
      <c r="E46" s="614"/>
      <c r="F46" s="614"/>
      <c r="G46" s="614"/>
      <c r="H46" s="614"/>
      <c r="I46" s="614"/>
      <c r="J46" s="614"/>
      <c r="K46" s="614"/>
      <c r="L46" s="614"/>
      <c r="M46" s="614"/>
      <c r="N46" s="614"/>
      <c r="O46" s="614"/>
      <c r="P46" s="614"/>
      <c r="Q46" s="614"/>
      <c r="R46" s="614"/>
      <c r="S46" s="614"/>
      <c r="T46" s="614"/>
      <c r="U46" s="614"/>
      <c r="V46" s="615"/>
      <c r="W46" s="615"/>
      <c r="X46" s="615"/>
      <c r="Y46" s="615"/>
      <c r="Z46" s="615"/>
      <c r="AA46" s="615"/>
      <c r="AB46" s="615"/>
      <c r="AC46" s="615"/>
      <c r="AD46" s="615"/>
      <c r="AE46" s="615"/>
      <c r="AF46" s="615"/>
      <c r="AG46" s="615"/>
      <c r="AH46" s="615"/>
      <c r="AI46" s="615"/>
      <c r="AJ46" s="615"/>
      <c r="AK46" s="615"/>
      <c r="AL46" s="615"/>
      <c r="AM46" s="615"/>
      <c r="AN46" s="615"/>
      <c r="AO46" s="615"/>
      <c r="AP46" s="615"/>
      <c r="AQ46" s="615"/>
      <c r="AR46" s="615"/>
      <c r="AS46" s="615"/>
      <c r="AT46" s="615"/>
      <c r="AU46" s="615"/>
      <c r="AV46" s="615"/>
      <c r="AW46" s="615"/>
      <c r="AX46" s="615"/>
      <c r="AY46" s="615"/>
      <c r="AZ46" s="615"/>
      <c r="BA46" s="615"/>
      <c r="BB46" s="615"/>
      <c r="BC46" s="615"/>
      <c r="BD46" s="615"/>
      <c r="BE46" s="615"/>
      <c r="BF46" s="616"/>
      <c r="BG46" s="235"/>
      <c r="BI46" s="37"/>
      <c r="BJ46" s="37"/>
      <c r="BK46" s="37"/>
      <c r="BL46" s="38"/>
      <c r="BM46" s="38"/>
      <c r="BN46" s="38"/>
      <c r="BO46" s="37"/>
      <c r="BP46" s="37"/>
      <c r="BQ46" s="37"/>
      <c r="BR46" s="37"/>
      <c r="BS46" s="37"/>
      <c r="BT46" s="37"/>
      <c r="BU46" s="37"/>
      <c r="BV46" s="37"/>
      <c r="BW46" s="37"/>
      <c r="BX46" s="37"/>
      <c r="BY46" s="37"/>
      <c r="BZ46" s="37"/>
      <c r="CA46" s="39"/>
      <c r="CB46" s="37"/>
      <c r="CC46" s="37"/>
      <c r="CD46" s="39"/>
      <c r="CE46" s="39"/>
      <c r="CF46" s="39"/>
      <c r="CG46" s="39"/>
      <c r="CH46" s="37"/>
      <c r="CI46" s="37"/>
      <c r="CJ46" s="39"/>
      <c r="CK46" s="39"/>
      <c r="CL46" s="39"/>
      <c r="CM46" s="40"/>
      <c r="CN46" s="41"/>
      <c r="CO46" s="41"/>
      <c r="CP46" s="42"/>
      <c r="CQ46" s="42"/>
      <c r="CR46" s="42"/>
      <c r="CS46" s="42"/>
      <c r="CT46" s="42"/>
      <c r="CU46" s="42"/>
      <c r="CV46" s="42"/>
      <c r="CW46" s="42"/>
      <c r="CX46" s="42"/>
      <c r="CY46" s="42"/>
      <c r="CZ46" s="42"/>
      <c r="DA46" s="42"/>
      <c r="DB46" s="42"/>
      <c r="DC46" s="42"/>
      <c r="DD46" s="42"/>
      <c r="DE46" s="42"/>
      <c r="DF46" s="42"/>
      <c r="DG46" s="42"/>
      <c r="DH46" s="42"/>
      <c r="DI46" s="42"/>
      <c r="DJ46" s="42"/>
      <c r="DK46" s="42"/>
      <c r="DL46" s="42"/>
      <c r="DM46" s="42"/>
      <c r="DN46" s="42"/>
      <c r="DO46" s="42"/>
      <c r="DP46" s="42"/>
      <c r="DQ46" s="42"/>
      <c r="DR46" s="42"/>
      <c r="DS46" s="42"/>
      <c r="DT46" s="42"/>
      <c r="DU46" s="42"/>
      <c r="DV46" s="43"/>
      <c r="DW46" s="43"/>
      <c r="DX46" s="43"/>
      <c r="DY46" s="43"/>
      <c r="DZ46" s="43"/>
      <c r="EA46" s="43"/>
      <c r="EB46" s="43"/>
      <c r="EC46" s="43"/>
    </row>
    <row r="47" spans="1:133" x14ac:dyDescent="0.25">
      <c r="B47" s="83" t="s">
        <v>264</v>
      </c>
      <c r="C47" s="84" t="s">
        <v>229</v>
      </c>
      <c r="D47" s="85" t="str">
        <f>VLOOKUP($C47,$BH$109:$CL$513,2,FALSE)</f>
        <v>Gal</v>
      </c>
      <c r="E47" s="86">
        <v>6600.7439999999997</v>
      </c>
      <c r="F47" s="86">
        <v>7512.2460000000001</v>
      </c>
      <c r="G47" s="86">
        <v>7125.8220000000001</v>
      </c>
      <c r="H47" s="86">
        <v>4729.1382000000003</v>
      </c>
      <c r="I47" s="86">
        <v>4841.6922000000004</v>
      </c>
      <c r="J47" s="86">
        <v>3834.94</v>
      </c>
      <c r="K47" s="86">
        <v>7343.4978000000001</v>
      </c>
      <c r="L47" s="86">
        <v>6396.9543000000003</v>
      </c>
      <c r="M47" s="86">
        <v>7335.7191000000003</v>
      </c>
      <c r="N47" s="86">
        <v>6792.4971000000005</v>
      </c>
      <c r="O47" s="86">
        <v>6275.0069999999996</v>
      </c>
      <c r="P47" s="86">
        <v>4083.6968999999999</v>
      </c>
      <c r="Q47" s="87">
        <f>SUM(E47:P47)</f>
        <v>72871.954599999997</v>
      </c>
      <c r="R47" s="85">
        <f>COUNT(E47:P47)</f>
        <v>12</v>
      </c>
      <c r="S47" s="87">
        <f>IF(R47&gt;1,AVERAGE(E47:P47),0)</f>
        <v>6072.6628833333334</v>
      </c>
      <c r="T47" s="87">
        <f>IF(R47&gt;1,STDEV(E47:P47),0)</f>
        <v>1335.4860157135026</v>
      </c>
      <c r="U47" s="87">
        <f>IF(R47&gt;1,VLOOKUP($R47,$BH$445:$BI$457,2,FALSE),0)</f>
        <v>2.2000000000000002</v>
      </c>
      <c r="V47" s="88">
        <f>IF(R47&gt;1,1-((S47-((T47*U47)/(SQRT(R47))))/S47),VLOOKUP($C47,$BH$109:$CO$513,34,FALSE))</f>
        <v>0.13966649360135963</v>
      </c>
      <c r="W47" s="89">
        <f>VLOOKUP($C47,$BH$109:$CL$513,3,FALSE)</f>
        <v>10.148999999999999</v>
      </c>
      <c r="X47" s="90" t="str">
        <f>VLOOKUP($C47,$BH$109:$CL$513,4,FALSE)</f>
        <v>kg CO2/gal</v>
      </c>
      <c r="Y47" s="88">
        <f>IF($Q47&gt;0,VLOOKUP($C47,$BH$109:$CL$513,6,FALSE),0)</f>
        <v>2.0499999999999997E-3</v>
      </c>
      <c r="Z47" s="91">
        <f>($Q47*W47)/1000</f>
        <v>739.57746723539992</v>
      </c>
      <c r="AA47" s="91">
        <f>Z47*$BI$463</f>
        <v>739.57746723539992</v>
      </c>
      <c r="AB47" s="88">
        <f>IF(Z47&gt;0,SQRT(($V47*$V47)+(Y47*Y47)),0)</f>
        <v>0.13968153755918722</v>
      </c>
      <c r="AC47" s="91">
        <f>(AA47*AB47)^2</f>
        <v>10671.98867905863</v>
      </c>
      <c r="AD47" s="92">
        <f>VLOOKUP($C47,$BH$109:$CL$513,21,FALSE)</f>
        <v>3.6999999999999998E-5</v>
      </c>
      <c r="AE47" s="90" t="str">
        <f>VLOOKUP($C47,$BH$109:$CL$513,22,FALSE)</f>
        <v>kg CH4/gal</v>
      </c>
      <c r="AF47" s="88">
        <f>IF($Q47&gt;0,VLOOKUP($C47,$BH$109:$CL$513,24,FALSE),0)</f>
        <v>9.5000000000000001E-2</v>
      </c>
      <c r="AG47" s="93">
        <f>($Q47*AD47)/1000</f>
        <v>2.6962623201999998E-3</v>
      </c>
      <c r="AH47" s="91">
        <f>AG47*$BI$464</f>
        <v>7.5495344965599995E-2</v>
      </c>
      <c r="AI47" s="88">
        <f>IF(AG47&gt;0,SQRT(($V47*$V47)+(AF47*AF47)),0)</f>
        <v>0.16891337849589838</v>
      </c>
      <c r="AJ47" s="91">
        <f>(AH47*AI47)^2</f>
        <v>1.6261793608606114E-4</v>
      </c>
      <c r="AK47" s="92">
        <f>VLOOKUP($C47,$BH$109:$CL$513,27,FALSE)</f>
        <v>3.6999999999999998E-5</v>
      </c>
      <c r="AL47" s="90" t="str">
        <f>VLOOKUP($C47,$BH$109:$CL$513,28,FALSE)</f>
        <v>kg N2O/gal</v>
      </c>
      <c r="AM47" s="88">
        <f>IF($Q47&gt;0,VLOOKUP($C47,$BH$109:$CL$513,30,FALSE),0)</f>
        <v>0.12</v>
      </c>
      <c r="AN47" s="93">
        <f>($Q47*AK47)/1000</f>
        <v>2.6962623201999998E-3</v>
      </c>
      <c r="AO47" s="91">
        <f>AN47*$BI$465</f>
        <v>0.71450951485299996</v>
      </c>
      <c r="AP47" s="88">
        <f>IF(AN47&gt;0,SQRT(($V47*$V47)+(AM47*AM47)),0)</f>
        <v>0.18413780012506564</v>
      </c>
      <c r="AQ47" s="91">
        <f>(AO47*AP47)^2</f>
        <v>1.731019394403575E-2</v>
      </c>
      <c r="AR47" s="94">
        <v>0</v>
      </c>
      <c r="AS47" s="90">
        <v>0</v>
      </c>
      <c r="AT47" s="88">
        <f>IF($Q47&gt;0,VLOOKUP($C47,$BH$109:$CL$513,6,FALSE),0)</f>
        <v>2.0499999999999997E-3</v>
      </c>
      <c r="AU47" s="93">
        <f>($Q47*AR47)/1000</f>
        <v>0</v>
      </c>
      <c r="AV47" s="88">
        <f>IF(AU47&gt;0,SQRT(($V47*$V47)+(AT47*AT47)),0)</f>
        <v>0</v>
      </c>
      <c r="AW47" s="91">
        <f>(AU47*AV47)^2</f>
        <v>0</v>
      </c>
      <c r="AX47" s="94">
        <v>0</v>
      </c>
      <c r="AY47" s="90">
        <v>0</v>
      </c>
      <c r="AZ47" s="88">
        <v>0</v>
      </c>
      <c r="BA47" s="93">
        <f>($Q47*AX47)/1000</f>
        <v>0</v>
      </c>
      <c r="BB47" s="93">
        <f>BA47*$BI$466</f>
        <v>0</v>
      </c>
      <c r="BC47" s="88">
        <f>IF(BA47&gt;0,SQRT(($V47*$V47)+(AZ47*AZ47)),0)</f>
        <v>0</v>
      </c>
      <c r="BD47" s="91">
        <f>(BB47*BC47)^2</f>
        <v>0</v>
      </c>
      <c r="BE47" s="87">
        <f>AA47+AH47+AO47+AU47+BB47</f>
        <v>740.36747209521855</v>
      </c>
      <c r="BF47" s="95">
        <f>IF(BE47&gt;0,SQRT(AC47+AJ47+AQ47+AW47+BD47)/BE47,0)</f>
        <v>0.13953260540198537</v>
      </c>
      <c r="BG47" s="235">
        <f>(BE47*BF47)^2</f>
        <v>10672.00615187051</v>
      </c>
    </row>
    <row r="48" spans="1:133" x14ac:dyDescent="0.25">
      <c r="B48" s="83" t="s">
        <v>264</v>
      </c>
      <c r="C48" s="84" t="s">
        <v>231</v>
      </c>
      <c r="D48" s="85" t="str">
        <f>VLOOKUP($C48,$BH$109:$CL$513,2,FALSE)</f>
        <v>Gal</v>
      </c>
      <c r="E48" s="86">
        <v>733.41600000000005</v>
      </c>
      <c r="F48" s="86">
        <v>834.69399999999996</v>
      </c>
      <c r="G48" s="86">
        <v>791.75800000000004</v>
      </c>
      <c r="H48" s="86">
        <v>525.45979999999997</v>
      </c>
      <c r="I48" s="86">
        <v>537.96580000000006</v>
      </c>
      <c r="J48" s="86">
        <v>426.1</v>
      </c>
      <c r="K48" s="86">
        <v>815.94420000000002</v>
      </c>
      <c r="L48" s="86">
        <v>710.77269999999999</v>
      </c>
      <c r="M48" s="86">
        <v>815.07990000000007</v>
      </c>
      <c r="N48" s="86">
        <v>754.72190000000001</v>
      </c>
      <c r="O48" s="86">
        <v>697.22299999999984</v>
      </c>
      <c r="P48" s="86">
        <v>453.74409999999995</v>
      </c>
      <c r="Q48" s="87">
        <f>SUM(E48:P48)</f>
        <v>8096.8793999999998</v>
      </c>
      <c r="R48" s="85">
        <f>COUNT(E48:P48)</f>
        <v>12</v>
      </c>
      <c r="S48" s="87">
        <f>IF(R48&gt;1,AVERAGE(E48:P48),0)</f>
        <v>674.73995000000002</v>
      </c>
      <c r="T48" s="87">
        <f>IF(R48&gt;1,STDEV(E48:P48),0)</f>
        <v>148.38801208809147</v>
      </c>
      <c r="U48" s="87">
        <f>IF(R48&gt;1,VLOOKUP($R48,$BH$445:$BI$457,2,FALSE),0)</f>
        <v>2.2000000000000002</v>
      </c>
      <c r="V48" s="88">
        <f>IF(R48&gt;1,1-((S48-((T48*U48)/(SQRT(R48))))/S48),VLOOKUP($C48,$BH$109:$CO$513,34,FALSE))</f>
        <v>0.13966720748627737</v>
      </c>
      <c r="W48" s="89">
        <f>VLOOKUP($C48,$BH$109:$CL$513,3,FALSE)</f>
        <v>0</v>
      </c>
      <c r="X48" s="90" t="str">
        <f>VLOOKUP($C48,$BH$109:$CL$513,4,FALSE)</f>
        <v>kg CO2/gal</v>
      </c>
      <c r="Y48" s="88">
        <f>IF($Q48&gt;0,VLOOKUP($C48,$BH$109:$CL$513,6,FALSE),0)</f>
        <v>2.98E-3</v>
      </c>
      <c r="Z48" s="91">
        <f>($Q48*W48)/1000</f>
        <v>0</v>
      </c>
      <c r="AA48" s="91">
        <f>Z48*$BI$463</f>
        <v>0</v>
      </c>
      <c r="AB48" s="88">
        <f>IF(Z48&gt;0,SQRT(($V48*$V48)+(Y48*Y48)),0)</f>
        <v>0</v>
      </c>
      <c r="AC48" s="91">
        <f>(AA48*AB48)^2</f>
        <v>0</v>
      </c>
      <c r="AD48" s="92">
        <f>VLOOKUP($C48,$BH$109:$CL$513,21,FALSE)</f>
        <v>3.4200000000000005E-5</v>
      </c>
      <c r="AE48" s="90" t="str">
        <f>VLOOKUP($C48,$BH$109:$CL$513,22,FALSE)</f>
        <v>kg CH4/gal</v>
      </c>
      <c r="AF48" s="88">
        <f>IF($Q48&gt;0,VLOOKUP($C48,$BH$109:$CL$513,24,FALSE),0)</f>
        <v>9.5000000000000001E-2</v>
      </c>
      <c r="AG48" s="93">
        <f>($Q48*AD48)/1000</f>
        <v>2.7691327548000003E-4</v>
      </c>
      <c r="AH48" s="91">
        <f>AG48*$BI$464</f>
        <v>7.7535717134400006E-3</v>
      </c>
      <c r="AI48" s="88">
        <f>IF(AG48&gt;0,SQRT(($V48*$V48)+(AF48*AF48)),0)</f>
        <v>0.16891396877409179</v>
      </c>
      <c r="AJ48" s="91">
        <f>(AH48*AI48)^2</f>
        <v>1.7152789124023983E-6</v>
      </c>
      <c r="AK48" s="92">
        <f>VLOOKUP($C48,$BH$109:$CL$513,27,FALSE)</f>
        <v>3.4200000000000005E-5</v>
      </c>
      <c r="AL48" s="90" t="str">
        <f>VLOOKUP($C48,$BH$109:$CL$513,28,FALSE)</f>
        <v>kg N2O/gal</v>
      </c>
      <c r="AM48" s="88">
        <f>IF($Q48&gt;0,VLOOKUP($C48,$BH$109:$CL$513,30,FALSE),0)</f>
        <v>0.12</v>
      </c>
      <c r="AN48" s="93">
        <f>($Q48*AK48)/1000</f>
        <v>2.7691327548000003E-4</v>
      </c>
      <c r="AO48" s="91">
        <f>AN48*$BI$465</f>
        <v>7.3382018002200011E-2</v>
      </c>
      <c r="AP48" s="88">
        <f>IF(AN48&gt;0,SQRT(($V48*$V48)+(AM48*AM48)),0)</f>
        <v>0.1841383415995019</v>
      </c>
      <c r="AQ48" s="91">
        <f>(AO48*AP48)^2</f>
        <v>1.8258611848073896E-4</v>
      </c>
      <c r="AR48" s="94">
        <f>VLOOKUP($C48,$BH$109:$CL$513,3,FALSE)</f>
        <v>0</v>
      </c>
      <c r="AS48" s="90">
        <v>0</v>
      </c>
      <c r="AT48" s="88">
        <f>IF($Q48&gt;0,VLOOKUP($C48,$BH$109:$CL$513,6,FALSE),0)</f>
        <v>2.98E-3</v>
      </c>
      <c r="AU48" s="93">
        <f>($Q48*AR48)/1000</f>
        <v>0</v>
      </c>
      <c r="AV48" s="88">
        <f>IF(AU48&gt;0,SQRT(($V48*$V48)+(AT48*AT48)),0)</f>
        <v>0</v>
      </c>
      <c r="AW48" s="91">
        <f>(AU48*AV48)^2</f>
        <v>0</v>
      </c>
      <c r="AX48" s="94">
        <v>0</v>
      </c>
      <c r="AY48" s="90">
        <v>0</v>
      </c>
      <c r="AZ48" s="88">
        <v>0</v>
      </c>
      <c r="BA48" s="93">
        <f>($Q48*AX48)/1000</f>
        <v>0</v>
      </c>
      <c r="BB48" s="93">
        <f>BA48*$BI$466</f>
        <v>0</v>
      </c>
      <c r="BC48" s="88">
        <f>IF(BA48&gt;0,SQRT(($V48*$V48)+(AZ48*AZ48)),0)</f>
        <v>0</v>
      </c>
      <c r="BD48" s="91">
        <f>(BB48*BC48)^2</f>
        <v>0</v>
      </c>
      <c r="BE48" s="87">
        <f>AA48+AH48+AO48+AU48+BB48</f>
        <v>8.1135589715640014E-2</v>
      </c>
      <c r="BF48" s="95">
        <f>IF(BE48&gt;0,SQRT(AC48+AJ48+AQ48+AW48+BD48)/BE48,0)</f>
        <v>0.16732194987888077</v>
      </c>
      <c r="BG48" s="235">
        <f>(BE48*BF48)^2</f>
        <v>1.8430139739314137E-4</v>
      </c>
    </row>
    <row r="49" spans="1:133" ht="14" x14ac:dyDescent="0.25">
      <c r="B49" s="100" t="s">
        <v>233</v>
      </c>
      <c r="C49" s="100"/>
      <c r="D49" s="100"/>
      <c r="E49" s="100"/>
      <c r="F49" s="100"/>
      <c r="G49" s="100"/>
      <c r="H49" s="100"/>
      <c r="I49" s="100"/>
      <c r="J49" s="100"/>
      <c r="K49" s="100"/>
      <c r="L49" s="100"/>
      <c r="M49" s="100"/>
      <c r="N49" s="100"/>
      <c r="O49" s="100"/>
      <c r="P49" s="100"/>
      <c r="Q49" s="100"/>
      <c r="R49" s="100"/>
      <c r="S49" s="100"/>
      <c r="T49" s="100"/>
      <c r="U49" s="100"/>
      <c r="V49" s="100"/>
      <c r="W49" s="100"/>
      <c r="X49" s="100"/>
      <c r="Y49" s="100"/>
      <c r="Z49" s="102"/>
      <c r="AA49" s="103">
        <f>SUM(AA47:AA48)</f>
        <v>739.57746723539992</v>
      </c>
      <c r="AB49" s="104">
        <f>IF(AA49&gt;0,SQRT(SUM(AC47:AC48))/AA49,0)</f>
        <v>0.13968153755918722</v>
      </c>
      <c r="AC49" s="103">
        <f>(AA49*AB49)^2</f>
        <v>10671.98867905863</v>
      </c>
      <c r="AD49" s="105"/>
      <c r="AE49" s="100"/>
      <c r="AF49" s="100"/>
      <c r="AG49" s="106"/>
      <c r="AH49" s="103">
        <f>SUM(AH47:AH48)</f>
        <v>8.3248916679039997E-2</v>
      </c>
      <c r="AI49" s="104">
        <f>IF(AH49&gt;0,SQRT(SUM(AJ47:AJ48))/AH49,0)</f>
        <v>0.15398700961595513</v>
      </c>
      <c r="AJ49" s="103">
        <f>(AH49*AI49)^2</f>
        <v>1.6433321499846354E-4</v>
      </c>
      <c r="AK49" s="100"/>
      <c r="AL49" s="100"/>
      <c r="AM49" s="100"/>
      <c r="AN49" s="100"/>
      <c r="AO49" s="103">
        <f>SUM(AO47:AO48)</f>
        <v>0.78789153285519997</v>
      </c>
      <c r="AP49" s="104">
        <f>IF(AO49&gt;0,SQRT(SUM(AQ47:AQ48))/AO49,0)</f>
        <v>0.1678660937757207</v>
      </c>
      <c r="AQ49" s="103">
        <f>(AO49*AP49)^2</f>
        <v>1.7492780062516484E-2</v>
      </c>
      <c r="AR49" s="100"/>
      <c r="AS49" s="100"/>
      <c r="AT49" s="100"/>
      <c r="AU49" s="103">
        <f>SUM(AU47:AU48)</f>
        <v>0</v>
      </c>
      <c r="AV49" s="104">
        <f>IF(AU49&gt;0,SQRT(SUM(AW40:AW48))/AU49,0)</f>
        <v>0</v>
      </c>
      <c r="AW49" s="103">
        <f>(AU49*AV49)^2</f>
        <v>0</v>
      </c>
      <c r="AX49" s="100"/>
      <c r="AY49" s="100"/>
      <c r="AZ49" s="107"/>
      <c r="BA49" s="108"/>
      <c r="BB49" s="103">
        <f>SUM(BB47:BB48)</f>
        <v>0</v>
      </c>
      <c r="BC49" s="104">
        <f>IF(BB49&gt;0,SQRT(SUM(BD47:BD48))/BB49,0)</f>
        <v>0</v>
      </c>
      <c r="BD49" s="103">
        <f>(BB49*BC49)^2</f>
        <v>0</v>
      </c>
      <c r="BE49" s="103">
        <f>SUM(BE47:BE48)</f>
        <v>740.44860768493413</v>
      </c>
      <c r="BF49" s="104">
        <f>IF(BE49&gt;0,SQRT(SUM(BG47:BG48))/BE49,0)</f>
        <v>0.13951731714553614</v>
      </c>
      <c r="BG49" s="235">
        <f>(BE49*BF49)^2</f>
        <v>10672.006336171908</v>
      </c>
    </row>
    <row r="50" spans="1:133" s="36" customFormat="1" ht="21" customHeight="1" x14ac:dyDescent="0.25">
      <c r="A50" s="30"/>
      <c r="B50" s="613" t="s">
        <v>265</v>
      </c>
      <c r="C50" s="614"/>
      <c r="D50" s="614"/>
      <c r="E50" s="614"/>
      <c r="F50" s="614"/>
      <c r="G50" s="614"/>
      <c r="H50" s="614"/>
      <c r="I50" s="614"/>
      <c r="J50" s="614"/>
      <c r="K50" s="614"/>
      <c r="L50" s="614"/>
      <c r="M50" s="614"/>
      <c r="N50" s="614"/>
      <c r="O50" s="614"/>
      <c r="P50" s="614"/>
      <c r="Q50" s="614"/>
      <c r="R50" s="614"/>
      <c r="S50" s="614"/>
      <c r="T50" s="614"/>
      <c r="U50" s="614"/>
      <c r="V50" s="615"/>
      <c r="W50" s="615"/>
      <c r="X50" s="615"/>
      <c r="Y50" s="615"/>
      <c r="Z50" s="615"/>
      <c r="AA50" s="615"/>
      <c r="AB50" s="615"/>
      <c r="AC50" s="615"/>
      <c r="AD50" s="615"/>
      <c r="AE50" s="615"/>
      <c r="AF50" s="615"/>
      <c r="AG50" s="615"/>
      <c r="AH50" s="615"/>
      <c r="AI50" s="615"/>
      <c r="AJ50" s="615"/>
      <c r="AK50" s="615"/>
      <c r="AL50" s="615"/>
      <c r="AM50" s="615"/>
      <c r="AN50" s="615"/>
      <c r="AO50" s="615"/>
      <c r="AP50" s="615"/>
      <c r="AQ50" s="615"/>
      <c r="AR50" s="615"/>
      <c r="AS50" s="615"/>
      <c r="AT50" s="615"/>
      <c r="AU50" s="615"/>
      <c r="AV50" s="615"/>
      <c r="AW50" s="615"/>
      <c r="AX50" s="615"/>
      <c r="AY50" s="615"/>
      <c r="AZ50" s="615"/>
      <c r="BA50" s="615"/>
      <c r="BB50" s="615"/>
      <c r="BC50" s="615"/>
      <c r="BD50" s="615"/>
      <c r="BE50" s="615"/>
      <c r="BF50" s="616"/>
      <c r="BG50" s="235"/>
      <c r="BI50" s="37"/>
      <c r="BJ50" s="37"/>
      <c r="BK50" s="37"/>
      <c r="BL50" s="38"/>
      <c r="BM50" s="38"/>
      <c r="BN50" s="38"/>
      <c r="BO50" s="37"/>
      <c r="BP50" s="37"/>
      <c r="BQ50" s="37"/>
      <c r="BR50" s="37"/>
      <c r="BS50" s="37"/>
      <c r="BT50" s="37"/>
      <c r="BU50" s="37"/>
      <c r="BV50" s="37"/>
      <c r="BW50" s="37"/>
      <c r="BX50" s="37"/>
      <c r="BY50" s="37"/>
      <c r="BZ50" s="37"/>
      <c r="CA50" s="39"/>
      <c r="CB50" s="37"/>
      <c r="CC50" s="37"/>
      <c r="CD50" s="39"/>
      <c r="CE50" s="39"/>
      <c r="CF50" s="39"/>
      <c r="CG50" s="39"/>
      <c r="CH50" s="37"/>
      <c r="CI50" s="37"/>
      <c r="CJ50" s="39"/>
      <c r="CK50" s="39"/>
      <c r="CL50" s="39"/>
      <c r="CM50" s="40"/>
      <c r="CN50" s="41"/>
      <c r="CO50" s="41"/>
      <c r="CP50" s="42"/>
      <c r="CQ50" s="42"/>
      <c r="CR50" s="42"/>
      <c r="CS50" s="42"/>
      <c r="CT50" s="42"/>
      <c r="CU50" s="42"/>
      <c r="CV50" s="42"/>
      <c r="CW50" s="42"/>
      <c r="CX50" s="42"/>
      <c r="CY50" s="42"/>
      <c r="CZ50" s="42"/>
      <c r="DA50" s="42"/>
      <c r="DB50" s="42"/>
      <c r="DC50" s="42"/>
      <c r="DD50" s="42"/>
      <c r="DE50" s="42"/>
      <c r="DF50" s="42"/>
      <c r="DG50" s="42"/>
      <c r="DH50" s="42"/>
      <c r="DI50" s="42"/>
      <c r="DJ50" s="42"/>
      <c r="DK50" s="42"/>
      <c r="DL50" s="42"/>
      <c r="DM50" s="42"/>
      <c r="DN50" s="42"/>
      <c r="DO50" s="42"/>
      <c r="DP50" s="42"/>
      <c r="DQ50" s="42"/>
      <c r="DR50" s="42"/>
      <c r="DS50" s="42"/>
      <c r="DT50" s="42"/>
      <c r="DU50" s="42"/>
      <c r="DV50" s="43"/>
      <c r="DW50" s="43"/>
      <c r="DX50" s="43"/>
      <c r="DY50" s="43"/>
      <c r="DZ50" s="43"/>
      <c r="EA50" s="43"/>
      <c r="EB50" s="43"/>
      <c r="EC50" s="43"/>
    </row>
    <row r="51" spans="1:133" ht="14.5" x14ac:dyDescent="0.25">
      <c r="B51" s="212" t="s">
        <v>266</v>
      </c>
      <c r="C51" s="214"/>
      <c r="D51" s="220"/>
      <c r="E51" s="204"/>
      <c r="F51" s="204"/>
      <c r="G51" s="204"/>
      <c r="H51" s="204"/>
      <c r="I51" s="204"/>
      <c r="J51" s="204"/>
      <c r="K51" s="204"/>
      <c r="L51" s="204"/>
      <c r="M51" s="204"/>
      <c r="N51" s="204"/>
      <c r="O51" s="204"/>
      <c r="P51" s="204"/>
      <c r="Q51" s="89"/>
      <c r="R51" s="89"/>
      <c r="S51" s="89"/>
      <c r="T51" s="89"/>
      <c r="U51" s="89"/>
      <c r="V51" s="89"/>
      <c r="W51" s="89"/>
      <c r="X51" s="89"/>
      <c r="Y51" s="89"/>
      <c r="Z51" s="89"/>
      <c r="AA51" s="94">
        <v>0.71</v>
      </c>
      <c r="AB51" s="221">
        <f>BF51</f>
        <v>7.0999999999999994E-2</v>
      </c>
      <c r="AC51" s="222">
        <f>(AA51*AB51)^2</f>
        <v>2.5411680999999991E-3</v>
      </c>
      <c r="AD51" s="89"/>
      <c r="AE51" s="89"/>
      <c r="AF51" s="89"/>
      <c r="AG51" s="89"/>
      <c r="AH51" s="89">
        <v>0</v>
      </c>
      <c r="AI51" s="89">
        <v>0</v>
      </c>
      <c r="AJ51" s="89">
        <v>0</v>
      </c>
      <c r="AK51" s="89"/>
      <c r="AL51" s="89"/>
      <c r="AM51" s="89"/>
      <c r="AN51" s="89"/>
      <c r="AO51" s="89">
        <v>0</v>
      </c>
      <c r="AP51" s="89">
        <v>0</v>
      </c>
      <c r="AQ51" s="89">
        <v>0</v>
      </c>
      <c r="AR51" s="89"/>
      <c r="AS51" s="89"/>
      <c r="AT51" s="89"/>
      <c r="AU51" s="89">
        <v>0</v>
      </c>
      <c r="AV51" s="89">
        <v>0</v>
      </c>
      <c r="AW51" s="89">
        <v>0</v>
      </c>
      <c r="AX51" s="89"/>
      <c r="AY51" s="89"/>
      <c r="AZ51" s="89"/>
      <c r="BA51" s="89"/>
      <c r="BB51" s="89">
        <v>0</v>
      </c>
      <c r="BC51" s="89">
        <v>0</v>
      </c>
      <c r="BD51" s="89">
        <v>0</v>
      </c>
      <c r="BE51" s="87">
        <f>AA51+AH51+AO51+AU51+BB51</f>
        <v>0.71</v>
      </c>
      <c r="BF51" s="221">
        <f>IF(BE51&gt;0,7.1%,0)</f>
        <v>7.0999999999999994E-2</v>
      </c>
      <c r="BG51" s="242">
        <f>(BE51*BF51)^2</f>
        <v>2.5411680999999991E-3</v>
      </c>
    </row>
    <row r="52" spans="1:133" ht="14" x14ac:dyDescent="0.25">
      <c r="B52" s="100" t="s">
        <v>233</v>
      </c>
      <c r="C52" s="100"/>
      <c r="D52" s="100"/>
      <c r="E52" s="100"/>
      <c r="F52" s="100"/>
      <c r="G52" s="100"/>
      <c r="H52" s="100"/>
      <c r="I52" s="100"/>
      <c r="J52" s="100"/>
      <c r="K52" s="100"/>
      <c r="L52" s="100"/>
      <c r="M52" s="100"/>
      <c r="N52" s="100"/>
      <c r="O52" s="100"/>
      <c r="P52" s="100"/>
      <c r="Q52" s="100"/>
      <c r="R52" s="100"/>
      <c r="S52" s="100"/>
      <c r="T52" s="100"/>
      <c r="U52" s="100"/>
      <c r="V52" s="100"/>
      <c r="W52" s="100"/>
      <c r="X52" s="100"/>
      <c r="Y52" s="100"/>
      <c r="Z52" s="102"/>
      <c r="AA52" s="103">
        <f>AA51</f>
        <v>0.71</v>
      </c>
      <c r="AB52" s="103">
        <f>AB51</f>
        <v>7.0999999999999994E-2</v>
      </c>
      <c r="AC52" s="501">
        <f>(AA52*AB52)^2</f>
        <v>2.5411680999999991E-3</v>
      </c>
      <c r="AD52" s="105"/>
      <c r="AE52" s="100"/>
      <c r="AF52" s="100"/>
      <c r="AG52" s="106"/>
      <c r="AH52" s="103">
        <f>AH51</f>
        <v>0</v>
      </c>
      <c r="AI52" s="103">
        <f>AI51</f>
        <v>0</v>
      </c>
      <c r="AJ52" s="103">
        <f t="shared" ref="AJ52" si="46">AJ51</f>
        <v>0</v>
      </c>
      <c r="AK52" s="100"/>
      <c r="AL52" s="100"/>
      <c r="AM52" s="100"/>
      <c r="AN52" s="100"/>
      <c r="AO52" s="103"/>
      <c r="AP52" s="104"/>
      <c r="AQ52" s="103"/>
      <c r="AR52" s="100"/>
      <c r="AS52" s="100"/>
      <c r="AT52" s="100"/>
      <c r="AU52" s="103">
        <f>SUM(AU51)</f>
        <v>0</v>
      </c>
      <c r="AV52" s="104">
        <f>IF(AU52&gt;0,SQRT(SUM(AW51))/AU52,0)</f>
        <v>0</v>
      </c>
      <c r="AW52" s="103">
        <f>(AU52*AV52)^2</f>
        <v>0</v>
      </c>
      <c r="AX52" s="100"/>
      <c r="AY52" s="100"/>
      <c r="AZ52" s="107"/>
      <c r="BA52" s="108"/>
      <c r="BB52" s="103"/>
      <c r="BC52" s="104"/>
      <c r="BD52" s="103"/>
      <c r="BE52" s="103">
        <f>BE51</f>
        <v>0.71</v>
      </c>
      <c r="BF52" s="104">
        <f>IF(BE52&gt;0,SQRT(SUM(BG51))/BE52,0)</f>
        <v>7.0999999999999994E-2</v>
      </c>
      <c r="BG52" s="235">
        <f>(BE52*BF52)^2</f>
        <v>2.5411680999999991E-3</v>
      </c>
    </row>
    <row r="53" spans="1:133" s="44" customFormat="1" ht="25.5" customHeight="1" x14ac:dyDescent="0.25">
      <c r="A53" s="30"/>
      <c r="B53" s="580" t="s">
        <v>267</v>
      </c>
      <c r="C53" s="594"/>
      <c r="D53" s="216"/>
      <c r="E53" s="216"/>
      <c r="F53" s="216"/>
      <c r="G53" s="216"/>
      <c r="H53" s="216"/>
      <c r="I53" s="216"/>
      <c r="J53" s="216"/>
      <c r="K53" s="216"/>
      <c r="L53" s="216"/>
      <c r="M53" s="216"/>
      <c r="N53" s="216"/>
      <c r="O53" s="216"/>
      <c r="P53" s="216"/>
      <c r="Q53" s="216"/>
      <c r="R53" s="216"/>
      <c r="S53" s="216"/>
      <c r="T53" s="216"/>
      <c r="U53" s="216"/>
      <c r="V53" s="216"/>
      <c r="W53" s="216"/>
      <c r="X53" s="216"/>
      <c r="Y53" s="216"/>
      <c r="Z53" s="216"/>
      <c r="AA53" s="217">
        <f>+AA49+AA52</f>
        <v>740.28746723539996</v>
      </c>
      <c r="AB53" s="428">
        <f>IF(AA53&gt;0,(SQRT(AC49+AC52))/AA53,0)</f>
        <v>0.1395475874428509</v>
      </c>
      <c r="AC53" s="428">
        <f>(AA53*AB53)^2</f>
        <v>10671.991220226731</v>
      </c>
      <c r="AD53" s="216"/>
      <c r="AE53" s="216"/>
      <c r="AF53" s="216"/>
      <c r="AG53" s="216"/>
      <c r="AH53" s="217">
        <f>+AH49+AH52</f>
        <v>8.3248916679039997E-2</v>
      </c>
      <c r="AI53" s="216">
        <f>IF(AH53&gt;0,(SQRT(AJ49+AJ52))/AH53,0)</f>
        <v>0.15398700961595513</v>
      </c>
      <c r="AJ53" s="216">
        <f>(AH53*AI53)^2</f>
        <v>1.6433321499846354E-4</v>
      </c>
      <c r="AK53" s="216"/>
      <c r="AL53" s="216"/>
      <c r="AM53" s="216"/>
      <c r="AN53" s="216"/>
      <c r="AO53" s="217">
        <f>+AO49+AO52</f>
        <v>0.78789153285519997</v>
      </c>
      <c r="AP53" s="217">
        <f>+AP49+AP52</f>
        <v>0.1678660937757207</v>
      </c>
      <c r="AQ53" s="167">
        <f>(AO53*AP53)^2</f>
        <v>1.7492780062516484E-2</v>
      </c>
      <c r="AR53" s="216"/>
      <c r="AS53" s="216"/>
      <c r="AT53" s="216"/>
      <c r="AU53" s="217">
        <f>+AU49+AU52</f>
        <v>0</v>
      </c>
      <c r="AV53" s="216">
        <f>IF(AU53&gt;0,(SQRT(AW49+AW52))/AU53,0)</f>
        <v>0</v>
      </c>
      <c r="AW53" s="216">
        <f>(AU53*AV53)^2</f>
        <v>0</v>
      </c>
      <c r="AX53" s="216"/>
      <c r="AY53" s="216"/>
      <c r="AZ53" s="216"/>
      <c r="BA53" s="216"/>
      <c r="BB53" s="217">
        <f>+BB49+BB52</f>
        <v>0</v>
      </c>
      <c r="BC53" s="216">
        <f>IF(BB53&gt;0,(SQRT(BD49+BD52))/BB53,0)</f>
        <v>0</v>
      </c>
      <c r="BD53" s="216">
        <f>(BB53*BC53)^2</f>
        <v>0</v>
      </c>
      <c r="BE53" s="217">
        <f>BE52+BE49</f>
        <v>741.15860768493417</v>
      </c>
      <c r="BF53" s="431">
        <f>IF(BE53&gt;0,(SQRT(BG49+BG52))/BE53,0)</f>
        <v>0.1393836817875331</v>
      </c>
      <c r="BG53" s="235">
        <f>(BE53*BF53)^2</f>
        <v>10672.008877340006</v>
      </c>
      <c r="BH53" s="53"/>
      <c r="BI53" s="54"/>
      <c r="BJ53" s="54"/>
      <c r="BK53" s="54"/>
      <c r="BL53" s="55"/>
      <c r="BM53" s="55"/>
      <c r="BN53" s="55"/>
      <c r="BO53" s="79"/>
      <c r="BP53" s="79"/>
      <c r="BQ53" s="79"/>
      <c r="BR53" s="79"/>
      <c r="BS53" s="79"/>
      <c r="BT53" s="79"/>
      <c r="BU53" s="54"/>
      <c r="BV53" s="79"/>
      <c r="BW53" s="79"/>
      <c r="BX53" s="54"/>
      <c r="BY53" s="54"/>
      <c r="BZ53" s="54"/>
      <c r="CA53" s="56"/>
      <c r="CB53" s="79"/>
      <c r="CC53" s="79"/>
      <c r="CD53" s="56"/>
      <c r="CE53" s="56"/>
      <c r="CF53" s="56"/>
      <c r="CG53" s="56"/>
      <c r="CH53" s="79"/>
      <c r="CI53" s="79"/>
      <c r="CJ53" s="56"/>
      <c r="CK53" s="56"/>
      <c r="CL53" s="56"/>
      <c r="CM53" s="57"/>
      <c r="CN53" s="58"/>
      <c r="CO53" s="58"/>
      <c r="CP53" s="35"/>
      <c r="CQ53" s="35"/>
      <c r="CR53" s="35"/>
      <c r="CS53" s="35"/>
      <c r="CT53" s="35"/>
      <c r="CU53" s="35"/>
      <c r="CV53" s="35"/>
      <c r="CW53" s="35"/>
      <c r="CX53" s="35"/>
      <c r="CY53" s="35"/>
      <c r="CZ53" s="35"/>
      <c r="DA53" s="35"/>
      <c r="DB53" s="35"/>
      <c r="DC53" s="35"/>
      <c r="DD53" s="35"/>
      <c r="DE53" s="35"/>
      <c r="DF53" s="35"/>
      <c r="DG53" s="35"/>
      <c r="DH53" s="35"/>
      <c r="DI53" s="35"/>
      <c r="DJ53" s="35"/>
      <c r="DK53" s="35"/>
      <c r="DL53" s="35"/>
      <c r="DM53" s="35"/>
      <c r="DN53" s="35"/>
      <c r="DO53" s="35"/>
      <c r="DP53" s="35"/>
      <c r="DQ53" s="35"/>
      <c r="DR53" s="35"/>
      <c r="DS53" s="35"/>
      <c r="DT53" s="35"/>
      <c r="DU53" s="35"/>
      <c r="DV53" s="59"/>
      <c r="DW53" s="59"/>
      <c r="DX53" s="59"/>
      <c r="DY53" s="59"/>
      <c r="DZ53" s="59"/>
      <c r="EA53" s="59"/>
      <c r="EB53" s="59"/>
      <c r="EC53" s="59"/>
    </row>
    <row r="54" spans="1:133" ht="14" x14ac:dyDescent="0.25">
      <c r="B54" s="21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c r="AB54" s="203"/>
      <c r="AC54" s="203"/>
      <c r="AD54" s="203"/>
      <c r="AE54" s="203"/>
      <c r="AF54" s="203"/>
      <c r="AG54" s="203"/>
      <c r="AH54" s="203"/>
      <c r="AI54" s="203"/>
      <c r="AJ54" s="203"/>
      <c r="AK54" s="203"/>
      <c r="AL54" s="203"/>
      <c r="AM54" s="203"/>
      <c r="AN54" s="203"/>
      <c r="AO54" s="203"/>
      <c r="AP54" s="203"/>
      <c r="AQ54" s="203"/>
      <c r="AR54" s="203"/>
      <c r="AS54" s="203"/>
      <c r="AT54" s="203"/>
      <c r="AU54" s="203"/>
      <c r="AV54" s="203"/>
      <c r="AW54" s="203"/>
      <c r="AX54" s="203"/>
      <c r="AY54" s="203"/>
      <c r="AZ54" s="203"/>
      <c r="BA54" s="203"/>
      <c r="BB54" s="203"/>
      <c r="BC54" s="203"/>
      <c r="BD54" s="203"/>
      <c r="BE54" s="203"/>
      <c r="BF54" s="203"/>
      <c r="BG54" s="242"/>
      <c r="BO54" s="66"/>
      <c r="BP54" s="66"/>
      <c r="BQ54" s="66"/>
      <c r="BR54" s="66"/>
      <c r="BS54" s="66"/>
      <c r="BT54" s="66"/>
      <c r="BV54" s="66"/>
      <c r="BW54" s="66"/>
      <c r="CB54" s="66"/>
      <c r="CC54" s="66"/>
      <c r="CH54" s="66"/>
      <c r="CI54" s="66"/>
    </row>
    <row r="55" spans="1:133" s="44" customFormat="1" ht="25.5" customHeight="1" x14ac:dyDescent="0.25">
      <c r="A55" s="30"/>
      <c r="B55" s="625" t="s">
        <v>268</v>
      </c>
      <c r="C55" s="626"/>
      <c r="D55" s="626"/>
      <c r="E55" s="626"/>
      <c r="F55" s="626"/>
      <c r="G55" s="626"/>
      <c r="H55" s="626"/>
      <c r="I55" s="626"/>
      <c r="J55" s="626"/>
      <c r="K55" s="626"/>
      <c r="L55" s="626"/>
      <c r="M55" s="626"/>
      <c r="N55" s="626"/>
      <c r="O55" s="626"/>
      <c r="P55" s="626"/>
      <c r="Q55" s="626"/>
      <c r="R55" s="626"/>
      <c r="S55" s="626"/>
      <c r="T55" s="626"/>
      <c r="U55" s="626"/>
      <c r="V55" s="626"/>
      <c r="W55" s="626"/>
      <c r="X55" s="626"/>
      <c r="Y55" s="626"/>
      <c r="Z55" s="626"/>
      <c r="AA55" s="626"/>
      <c r="AB55" s="626"/>
      <c r="AC55" s="626"/>
      <c r="AD55" s="626"/>
      <c r="AE55" s="626"/>
      <c r="AF55" s="626"/>
      <c r="AG55" s="626"/>
      <c r="AH55" s="626"/>
      <c r="AI55" s="626"/>
      <c r="AJ55" s="626"/>
      <c r="AK55" s="626"/>
      <c r="AL55" s="626"/>
      <c r="AM55" s="626"/>
      <c r="AN55" s="626"/>
      <c r="AO55" s="626"/>
      <c r="AP55" s="626"/>
      <c r="AQ55" s="626"/>
      <c r="AR55" s="626"/>
      <c r="AS55" s="626"/>
      <c r="AT55" s="626"/>
      <c r="AU55" s="626"/>
      <c r="AV55" s="626"/>
      <c r="AW55" s="626"/>
      <c r="AX55" s="626"/>
      <c r="AY55" s="626"/>
      <c r="AZ55" s="626"/>
      <c r="BA55" s="626"/>
      <c r="BB55" s="626"/>
      <c r="BC55" s="626"/>
      <c r="BD55" s="626"/>
      <c r="BE55" s="626"/>
      <c r="BF55" s="626"/>
      <c r="BG55" s="235"/>
      <c r="BH55" s="53"/>
      <c r="BI55" s="54"/>
      <c r="BJ55" s="54"/>
      <c r="BK55" s="54"/>
      <c r="BL55" s="55"/>
      <c r="BM55" s="55"/>
      <c r="BN55" s="55"/>
      <c r="BO55" s="79"/>
      <c r="BP55" s="79"/>
      <c r="BQ55" s="79"/>
      <c r="BR55" s="79"/>
      <c r="BS55" s="79"/>
      <c r="BT55" s="79"/>
      <c r="BU55" s="54"/>
      <c r="BV55" s="79"/>
      <c r="BW55" s="79"/>
      <c r="BX55" s="54"/>
      <c r="BY55" s="54"/>
      <c r="BZ55" s="54"/>
      <c r="CA55" s="56"/>
      <c r="CB55" s="79"/>
      <c r="CC55" s="79"/>
      <c r="CD55" s="56"/>
      <c r="CE55" s="56"/>
      <c r="CF55" s="56"/>
      <c r="CG55" s="56"/>
      <c r="CH55" s="79"/>
      <c r="CI55" s="79"/>
      <c r="CJ55" s="56"/>
      <c r="CK55" s="56"/>
      <c r="CL55" s="56"/>
      <c r="CM55" s="57"/>
      <c r="CN55" s="58"/>
      <c r="CO55" s="58"/>
      <c r="CP55" s="35"/>
      <c r="CQ55" s="35"/>
      <c r="CR55" s="35"/>
      <c r="CS55" s="35"/>
      <c r="CT55" s="35"/>
      <c r="CU55" s="35"/>
      <c r="CV55" s="35"/>
      <c r="CW55" s="35"/>
      <c r="CX55" s="35"/>
      <c r="CY55" s="35"/>
      <c r="CZ55" s="35"/>
      <c r="DA55" s="35"/>
      <c r="DB55" s="35"/>
      <c r="DC55" s="35"/>
      <c r="DD55" s="35"/>
      <c r="DE55" s="35"/>
      <c r="DF55" s="35"/>
      <c r="DG55" s="35"/>
      <c r="DH55" s="35"/>
      <c r="DI55" s="35"/>
      <c r="DJ55" s="35"/>
      <c r="DK55" s="35"/>
      <c r="DL55" s="35"/>
      <c r="DM55" s="35"/>
      <c r="DN55" s="35"/>
      <c r="DO55" s="35"/>
      <c r="DP55" s="35"/>
      <c r="DQ55" s="35"/>
      <c r="DR55" s="35"/>
      <c r="DS55" s="35"/>
      <c r="DT55" s="35"/>
      <c r="DU55" s="35"/>
      <c r="DV55" s="59"/>
      <c r="DW55" s="59"/>
      <c r="DX55" s="59"/>
      <c r="DY55" s="59"/>
      <c r="DZ55" s="59"/>
      <c r="EA55" s="59"/>
      <c r="EB55" s="59"/>
      <c r="EC55" s="59"/>
    </row>
    <row r="56" spans="1:133" s="36" customFormat="1" ht="15" customHeight="1" x14ac:dyDescent="0.25">
      <c r="A56" s="30"/>
      <c r="B56" s="589" t="s">
        <v>261</v>
      </c>
      <c r="C56" s="589" t="s">
        <v>175</v>
      </c>
      <c r="D56" s="589" t="s">
        <v>117</v>
      </c>
      <c r="E56" s="589"/>
      <c r="F56" s="589"/>
      <c r="G56" s="589"/>
      <c r="H56" s="589"/>
      <c r="I56" s="589"/>
      <c r="J56" s="589"/>
      <c r="K56" s="589"/>
      <c r="L56" s="589"/>
      <c r="M56" s="589"/>
      <c r="N56" s="589"/>
      <c r="O56" s="589"/>
      <c r="P56" s="589"/>
      <c r="Q56" s="589"/>
      <c r="R56" s="589"/>
      <c r="S56" s="589" t="s">
        <v>176</v>
      </c>
      <c r="T56" s="589"/>
      <c r="U56" s="589"/>
      <c r="V56" s="589"/>
      <c r="W56" s="595" t="s">
        <v>177</v>
      </c>
      <c r="X56" s="595"/>
      <c r="Y56" s="595"/>
      <c r="Z56" s="595"/>
      <c r="AA56" s="595"/>
      <c r="AB56" s="595"/>
      <c r="AC56" s="595"/>
      <c r="AD56" s="595" t="s">
        <v>178</v>
      </c>
      <c r="AE56" s="595"/>
      <c r="AF56" s="595"/>
      <c r="AG56" s="595"/>
      <c r="AH56" s="595"/>
      <c r="AI56" s="595"/>
      <c r="AJ56" s="595"/>
      <c r="AK56" s="595" t="s">
        <v>179</v>
      </c>
      <c r="AL56" s="595"/>
      <c r="AM56" s="595"/>
      <c r="AN56" s="595"/>
      <c r="AO56" s="595"/>
      <c r="AP56" s="595"/>
      <c r="AQ56" s="595"/>
      <c r="AR56" s="595" t="s">
        <v>180</v>
      </c>
      <c r="AS56" s="595"/>
      <c r="AT56" s="595"/>
      <c r="AU56" s="595"/>
      <c r="AV56" s="595"/>
      <c r="AW56" s="595"/>
      <c r="AX56" s="595" t="s">
        <v>181</v>
      </c>
      <c r="AY56" s="595"/>
      <c r="AZ56" s="595"/>
      <c r="BA56" s="595"/>
      <c r="BB56" s="595"/>
      <c r="BC56" s="595"/>
      <c r="BD56" s="595"/>
      <c r="BE56" s="588" t="s">
        <v>182</v>
      </c>
      <c r="BF56" s="588" t="s">
        <v>149</v>
      </c>
      <c r="BG56" s="235"/>
      <c r="BI56" s="37"/>
      <c r="BJ56" s="37"/>
      <c r="BK56" s="37"/>
      <c r="BL56" s="38"/>
      <c r="BM56" s="38"/>
      <c r="BN56" s="38"/>
      <c r="BO56" s="37"/>
      <c r="BP56" s="37"/>
      <c r="BQ56" s="37"/>
      <c r="BR56" s="37"/>
      <c r="BS56" s="37"/>
      <c r="BT56" s="37"/>
      <c r="BU56" s="37"/>
      <c r="BV56" s="37"/>
      <c r="BW56" s="37"/>
      <c r="BX56" s="37"/>
      <c r="BY56" s="37"/>
      <c r="BZ56" s="37"/>
      <c r="CA56" s="39"/>
      <c r="CB56" s="37"/>
      <c r="CC56" s="37"/>
      <c r="CD56" s="39"/>
      <c r="CE56" s="39"/>
      <c r="CF56" s="39"/>
      <c r="CG56" s="39"/>
      <c r="CH56" s="37"/>
      <c r="CI56" s="37"/>
      <c r="CJ56" s="39"/>
      <c r="CK56" s="39"/>
      <c r="CL56" s="39"/>
      <c r="CM56" s="40"/>
      <c r="CN56" s="41"/>
      <c r="CO56" s="41"/>
      <c r="CP56" s="42"/>
      <c r="CQ56" s="42"/>
      <c r="CR56" s="42"/>
      <c r="CS56" s="42"/>
      <c r="CT56" s="42"/>
      <c r="CU56" s="42"/>
      <c r="CV56" s="42"/>
      <c r="CW56" s="42"/>
      <c r="CX56" s="42"/>
      <c r="CY56" s="42"/>
      <c r="CZ56" s="42"/>
      <c r="DA56" s="42"/>
      <c r="DB56" s="42"/>
      <c r="DC56" s="42"/>
      <c r="DD56" s="42"/>
      <c r="DE56" s="42"/>
      <c r="DF56" s="42"/>
      <c r="DG56" s="42"/>
      <c r="DH56" s="42"/>
      <c r="DI56" s="42"/>
      <c r="DJ56" s="42"/>
      <c r="DK56" s="42"/>
      <c r="DL56" s="42"/>
      <c r="DM56" s="42"/>
      <c r="DN56" s="42"/>
      <c r="DO56" s="42"/>
      <c r="DP56" s="42"/>
      <c r="DQ56" s="42"/>
      <c r="DR56" s="42"/>
      <c r="DS56" s="42"/>
      <c r="DT56" s="42"/>
      <c r="DU56" s="42"/>
      <c r="DV56" s="43"/>
      <c r="DW56" s="43"/>
      <c r="DX56" s="43"/>
      <c r="DY56" s="43"/>
      <c r="DZ56" s="43"/>
      <c r="EA56" s="43"/>
      <c r="EB56" s="43"/>
      <c r="EC56" s="43"/>
    </row>
    <row r="57" spans="1:133" s="36" customFormat="1" ht="42" x14ac:dyDescent="0.25">
      <c r="A57" s="30"/>
      <c r="B57" s="595"/>
      <c r="C57" s="589"/>
      <c r="D57" s="80" t="s">
        <v>183</v>
      </c>
      <c r="E57" s="80" t="s">
        <v>184</v>
      </c>
      <c r="F57" s="80" t="s">
        <v>185</v>
      </c>
      <c r="G57" s="80" t="s">
        <v>186</v>
      </c>
      <c r="H57" s="80" t="s">
        <v>187</v>
      </c>
      <c r="I57" s="80" t="s">
        <v>188</v>
      </c>
      <c r="J57" s="80" t="s">
        <v>189</v>
      </c>
      <c r="K57" s="80" t="s">
        <v>190</v>
      </c>
      <c r="L57" s="80" t="s">
        <v>191</v>
      </c>
      <c r="M57" s="80" t="s">
        <v>192</v>
      </c>
      <c r="N57" s="80" t="s">
        <v>193</v>
      </c>
      <c r="O57" s="80" t="s">
        <v>194</v>
      </c>
      <c r="P57" s="80" t="s">
        <v>195</v>
      </c>
      <c r="Q57" s="80" t="s">
        <v>196</v>
      </c>
      <c r="R57" s="80" t="s">
        <v>197</v>
      </c>
      <c r="S57" s="80" t="s">
        <v>198</v>
      </c>
      <c r="T57" s="80" t="s">
        <v>199</v>
      </c>
      <c r="U57" s="80" t="s">
        <v>200</v>
      </c>
      <c r="V57" s="80" t="s">
        <v>176</v>
      </c>
      <c r="W57" s="588" t="s">
        <v>201</v>
      </c>
      <c r="X57" s="588"/>
      <c r="Y57" s="80" t="s">
        <v>202</v>
      </c>
      <c r="Z57" s="81" t="s">
        <v>203</v>
      </c>
      <c r="AA57" s="81" t="s">
        <v>204</v>
      </c>
      <c r="AB57" s="80" t="s">
        <v>205</v>
      </c>
      <c r="AC57" s="81" t="s">
        <v>206</v>
      </c>
      <c r="AD57" s="588" t="s">
        <v>207</v>
      </c>
      <c r="AE57" s="588"/>
      <c r="AF57" s="80" t="s">
        <v>208</v>
      </c>
      <c r="AG57" s="82" t="s">
        <v>209</v>
      </c>
      <c r="AH57" s="82" t="s">
        <v>210</v>
      </c>
      <c r="AI57" s="80" t="s">
        <v>211</v>
      </c>
      <c r="AJ57" s="81" t="s">
        <v>206</v>
      </c>
      <c r="AK57" s="588" t="s">
        <v>212</v>
      </c>
      <c r="AL57" s="588"/>
      <c r="AM57" s="80" t="s">
        <v>213</v>
      </c>
      <c r="AN57" s="80" t="s">
        <v>214</v>
      </c>
      <c r="AO57" s="80" t="s">
        <v>215</v>
      </c>
      <c r="AP57" s="80" t="s">
        <v>216</v>
      </c>
      <c r="AQ57" s="81" t="s">
        <v>206</v>
      </c>
      <c r="AR57" s="588" t="s">
        <v>262</v>
      </c>
      <c r="AS57" s="588"/>
      <c r="AT57" s="80" t="s">
        <v>218</v>
      </c>
      <c r="AU57" s="81" t="s">
        <v>219</v>
      </c>
      <c r="AV57" s="80" t="s">
        <v>220</v>
      </c>
      <c r="AW57" s="81" t="s">
        <v>206</v>
      </c>
      <c r="AX57" s="588" t="s">
        <v>221</v>
      </c>
      <c r="AY57" s="588"/>
      <c r="AZ57" s="80" t="s">
        <v>222</v>
      </c>
      <c r="BA57" s="81" t="s">
        <v>223</v>
      </c>
      <c r="BB57" s="81" t="s">
        <v>224</v>
      </c>
      <c r="BC57" s="80" t="s">
        <v>225</v>
      </c>
      <c r="BD57" s="81" t="s">
        <v>206</v>
      </c>
      <c r="BE57" s="588"/>
      <c r="BF57" s="588"/>
      <c r="BG57" s="235" t="s">
        <v>226</v>
      </c>
      <c r="BI57" s="37"/>
      <c r="BJ57" s="37"/>
      <c r="BK57" s="37"/>
      <c r="BL57" s="38"/>
      <c r="BM57" s="38"/>
      <c r="BN57" s="38"/>
      <c r="BO57" s="37"/>
      <c r="BP57" s="37"/>
      <c r="BQ57" s="37"/>
      <c r="BR57" s="37"/>
      <c r="BS57" s="37"/>
      <c r="BT57" s="37"/>
      <c r="BU57" s="37"/>
      <c r="BV57" s="37"/>
      <c r="BW57" s="37"/>
      <c r="BX57" s="37"/>
      <c r="BY57" s="37"/>
      <c r="BZ57" s="37"/>
      <c r="CA57" s="39"/>
      <c r="CB57" s="37"/>
      <c r="CC57" s="37"/>
      <c r="CD57" s="39"/>
      <c r="CE57" s="39"/>
      <c r="CF57" s="39"/>
      <c r="CG57" s="39"/>
      <c r="CH57" s="37"/>
      <c r="CI57" s="37"/>
      <c r="CJ57" s="39"/>
      <c r="CK57" s="39"/>
      <c r="CL57" s="39"/>
      <c r="CM57" s="40"/>
      <c r="CN57" s="41"/>
      <c r="CO57" s="41"/>
      <c r="CP57" s="42"/>
      <c r="CQ57" s="42"/>
      <c r="CR57" s="42"/>
      <c r="CS57" s="42"/>
      <c r="CT57" s="42"/>
      <c r="CU57" s="42"/>
      <c r="CV57" s="42"/>
      <c r="CW57" s="42"/>
      <c r="CX57" s="42"/>
      <c r="CY57" s="42"/>
      <c r="CZ57" s="42"/>
      <c r="DA57" s="42"/>
      <c r="DB57" s="42"/>
      <c r="DC57" s="42"/>
      <c r="DD57" s="42"/>
      <c r="DE57" s="42"/>
      <c r="DF57" s="42"/>
      <c r="DG57" s="42"/>
      <c r="DH57" s="42"/>
      <c r="DI57" s="42"/>
      <c r="DJ57" s="42"/>
      <c r="DK57" s="42"/>
      <c r="DL57" s="42"/>
      <c r="DM57" s="42"/>
      <c r="DN57" s="42"/>
      <c r="DO57" s="42"/>
      <c r="DP57" s="42"/>
      <c r="DQ57" s="42"/>
      <c r="DR57" s="42"/>
      <c r="DS57" s="42"/>
      <c r="DT57" s="42"/>
      <c r="DU57" s="42"/>
      <c r="DV57" s="43"/>
      <c r="DW57" s="43"/>
      <c r="DX57" s="43"/>
      <c r="DY57" s="43"/>
      <c r="DZ57" s="43"/>
      <c r="EA57" s="43"/>
      <c r="EB57" s="43"/>
      <c r="EC57" s="43"/>
    </row>
    <row r="58" spans="1:133" s="36" customFormat="1" ht="21" customHeight="1" x14ac:dyDescent="0.25">
      <c r="A58" s="30"/>
      <c r="B58" s="590" t="s">
        <v>269</v>
      </c>
      <c r="C58" s="591"/>
      <c r="D58" s="591"/>
      <c r="E58" s="591"/>
      <c r="F58" s="591"/>
      <c r="G58" s="591"/>
      <c r="H58" s="591"/>
      <c r="I58" s="591"/>
      <c r="J58" s="591"/>
      <c r="K58" s="591"/>
      <c r="L58" s="591"/>
      <c r="M58" s="591"/>
      <c r="N58" s="591"/>
      <c r="O58" s="591"/>
      <c r="P58" s="591"/>
      <c r="Q58" s="591"/>
      <c r="R58" s="591"/>
      <c r="S58" s="591"/>
      <c r="T58" s="591"/>
      <c r="U58" s="591"/>
      <c r="V58" s="592"/>
      <c r="W58" s="592"/>
      <c r="X58" s="592"/>
      <c r="Y58" s="592"/>
      <c r="Z58" s="592"/>
      <c r="AA58" s="592"/>
      <c r="AB58" s="592"/>
      <c r="AC58" s="592"/>
      <c r="AD58" s="592"/>
      <c r="AE58" s="592"/>
      <c r="AF58" s="592"/>
      <c r="AG58" s="592"/>
      <c r="AH58" s="592"/>
      <c r="AI58" s="592"/>
      <c r="AJ58" s="592"/>
      <c r="AK58" s="592"/>
      <c r="AL58" s="592"/>
      <c r="AM58" s="592"/>
      <c r="AN58" s="592"/>
      <c r="AO58" s="592"/>
      <c r="AP58" s="592"/>
      <c r="AQ58" s="592"/>
      <c r="AR58" s="592"/>
      <c r="AS58" s="592"/>
      <c r="AT58" s="592"/>
      <c r="AU58" s="592"/>
      <c r="AV58" s="592"/>
      <c r="AW58" s="592"/>
      <c r="AX58" s="592"/>
      <c r="AY58" s="592"/>
      <c r="AZ58" s="592"/>
      <c r="BA58" s="592"/>
      <c r="BB58" s="592"/>
      <c r="BC58" s="592"/>
      <c r="BD58" s="592"/>
      <c r="BE58" s="592"/>
      <c r="BF58" s="593"/>
      <c r="BG58" s="235"/>
      <c r="BI58" s="37"/>
      <c r="BJ58" s="37"/>
      <c r="BK58" s="37"/>
      <c r="BL58" s="38"/>
      <c r="BM58" s="38"/>
      <c r="BN58" s="38"/>
      <c r="BO58" s="37"/>
      <c r="BP58" s="37"/>
      <c r="BQ58" s="37"/>
      <c r="BR58" s="37"/>
      <c r="BS58" s="37"/>
      <c r="BT58" s="37"/>
      <c r="BU58" s="37"/>
      <c r="BV58" s="37"/>
      <c r="BW58" s="37"/>
      <c r="BX58" s="37"/>
      <c r="BY58" s="37"/>
      <c r="BZ58" s="37"/>
      <c r="CA58" s="39"/>
      <c r="CB58" s="37"/>
      <c r="CC58" s="37"/>
      <c r="CD58" s="39"/>
      <c r="CE58" s="39"/>
      <c r="CF58" s="39"/>
      <c r="CG58" s="39"/>
      <c r="CH58" s="37"/>
      <c r="CI58" s="37"/>
      <c r="CJ58" s="39"/>
      <c r="CK58" s="39"/>
      <c r="CL58" s="39"/>
      <c r="CM58" s="40"/>
      <c r="CN58" s="41"/>
      <c r="CO58" s="41"/>
      <c r="CP58" s="42"/>
      <c r="CQ58" s="42"/>
      <c r="CR58" s="42"/>
      <c r="CS58" s="42"/>
      <c r="CT58" s="42"/>
      <c r="CU58" s="42"/>
      <c r="CV58" s="42"/>
      <c r="CW58" s="42"/>
      <c r="CX58" s="42"/>
      <c r="CY58" s="42"/>
      <c r="CZ58" s="42"/>
      <c r="DA58" s="42"/>
      <c r="DB58" s="42"/>
      <c r="DC58" s="42"/>
      <c r="DD58" s="42"/>
      <c r="DE58" s="42"/>
      <c r="DF58" s="42"/>
      <c r="DG58" s="42"/>
      <c r="DH58" s="42"/>
      <c r="DI58" s="42"/>
      <c r="DJ58" s="42"/>
      <c r="DK58" s="42"/>
      <c r="DL58" s="42"/>
      <c r="DM58" s="42"/>
      <c r="DN58" s="42"/>
      <c r="DO58" s="42"/>
      <c r="DP58" s="42"/>
      <c r="DQ58" s="42"/>
      <c r="DR58" s="42"/>
      <c r="DS58" s="42"/>
      <c r="DT58" s="42"/>
      <c r="DU58" s="42"/>
      <c r="DV58" s="43"/>
      <c r="DW58" s="43"/>
      <c r="DX58" s="43"/>
      <c r="DY58" s="43"/>
      <c r="DZ58" s="43"/>
      <c r="EA58" s="43"/>
      <c r="EB58" s="43"/>
      <c r="EC58" s="43"/>
    </row>
    <row r="59" spans="1:133" ht="27" x14ac:dyDescent="0.25">
      <c r="B59" s="96" t="s">
        <v>270</v>
      </c>
      <c r="C59" s="84" t="s">
        <v>271</v>
      </c>
      <c r="D59" s="85" t="s">
        <v>272</v>
      </c>
      <c r="E59" s="97">
        <v>199966</v>
      </c>
      <c r="F59" s="97">
        <v>201482</v>
      </c>
      <c r="G59" s="97">
        <v>234966</v>
      </c>
      <c r="H59" s="97">
        <v>169127</v>
      </c>
      <c r="I59" s="97">
        <v>177187</v>
      </c>
      <c r="J59" s="97">
        <v>205748</v>
      </c>
      <c r="K59" s="97">
        <v>219565</v>
      </c>
      <c r="L59" s="97">
        <v>246335</v>
      </c>
      <c r="M59" s="97">
        <v>252019</v>
      </c>
      <c r="N59" s="97">
        <v>242344</v>
      </c>
      <c r="O59" s="97">
        <v>281753</v>
      </c>
      <c r="P59" s="97">
        <v>291125</v>
      </c>
      <c r="Q59" s="429">
        <f>SUM(E59:P59)</f>
        <v>2721617</v>
      </c>
      <c r="R59" s="85">
        <f>COUNT(E59:P59)</f>
        <v>12</v>
      </c>
      <c r="S59" s="87">
        <f>IF(R59&gt;1,AVERAGE(E59:P59),0)</f>
        <v>226801.41666666666</v>
      </c>
      <c r="T59" s="87">
        <f>IF(R59&gt;1,STDEV(E59:P59),0)</f>
        <v>38290.365266802401</v>
      </c>
      <c r="U59" s="87">
        <f t="shared" ref="U59:U68" si="47">IF(R59&gt;1,VLOOKUP($R59,$BH$449:$BI$461,2,FALSE),0)</f>
        <v>2.2000000000000002</v>
      </c>
      <c r="V59" s="88">
        <f>IF(R59&gt;1,1-((S59-((T59*U59)/(SQRT(R59))))/S59),VLOOKUP($C59,$BH$113:$CO$515,34,FALSE))</f>
        <v>0.10722000030234902</v>
      </c>
      <c r="W59" s="89">
        <f t="shared" ref="W59:W68" si="48">VLOOKUP($C59,$BH$109:$CL$513,3,FALSE)</f>
        <v>1.08</v>
      </c>
      <c r="X59" s="90" t="str">
        <f t="shared" ref="X59:X68" si="49">VLOOKUP($C59,$BH$109:$CL$513,4,FALSE)</f>
        <v>kg CO2/kg Cl</v>
      </c>
      <c r="Y59" s="88">
        <f t="shared" ref="Y59:Y68" si="50">IF($Q59&gt;0,VLOOKUP($C59,$BH$113:$CL$515,6,FALSE),0)</f>
        <v>0</v>
      </c>
      <c r="Z59" s="91">
        <f>($Q59*W59)/1000</f>
        <v>2939.3463600000005</v>
      </c>
      <c r="AA59" s="91">
        <f t="shared" ref="AA59:AA68" si="51">Z59*$BI$463</f>
        <v>2939.3463600000005</v>
      </c>
      <c r="AB59" s="88">
        <f>IF(Z59&gt;0,SQRT(($V59*$V59)+(Y59*Y59)),0)</f>
        <v>0.10722000030234902</v>
      </c>
      <c r="AC59" s="491">
        <f>(AA59*AB59)^2</f>
        <v>99323.756653391014</v>
      </c>
      <c r="AD59" s="92"/>
      <c r="AE59" s="90"/>
      <c r="AF59" s="88"/>
      <c r="AG59" s="93"/>
      <c r="AH59" s="91"/>
      <c r="AI59" s="88"/>
      <c r="AJ59" s="91"/>
      <c r="AK59" s="92"/>
      <c r="AL59" s="90"/>
      <c r="AM59" s="88"/>
      <c r="AN59" s="93"/>
      <c r="AO59" s="91"/>
      <c r="AP59" s="88"/>
      <c r="AQ59" s="91"/>
      <c r="AR59" s="94"/>
      <c r="AS59" s="90"/>
      <c r="AT59" s="88"/>
      <c r="AU59" s="93"/>
      <c r="AV59" s="88"/>
      <c r="AW59" s="91"/>
      <c r="AX59" s="94"/>
      <c r="AY59" s="90"/>
      <c r="AZ59" s="88"/>
      <c r="BA59" s="93"/>
      <c r="BB59" s="93"/>
      <c r="BC59" s="88"/>
      <c r="BD59" s="91"/>
      <c r="BE59" s="87">
        <f>AA59+AH59+AO59+AU59+BB59</f>
        <v>2939.3463600000005</v>
      </c>
      <c r="BF59" s="95">
        <f t="shared" ref="BF59:BF68" si="52">IF(BE59&gt;0,SQRT(AC59+AJ59+AQ59+AW59+BD59)/BE59,0)</f>
        <v>0.10722000030234902</v>
      </c>
      <c r="BG59" s="242">
        <f t="shared" ref="BG59:BG69" si="53">(BE59*BF59)^2</f>
        <v>99323.756653391014</v>
      </c>
    </row>
    <row r="60" spans="1:133" ht="27" x14ac:dyDescent="0.25">
      <c r="B60" s="96" t="s">
        <v>270</v>
      </c>
      <c r="C60" s="84" t="s">
        <v>273</v>
      </c>
      <c r="D60" s="85" t="s">
        <v>272</v>
      </c>
      <c r="E60" s="97">
        <v>0</v>
      </c>
      <c r="F60" s="97">
        <v>0</v>
      </c>
      <c r="G60" s="97">
        <v>0</v>
      </c>
      <c r="H60" s="97">
        <v>0</v>
      </c>
      <c r="I60" s="97">
        <v>0</v>
      </c>
      <c r="J60" s="97">
        <v>0</v>
      </c>
      <c r="K60" s="97">
        <v>0</v>
      </c>
      <c r="L60" s="97">
        <v>0</v>
      </c>
      <c r="M60" s="97">
        <v>0</v>
      </c>
      <c r="N60" s="97">
        <v>0</v>
      </c>
      <c r="O60" s="97">
        <v>0</v>
      </c>
      <c r="P60" s="97">
        <v>0</v>
      </c>
      <c r="Q60" s="429">
        <f t="shared" ref="Q60:Q67" si="54">SUM(E60:P60)</f>
        <v>0</v>
      </c>
      <c r="R60" s="85">
        <f t="shared" ref="R60:R67" si="55">COUNT(E60:P60)</f>
        <v>12</v>
      </c>
      <c r="S60" s="87">
        <f t="shared" ref="S60:S67" si="56">IF(R60&gt;1,AVERAGE(E60:P60),0)</f>
        <v>0</v>
      </c>
      <c r="T60" s="87">
        <f t="shared" ref="T60:T67" si="57">IF(R60&gt;1,STDEV(E60:P60),0)</f>
        <v>0</v>
      </c>
      <c r="U60" s="87">
        <f t="shared" si="47"/>
        <v>2.2000000000000002</v>
      </c>
      <c r="V60" s="88">
        <v>0</v>
      </c>
      <c r="W60" s="89">
        <f t="shared" si="48"/>
        <v>0.18</v>
      </c>
      <c r="X60" s="90" t="str">
        <f t="shared" si="49"/>
        <v>kg CO2/kg FeCl3</v>
      </c>
      <c r="Y60" s="88">
        <f t="shared" si="50"/>
        <v>0</v>
      </c>
      <c r="Z60" s="91">
        <f t="shared" ref="Z60:Z67" si="58">($Q60*W60)/1000</f>
        <v>0</v>
      </c>
      <c r="AA60" s="91">
        <f t="shared" si="51"/>
        <v>0</v>
      </c>
      <c r="AB60" s="88">
        <f t="shared" ref="AB60:AB68" si="59">IF(Z60&gt;0,SQRT(($V60*$V60)+(Y60*Y60)),0)</f>
        <v>0</v>
      </c>
      <c r="AC60" s="491">
        <f t="shared" ref="AC60:AC68" si="60">(AA60*AB60)^2</f>
        <v>0</v>
      </c>
      <c r="AD60" s="92"/>
      <c r="AE60" s="90"/>
      <c r="AF60" s="88"/>
      <c r="AG60" s="93"/>
      <c r="AH60" s="91"/>
      <c r="AI60" s="88"/>
      <c r="AJ60" s="91"/>
      <c r="AK60" s="92"/>
      <c r="AL60" s="90"/>
      <c r="AM60" s="88"/>
      <c r="AN60" s="93"/>
      <c r="AO60" s="91"/>
      <c r="AP60" s="88"/>
      <c r="AQ60" s="91"/>
      <c r="AR60" s="94"/>
      <c r="AS60" s="90"/>
      <c r="AT60" s="88"/>
      <c r="AU60" s="93"/>
      <c r="AV60" s="88"/>
      <c r="AW60" s="91"/>
      <c r="AX60" s="94"/>
      <c r="AY60" s="90"/>
      <c r="AZ60" s="88"/>
      <c r="BA60" s="93"/>
      <c r="BB60" s="93"/>
      <c r="BC60" s="88"/>
      <c r="BD60" s="91"/>
      <c r="BE60" s="87">
        <f t="shared" ref="BE60:BE67" si="61">AA60+AH60+AO60+AU60+BB60</f>
        <v>0</v>
      </c>
      <c r="BF60" s="95">
        <f t="shared" si="52"/>
        <v>0</v>
      </c>
      <c r="BG60" s="242">
        <f t="shared" si="53"/>
        <v>0</v>
      </c>
    </row>
    <row r="61" spans="1:133" ht="27" x14ac:dyDescent="0.25">
      <c r="B61" s="96" t="s">
        <v>270</v>
      </c>
      <c r="C61" s="84" t="s">
        <v>274</v>
      </c>
      <c r="D61" s="85" t="s">
        <v>272</v>
      </c>
      <c r="E61" s="97">
        <v>734666</v>
      </c>
      <c r="F61" s="97">
        <v>519960</v>
      </c>
      <c r="G61" s="97">
        <v>604495</v>
      </c>
      <c r="H61" s="97">
        <v>422970</v>
      </c>
      <c r="I61" s="97">
        <v>652423</v>
      </c>
      <c r="J61" s="97">
        <v>991255</v>
      </c>
      <c r="K61" s="97">
        <v>942599</v>
      </c>
      <c r="L61" s="97">
        <v>873577</v>
      </c>
      <c r="M61" s="97">
        <v>461151</v>
      </c>
      <c r="N61" s="97">
        <v>491795</v>
      </c>
      <c r="O61" s="97">
        <v>1133896</v>
      </c>
      <c r="P61" s="97">
        <v>979185</v>
      </c>
      <c r="Q61" s="429">
        <f t="shared" si="54"/>
        <v>8807972</v>
      </c>
      <c r="R61" s="85">
        <f t="shared" si="55"/>
        <v>12</v>
      </c>
      <c r="S61" s="87">
        <f t="shared" si="56"/>
        <v>733997.66666666663</v>
      </c>
      <c r="T61" s="87">
        <f t="shared" si="57"/>
        <v>242767.6271227033</v>
      </c>
      <c r="U61" s="87">
        <f t="shared" si="47"/>
        <v>2.2000000000000002</v>
      </c>
      <c r="V61" s="88">
        <f t="shared" ref="V61:V68" si="62">IF(R61&gt;1,1-((S61-((T61*U61)/(SQRT(R61))))/S61),VLOOKUP($C61,$BH$113:$CO$515,34,FALSE))</f>
        <v>0.21005264370522725</v>
      </c>
      <c r="W61" s="89">
        <f t="shared" si="48"/>
        <v>0.5</v>
      </c>
      <c r="X61" s="90" t="str">
        <f t="shared" si="49"/>
        <v>kg CO2/kg Al2(SO4)3</v>
      </c>
      <c r="Y61" s="88">
        <f t="shared" si="50"/>
        <v>0</v>
      </c>
      <c r="Z61" s="91">
        <f t="shared" si="58"/>
        <v>4403.9859999999999</v>
      </c>
      <c r="AA61" s="91">
        <f t="shared" si="51"/>
        <v>4403.9859999999999</v>
      </c>
      <c r="AB61" s="88">
        <f t="shared" si="59"/>
        <v>0.21005264370522725</v>
      </c>
      <c r="AC61" s="491">
        <f t="shared" si="60"/>
        <v>855752.47370800143</v>
      </c>
      <c r="AD61" s="92"/>
      <c r="AE61" s="90"/>
      <c r="AF61" s="88"/>
      <c r="AG61" s="93"/>
      <c r="AH61" s="91"/>
      <c r="AI61" s="88"/>
      <c r="AJ61" s="91"/>
      <c r="AK61" s="92"/>
      <c r="AL61" s="90"/>
      <c r="AM61" s="88"/>
      <c r="AN61" s="93"/>
      <c r="AO61" s="91"/>
      <c r="AP61" s="88"/>
      <c r="AQ61" s="91"/>
      <c r="AR61" s="94"/>
      <c r="AS61" s="90"/>
      <c r="AT61" s="88"/>
      <c r="AU61" s="93"/>
      <c r="AV61" s="88"/>
      <c r="AW61" s="91"/>
      <c r="AX61" s="94"/>
      <c r="AY61" s="90"/>
      <c r="AZ61" s="88"/>
      <c r="BA61" s="93"/>
      <c r="BB61" s="93"/>
      <c r="BC61" s="88"/>
      <c r="BD61" s="91"/>
      <c r="BE61" s="87">
        <f t="shared" si="61"/>
        <v>4403.9859999999999</v>
      </c>
      <c r="BF61" s="95">
        <f>IF(BE61&gt;0,SQRT(AC61+AJ61+AQ61+AW61+BD61)/BE61,0)</f>
        <v>0.21005264370522725</v>
      </c>
      <c r="BG61" s="242">
        <f t="shared" si="53"/>
        <v>855752.47370800143</v>
      </c>
    </row>
    <row r="62" spans="1:133" ht="27" x14ac:dyDescent="0.25">
      <c r="B62" s="96" t="s">
        <v>270</v>
      </c>
      <c r="C62" s="84" t="s">
        <v>275</v>
      </c>
      <c r="D62" s="85" t="s">
        <v>272</v>
      </c>
      <c r="E62" s="97">
        <v>10825</v>
      </c>
      <c r="F62" s="97">
        <v>8850</v>
      </c>
      <c r="G62" s="97">
        <v>26050</v>
      </c>
      <c r="H62" s="97">
        <v>10600</v>
      </c>
      <c r="I62" s="97">
        <v>12575</v>
      </c>
      <c r="J62" s="97">
        <v>11050</v>
      </c>
      <c r="K62" s="97">
        <v>8125</v>
      </c>
      <c r="L62" s="97">
        <v>10500</v>
      </c>
      <c r="M62" s="97">
        <v>6050</v>
      </c>
      <c r="N62" s="97">
        <v>6250</v>
      </c>
      <c r="O62" s="97">
        <v>10800</v>
      </c>
      <c r="P62" s="97">
        <v>5600</v>
      </c>
      <c r="Q62" s="429">
        <f t="shared" si="54"/>
        <v>127275</v>
      </c>
      <c r="R62" s="85">
        <f t="shared" si="55"/>
        <v>12</v>
      </c>
      <c r="S62" s="87">
        <f t="shared" si="56"/>
        <v>10606.25</v>
      </c>
      <c r="T62" s="87">
        <f t="shared" si="57"/>
        <v>5365.876241669117</v>
      </c>
      <c r="U62" s="87">
        <f t="shared" si="47"/>
        <v>2.2000000000000002</v>
      </c>
      <c r="V62" s="88">
        <f t="shared" si="62"/>
        <v>0.32130009209875976</v>
      </c>
      <c r="W62" s="89">
        <f t="shared" si="48"/>
        <v>0.2</v>
      </c>
      <c r="X62" s="90" t="str">
        <f t="shared" si="49"/>
        <v>kg CO2/kg NaCl</v>
      </c>
      <c r="Y62" s="88">
        <f t="shared" si="50"/>
        <v>0</v>
      </c>
      <c r="Z62" s="91">
        <f t="shared" si="58"/>
        <v>25.454999999999998</v>
      </c>
      <c r="AA62" s="91">
        <f t="shared" si="51"/>
        <v>25.454999999999998</v>
      </c>
      <c r="AB62" s="88">
        <f t="shared" si="59"/>
        <v>0.32130009209875976</v>
      </c>
      <c r="AC62" s="491">
        <f t="shared" si="60"/>
        <v>66.891033000000007</v>
      </c>
      <c r="AD62" s="92"/>
      <c r="AE62" s="90"/>
      <c r="AF62" s="88"/>
      <c r="AG62" s="93"/>
      <c r="AH62" s="91"/>
      <c r="AI62" s="88"/>
      <c r="AJ62" s="91"/>
      <c r="AK62" s="92"/>
      <c r="AL62" s="90"/>
      <c r="AM62" s="88"/>
      <c r="AN62" s="93"/>
      <c r="AO62" s="91"/>
      <c r="AP62" s="88"/>
      <c r="AQ62" s="91"/>
      <c r="AR62" s="94"/>
      <c r="AS62" s="90"/>
      <c r="AT62" s="88"/>
      <c r="AU62" s="93"/>
      <c r="AV62" s="88"/>
      <c r="AW62" s="91"/>
      <c r="AX62" s="94"/>
      <c r="AY62" s="90"/>
      <c r="AZ62" s="88"/>
      <c r="BA62" s="93"/>
      <c r="BB62" s="93"/>
      <c r="BC62" s="88"/>
      <c r="BD62" s="91"/>
      <c r="BE62" s="87">
        <f t="shared" si="61"/>
        <v>25.454999999999998</v>
      </c>
      <c r="BF62" s="95">
        <f t="shared" si="52"/>
        <v>0.32130009209875982</v>
      </c>
      <c r="BG62" s="242">
        <f t="shared" si="53"/>
        <v>66.891033000000007</v>
      </c>
    </row>
    <row r="63" spans="1:133" ht="27" x14ac:dyDescent="0.25">
      <c r="B63" s="96" t="s">
        <v>270</v>
      </c>
      <c r="C63" s="84" t="s">
        <v>276</v>
      </c>
      <c r="D63" s="85" t="s">
        <v>272</v>
      </c>
      <c r="E63" s="97">
        <v>62</v>
      </c>
      <c r="F63" s="97">
        <v>259</v>
      </c>
      <c r="G63" s="97">
        <v>299</v>
      </c>
      <c r="H63" s="97">
        <v>242</v>
      </c>
      <c r="I63" s="97">
        <v>153</v>
      </c>
      <c r="J63" s="97">
        <v>222</v>
      </c>
      <c r="K63" s="97">
        <v>5</v>
      </c>
      <c r="L63" s="97">
        <v>56</v>
      </c>
      <c r="M63" s="97">
        <v>83</v>
      </c>
      <c r="N63" s="97">
        <v>139</v>
      </c>
      <c r="O63" s="97">
        <v>0</v>
      </c>
      <c r="P63" s="97">
        <v>0</v>
      </c>
      <c r="Q63" s="429">
        <f t="shared" si="54"/>
        <v>1520</v>
      </c>
      <c r="R63" s="85">
        <f t="shared" si="55"/>
        <v>12</v>
      </c>
      <c r="S63" s="87">
        <f t="shared" si="56"/>
        <v>126.66666666666667</v>
      </c>
      <c r="T63" s="87">
        <f t="shared" si="57"/>
        <v>108.04909097538054</v>
      </c>
      <c r="U63" s="87">
        <f t="shared" si="47"/>
        <v>2.2000000000000002</v>
      </c>
      <c r="V63" s="88">
        <f t="shared" si="62"/>
        <v>0.54173991265550014</v>
      </c>
      <c r="W63" s="89">
        <f t="shared" si="48"/>
        <v>6.33</v>
      </c>
      <c r="X63" s="90" t="str">
        <f t="shared" si="49"/>
        <v>kg CO2/kg ClO2</v>
      </c>
      <c r="Y63" s="88">
        <f t="shared" si="50"/>
        <v>0</v>
      </c>
      <c r="Z63" s="91">
        <f t="shared" si="58"/>
        <v>9.6216000000000008</v>
      </c>
      <c r="AA63" s="91">
        <f t="shared" si="51"/>
        <v>9.6216000000000008</v>
      </c>
      <c r="AB63" s="88">
        <f t="shared" si="59"/>
        <v>0.54173991265550014</v>
      </c>
      <c r="AC63" s="491">
        <f t="shared" si="60"/>
        <v>27.169163211168009</v>
      </c>
      <c r="AD63" s="92"/>
      <c r="AE63" s="90"/>
      <c r="AF63" s="88"/>
      <c r="AG63" s="93"/>
      <c r="AH63" s="91"/>
      <c r="AI63" s="88"/>
      <c r="AJ63" s="91"/>
      <c r="AK63" s="92"/>
      <c r="AL63" s="90"/>
      <c r="AM63" s="88"/>
      <c r="AN63" s="93"/>
      <c r="AO63" s="91"/>
      <c r="AP63" s="88"/>
      <c r="AQ63" s="91"/>
      <c r="AR63" s="94"/>
      <c r="AS63" s="90"/>
      <c r="AT63" s="88"/>
      <c r="AU63" s="93"/>
      <c r="AV63" s="88"/>
      <c r="AW63" s="91"/>
      <c r="AX63" s="94"/>
      <c r="AY63" s="90"/>
      <c r="AZ63" s="88"/>
      <c r="BA63" s="93"/>
      <c r="BB63" s="93"/>
      <c r="BC63" s="88"/>
      <c r="BD63" s="91"/>
      <c r="BE63" s="87">
        <f t="shared" si="61"/>
        <v>9.6216000000000008</v>
      </c>
      <c r="BF63" s="95">
        <f t="shared" si="52"/>
        <v>0.54173991265550014</v>
      </c>
      <c r="BG63" s="242">
        <f t="shared" si="53"/>
        <v>27.169163211168009</v>
      </c>
    </row>
    <row r="64" spans="1:133" ht="27" x14ac:dyDescent="0.25">
      <c r="B64" s="96" t="s">
        <v>270</v>
      </c>
      <c r="C64" s="84" t="s">
        <v>277</v>
      </c>
      <c r="D64" s="85" t="s">
        <v>272</v>
      </c>
      <c r="E64" s="97">
        <v>46019</v>
      </c>
      <c r="F64" s="97">
        <v>40510</v>
      </c>
      <c r="G64" s="97">
        <v>47703</v>
      </c>
      <c r="H64" s="97">
        <v>46346</v>
      </c>
      <c r="I64" s="97">
        <v>50855</v>
      </c>
      <c r="J64" s="97">
        <v>49017</v>
      </c>
      <c r="K64" s="97">
        <v>48111</v>
      </c>
      <c r="L64" s="97">
        <v>50763</v>
      </c>
      <c r="M64" s="97">
        <v>40881</v>
      </c>
      <c r="N64" s="97">
        <v>43126</v>
      </c>
      <c r="O64" s="97">
        <v>80059</v>
      </c>
      <c r="P64" s="97">
        <v>40899</v>
      </c>
      <c r="Q64" s="429">
        <f t="shared" si="54"/>
        <v>584289</v>
      </c>
      <c r="R64" s="85">
        <f t="shared" si="55"/>
        <v>12</v>
      </c>
      <c r="S64" s="87">
        <f t="shared" si="56"/>
        <v>48690.75</v>
      </c>
      <c r="T64" s="87">
        <f t="shared" si="57"/>
        <v>10559.761887165656</v>
      </c>
      <c r="U64" s="87">
        <f t="shared" si="47"/>
        <v>2.2000000000000002</v>
      </c>
      <c r="V64" s="88">
        <f t="shared" si="62"/>
        <v>0.13773354292030393</v>
      </c>
      <c r="W64" s="89">
        <f t="shared" si="48"/>
        <v>0.92</v>
      </c>
      <c r="X64" s="90" t="str">
        <f t="shared" si="49"/>
        <v>kg CO2/kg NaClO</v>
      </c>
      <c r="Y64" s="88">
        <f t="shared" si="50"/>
        <v>0</v>
      </c>
      <c r="Z64" s="91">
        <f t="shared" si="58"/>
        <v>537.54588000000001</v>
      </c>
      <c r="AA64" s="91">
        <f t="shared" si="51"/>
        <v>537.54588000000001</v>
      </c>
      <c r="AB64" s="88">
        <f t="shared" si="59"/>
        <v>0.13773354292030393</v>
      </c>
      <c r="AC64" s="491">
        <f t="shared" si="60"/>
        <v>5481.6400346209957</v>
      </c>
      <c r="AD64" s="92"/>
      <c r="AE64" s="90"/>
      <c r="AF64" s="88"/>
      <c r="AG64" s="93"/>
      <c r="AH64" s="91"/>
      <c r="AI64" s="88"/>
      <c r="AJ64" s="91"/>
      <c r="AK64" s="92"/>
      <c r="AL64" s="90"/>
      <c r="AM64" s="88"/>
      <c r="AN64" s="93"/>
      <c r="AO64" s="91"/>
      <c r="AP64" s="88"/>
      <c r="AQ64" s="91"/>
      <c r="AR64" s="94"/>
      <c r="AS64" s="90"/>
      <c r="AT64" s="88"/>
      <c r="AU64" s="93"/>
      <c r="AV64" s="88"/>
      <c r="AW64" s="91"/>
      <c r="AX64" s="94"/>
      <c r="AY64" s="90"/>
      <c r="AZ64" s="88"/>
      <c r="BA64" s="93"/>
      <c r="BB64" s="93"/>
      <c r="BC64" s="88"/>
      <c r="BD64" s="91"/>
      <c r="BE64" s="87">
        <f t="shared" si="61"/>
        <v>537.54588000000001</v>
      </c>
      <c r="BF64" s="95">
        <f t="shared" si="52"/>
        <v>0.13773354292030393</v>
      </c>
      <c r="BG64" s="242">
        <f t="shared" si="53"/>
        <v>5481.6400346209957</v>
      </c>
    </row>
    <row r="65" spans="1:133" ht="27" x14ac:dyDescent="0.25">
      <c r="B65" s="96" t="s">
        <v>270</v>
      </c>
      <c r="C65" s="84" t="s">
        <v>278</v>
      </c>
      <c r="D65" s="85" t="s">
        <v>272</v>
      </c>
      <c r="E65" s="97">
        <v>0</v>
      </c>
      <c r="F65" s="97">
        <v>0</v>
      </c>
      <c r="G65" s="97">
        <v>20</v>
      </c>
      <c r="H65" s="97">
        <v>65</v>
      </c>
      <c r="I65" s="97">
        <v>95</v>
      </c>
      <c r="J65" s="97">
        <v>129</v>
      </c>
      <c r="K65" s="97">
        <v>417</v>
      </c>
      <c r="L65" s="97">
        <v>324</v>
      </c>
      <c r="M65" s="97">
        <v>331</v>
      </c>
      <c r="N65" s="97">
        <v>353</v>
      </c>
      <c r="O65" s="97">
        <v>323</v>
      </c>
      <c r="P65" s="97">
        <v>151</v>
      </c>
      <c r="Q65" s="429">
        <f t="shared" si="54"/>
        <v>2208</v>
      </c>
      <c r="R65" s="85">
        <f t="shared" si="55"/>
        <v>12</v>
      </c>
      <c r="S65" s="87">
        <f t="shared" si="56"/>
        <v>184</v>
      </c>
      <c r="T65" s="87">
        <f t="shared" si="57"/>
        <v>154.97331148532405</v>
      </c>
      <c r="U65" s="87">
        <f t="shared" si="47"/>
        <v>2.2000000000000002</v>
      </c>
      <c r="V65" s="88">
        <f t="shared" si="62"/>
        <v>0.5348982142042692</v>
      </c>
      <c r="W65" s="89">
        <f t="shared" si="48"/>
        <v>1.17</v>
      </c>
      <c r="X65" s="90" t="str">
        <f t="shared" si="49"/>
        <v>kg CO2/kg NaHCO3</v>
      </c>
      <c r="Y65" s="88">
        <f t="shared" si="50"/>
        <v>0</v>
      </c>
      <c r="Z65" s="91">
        <f t="shared" si="58"/>
        <v>2.5833599999999999</v>
      </c>
      <c r="AA65" s="91">
        <f t="shared" si="51"/>
        <v>2.5833599999999999</v>
      </c>
      <c r="AB65" s="88">
        <f t="shared" si="59"/>
        <v>0.5348982142042692</v>
      </c>
      <c r="AC65" s="491">
        <f t="shared" si="60"/>
        <v>1.909467001728</v>
      </c>
      <c r="AD65" s="92"/>
      <c r="AE65" s="90"/>
      <c r="AF65" s="88"/>
      <c r="AG65" s="93"/>
      <c r="AH65" s="91"/>
      <c r="AI65" s="88"/>
      <c r="AJ65" s="91"/>
      <c r="AK65" s="92"/>
      <c r="AL65" s="90"/>
      <c r="AM65" s="88"/>
      <c r="AN65" s="93"/>
      <c r="AO65" s="91"/>
      <c r="AP65" s="88"/>
      <c r="AQ65" s="91"/>
      <c r="AR65" s="94"/>
      <c r="AS65" s="90"/>
      <c r="AT65" s="88"/>
      <c r="AU65" s="93"/>
      <c r="AV65" s="88"/>
      <c r="AW65" s="91"/>
      <c r="AX65" s="94"/>
      <c r="AY65" s="90"/>
      <c r="AZ65" s="88"/>
      <c r="BA65" s="93"/>
      <c r="BB65" s="93"/>
      <c r="BC65" s="88"/>
      <c r="BD65" s="91"/>
      <c r="BE65" s="87">
        <f t="shared" si="61"/>
        <v>2.5833599999999999</v>
      </c>
      <c r="BF65" s="95">
        <f t="shared" si="52"/>
        <v>0.5348982142042692</v>
      </c>
      <c r="BG65" s="242">
        <f t="shared" si="53"/>
        <v>1.909467001728</v>
      </c>
    </row>
    <row r="66" spans="1:133" ht="27" x14ac:dyDescent="0.25">
      <c r="B66" s="96" t="s">
        <v>270</v>
      </c>
      <c r="C66" s="84" t="s">
        <v>279</v>
      </c>
      <c r="D66" s="85" t="s">
        <v>272</v>
      </c>
      <c r="E66" s="97">
        <v>161000</v>
      </c>
      <c r="F66" s="97">
        <v>170252</v>
      </c>
      <c r="G66" s="97">
        <v>217999</v>
      </c>
      <c r="H66" s="97">
        <v>127499</v>
      </c>
      <c r="I66" s="97">
        <v>116123</v>
      </c>
      <c r="J66" s="97">
        <v>163179</v>
      </c>
      <c r="K66" s="97">
        <v>173752</v>
      </c>
      <c r="L66" s="97">
        <v>219999</v>
      </c>
      <c r="M66" s="97">
        <v>197003</v>
      </c>
      <c r="N66" s="97">
        <v>185999</v>
      </c>
      <c r="O66" s="97">
        <v>239499</v>
      </c>
      <c r="P66" s="97">
        <v>231999</v>
      </c>
      <c r="Q66" s="429">
        <f t="shared" si="54"/>
        <v>2204303</v>
      </c>
      <c r="R66" s="85">
        <f t="shared" si="55"/>
        <v>12</v>
      </c>
      <c r="S66" s="87">
        <f t="shared" si="56"/>
        <v>183691.91666666666</v>
      </c>
      <c r="T66" s="87">
        <f t="shared" si="57"/>
        <v>39386.235723244376</v>
      </c>
      <c r="U66" s="87">
        <f t="shared" si="47"/>
        <v>2.2000000000000002</v>
      </c>
      <c r="V66" s="88">
        <f t="shared" si="62"/>
        <v>0.13617158354490821</v>
      </c>
      <c r="W66" s="89">
        <f t="shared" si="48"/>
        <v>0.15</v>
      </c>
      <c r="X66" s="90" t="str">
        <f t="shared" si="49"/>
        <v>kg CO2/kg CaO</v>
      </c>
      <c r="Y66" s="88">
        <f t="shared" si="50"/>
        <v>0</v>
      </c>
      <c r="Z66" s="91">
        <f t="shared" si="58"/>
        <v>330.64545000000004</v>
      </c>
      <c r="AA66" s="91">
        <f t="shared" si="51"/>
        <v>330.64545000000004</v>
      </c>
      <c r="AB66" s="88">
        <f t="shared" si="59"/>
        <v>0.13617158354490821</v>
      </c>
      <c r="AC66" s="491">
        <f t="shared" si="60"/>
        <v>2027.2069076193031</v>
      </c>
      <c r="AD66" s="92"/>
      <c r="AE66" s="90"/>
      <c r="AF66" s="88"/>
      <c r="AG66" s="93"/>
      <c r="AH66" s="91"/>
      <c r="AI66" s="88"/>
      <c r="AJ66" s="91"/>
      <c r="AK66" s="92"/>
      <c r="AL66" s="90"/>
      <c r="AM66" s="88"/>
      <c r="AN66" s="93"/>
      <c r="AO66" s="91"/>
      <c r="AP66" s="88"/>
      <c r="AQ66" s="91"/>
      <c r="AR66" s="94"/>
      <c r="AS66" s="90"/>
      <c r="AT66" s="88"/>
      <c r="AU66" s="93"/>
      <c r="AV66" s="88"/>
      <c r="AW66" s="91"/>
      <c r="AX66" s="94"/>
      <c r="AY66" s="90"/>
      <c r="AZ66" s="88"/>
      <c r="BA66" s="93"/>
      <c r="BB66" s="93"/>
      <c r="BC66" s="88"/>
      <c r="BD66" s="91"/>
      <c r="BE66" s="87">
        <f t="shared" si="61"/>
        <v>330.64545000000004</v>
      </c>
      <c r="BF66" s="95">
        <f t="shared" si="52"/>
        <v>0.13617158354490821</v>
      </c>
      <c r="BG66" s="242">
        <f t="shared" si="53"/>
        <v>2027.2069076193031</v>
      </c>
    </row>
    <row r="67" spans="1:133" ht="27" x14ac:dyDescent="0.25">
      <c r="B67" s="96" t="s">
        <v>270</v>
      </c>
      <c r="C67" s="84" t="s">
        <v>280</v>
      </c>
      <c r="D67" s="85" t="s">
        <v>272</v>
      </c>
      <c r="E67" s="97">
        <v>2379</v>
      </c>
      <c r="F67" s="97">
        <v>630</v>
      </c>
      <c r="G67" s="97">
        <v>0</v>
      </c>
      <c r="H67" s="97">
        <v>0</v>
      </c>
      <c r="I67" s="97">
        <v>0</v>
      </c>
      <c r="J67" s="97">
        <v>0</v>
      </c>
      <c r="K67" s="97">
        <v>0</v>
      </c>
      <c r="L67" s="97">
        <v>0</v>
      </c>
      <c r="M67" s="97">
        <v>450</v>
      </c>
      <c r="N67" s="97">
        <v>0</v>
      </c>
      <c r="O67" s="97">
        <v>0</v>
      </c>
      <c r="P67" s="97">
        <v>0</v>
      </c>
      <c r="Q67" s="429">
        <f t="shared" si="54"/>
        <v>3459</v>
      </c>
      <c r="R67" s="85">
        <f t="shared" si="55"/>
        <v>12</v>
      </c>
      <c r="S67" s="87">
        <f t="shared" si="56"/>
        <v>288.25</v>
      </c>
      <c r="T67" s="87">
        <f t="shared" si="57"/>
        <v>691.63733599730904</v>
      </c>
      <c r="U67" s="87">
        <f t="shared" si="47"/>
        <v>2.2000000000000002</v>
      </c>
      <c r="V67" s="88">
        <f t="shared" si="62"/>
        <v>1.5238463220524068</v>
      </c>
      <c r="W67" s="89">
        <f t="shared" si="48"/>
        <v>0.46</v>
      </c>
      <c r="X67" s="90" t="str">
        <f t="shared" si="49"/>
        <v>kg CO2/kg NaOH</v>
      </c>
      <c r="Y67" s="88">
        <f t="shared" si="50"/>
        <v>0</v>
      </c>
      <c r="Z67" s="91">
        <f t="shared" si="58"/>
        <v>1.59114</v>
      </c>
      <c r="AA67" s="91">
        <f t="shared" si="51"/>
        <v>1.59114</v>
      </c>
      <c r="AB67" s="88">
        <f t="shared" si="59"/>
        <v>1.5238463220524068</v>
      </c>
      <c r="AC67" s="491">
        <f t="shared" si="60"/>
        <v>5.8789413793440017</v>
      </c>
      <c r="AD67" s="92"/>
      <c r="AE67" s="90"/>
      <c r="AF67" s="88"/>
      <c r="AG67" s="93"/>
      <c r="AH67" s="91"/>
      <c r="AI67" s="88"/>
      <c r="AJ67" s="91"/>
      <c r="AK67" s="92"/>
      <c r="AL67" s="90"/>
      <c r="AM67" s="88"/>
      <c r="AN67" s="93"/>
      <c r="AO67" s="91"/>
      <c r="AP67" s="88"/>
      <c r="AQ67" s="91"/>
      <c r="AR67" s="94"/>
      <c r="AS67" s="90"/>
      <c r="AT67" s="88"/>
      <c r="AU67" s="93"/>
      <c r="AV67" s="88"/>
      <c r="AW67" s="91"/>
      <c r="AX67" s="94"/>
      <c r="AY67" s="90"/>
      <c r="AZ67" s="88"/>
      <c r="BA67" s="93"/>
      <c r="BB67" s="93"/>
      <c r="BC67" s="88"/>
      <c r="BD67" s="91"/>
      <c r="BE67" s="87">
        <f t="shared" si="61"/>
        <v>1.59114</v>
      </c>
      <c r="BF67" s="95">
        <f t="shared" si="52"/>
        <v>1.523846322052407</v>
      </c>
      <c r="BG67" s="242">
        <f t="shared" si="53"/>
        <v>5.8789413793440017</v>
      </c>
    </row>
    <row r="68" spans="1:133" ht="27" x14ac:dyDescent="0.25">
      <c r="B68" s="96" t="s">
        <v>281</v>
      </c>
      <c r="C68" s="84" t="s">
        <v>273</v>
      </c>
      <c r="D68" s="85" t="s">
        <v>272</v>
      </c>
      <c r="E68" s="97">
        <v>738554</v>
      </c>
      <c r="F68" s="97">
        <v>496788</v>
      </c>
      <c r="G68" s="97">
        <v>413852</v>
      </c>
      <c r="H68" s="97">
        <v>524913</v>
      </c>
      <c r="I68" s="97">
        <v>643832</v>
      </c>
      <c r="J68" s="97">
        <v>659128</v>
      </c>
      <c r="K68" s="97">
        <v>565156</v>
      </c>
      <c r="L68" s="97">
        <v>401545</v>
      </c>
      <c r="M68" s="97">
        <v>292822</v>
      </c>
      <c r="N68" s="97">
        <v>633536</v>
      </c>
      <c r="O68" s="97">
        <v>489044</v>
      </c>
      <c r="P68" s="97">
        <v>639514</v>
      </c>
      <c r="Q68" s="429">
        <f>SUM(E68:P68)</f>
        <v>6498684</v>
      </c>
      <c r="R68" s="85">
        <f>COUNT(E68:P68)</f>
        <v>12</v>
      </c>
      <c r="S68" s="87">
        <f>IF(R68&gt;1,AVERAGE(E68:P68),0)</f>
        <v>541557</v>
      </c>
      <c r="T68" s="87">
        <f>IF(R68&gt;1,STDEV(E68:P68),0)</f>
        <v>129517.80692806123</v>
      </c>
      <c r="U68" s="87">
        <f t="shared" si="47"/>
        <v>2.2000000000000002</v>
      </c>
      <c r="V68" s="88">
        <f t="shared" si="62"/>
        <v>0.15188586753424438</v>
      </c>
      <c r="W68" s="89">
        <f t="shared" si="48"/>
        <v>0.18</v>
      </c>
      <c r="X68" s="90" t="str">
        <f t="shared" si="49"/>
        <v>kg CO2/kg FeCl3</v>
      </c>
      <c r="Y68" s="88">
        <f t="shared" si="50"/>
        <v>0</v>
      </c>
      <c r="Z68" s="91">
        <f>($Q68*W68)/1000</f>
        <v>1169.7631199999998</v>
      </c>
      <c r="AA68" s="91">
        <f t="shared" si="51"/>
        <v>1169.7631199999998</v>
      </c>
      <c r="AB68" s="88">
        <f t="shared" si="59"/>
        <v>0.15188586753424438</v>
      </c>
      <c r="AC68" s="491">
        <f t="shared" si="60"/>
        <v>31566.801698796695</v>
      </c>
      <c r="AD68" s="92"/>
      <c r="AE68" s="90"/>
      <c r="AF68" s="88"/>
      <c r="AG68" s="93"/>
      <c r="AH68" s="91"/>
      <c r="AI68" s="88"/>
      <c r="AJ68" s="91"/>
      <c r="AK68" s="92"/>
      <c r="AL68" s="90"/>
      <c r="AM68" s="88"/>
      <c r="AN68" s="93"/>
      <c r="AO68" s="91"/>
      <c r="AP68" s="88"/>
      <c r="AQ68" s="91"/>
      <c r="AR68" s="94"/>
      <c r="AS68" s="90"/>
      <c r="AT68" s="88"/>
      <c r="AU68" s="93"/>
      <c r="AV68" s="88"/>
      <c r="AW68" s="91"/>
      <c r="AX68" s="94"/>
      <c r="AY68" s="90"/>
      <c r="AZ68" s="88"/>
      <c r="BA68" s="93"/>
      <c r="BB68" s="93"/>
      <c r="BC68" s="88"/>
      <c r="BD68" s="91"/>
      <c r="BE68" s="87">
        <f>AA68+AH68+AO68+AU68+BB68</f>
        <v>1169.7631199999998</v>
      </c>
      <c r="BF68" s="95">
        <f t="shared" si="52"/>
        <v>0.15188586753424438</v>
      </c>
      <c r="BG68" s="242">
        <f t="shared" si="53"/>
        <v>31566.801698796695</v>
      </c>
    </row>
    <row r="69" spans="1:133" ht="14" x14ac:dyDescent="0.25">
      <c r="B69" s="100" t="s">
        <v>233</v>
      </c>
      <c r="C69" s="100"/>
      <c r="D69" s="100"/>
      <c r="E69" s="100"/>
      <c r="F69" s="100"/>
      <c r="G69" s="100"/>
      <c r="H69" s="100"/>
      <c r="I69" s="100"/>
      <c r="J69" s="100"/>
      <c r="K69" s="100"/>
      <c r="L69" s="100"/>
      <c r="M69" s="100"/>
      <c r="N69" s="100"/>
      <c r="O69" s="100"/>
      <c r="P69" s="100"/>
      <c r="Q69" s="100"/>
      <c r="R69" s="100"/>
      <c r="S69" s="100"/>
      <c r="T69" s="100"/>
      <c r="U69" s="100"/>
      <c r="V69" s="100"/>
      <c r="W69" s="100"/>
      <c r="X69" s="100"/>
      <c r="Y69" s="100"/>
      <c r="Z69" s="102"/>
      <c r="AA69" s="103">
        <f>SUM(AA59:AA68)</f>
        <v>9420.5379100000009</v>
      </c>
      <c r="AB69" s="104">
        <f>IF(AA69&gt;0,SQRT(SUM(AC59:AC68))/AA69,0)</f>
        <v>0.10584562516199295</v>
      </c>
      <c r="AC69" s="490">
        <f>(AA69*AB69)^2</f>
        <v>994253.72760702157</v>
      </c>
      <c r="AD69" s="105"/>
      <c r="AE69" s="100"/>
      <c r="AF69" s="100"/>
      <c r="AG69" s="106"/>
      <c r="AH69" s="103">
        <f>SUM(AH59:AH68)</f>
        <v>0</v>
      </c>
      <c r="AI69" s="104">
        <f>IF(AH69&gt;0,SQRT(SUM(AJ59:AJ68))/AH69,0)</f>
        <v>0</v>
      </c>
      <c r="AJ69" s="103">
        <f>(AH69*AI69)^2</f>
        <v>0</v>
      </c>
      <c r="AK69" s="100"/>
      <c r="AL69" s="100"/>
      <c r="AM69" s="100"/>
      <c r="AN69" s="100"/>
      <c r="AO69" s="103">
        <f>SUM(AO59:AO68)</f>
        <v>0</v>
      </c>
      <c r="AP69" s="104">
        <f>IF(AO69&gt;0,SQRT(SUM(AQ59:AQ68))/AO69,0)</f>
        <v>0</v>
      </c>
      <c r="AQ69" s="103">
        <f>(AO69*AP69)^2</f>
        <v>0</v>
      </c>
      <c r="AR69" s="100"/>
      <c r="AS69" s="100"/>
      <c r="AT69" s="100"/>
      <c r="AU69" s="103">
        <f>SUM(AU59:AU68)</f>
        <v>0</v>
      </c>
      <c r="AV69" s="104">
        <f>IF(AU69&gt;0,SQRT(SUM(AW59:AW68))/AU69,0)</f>
        <v>0</v>
      </c>
      <c r="AW69" s="103">
        <f>(AU69*AV69)^2</f>
        <v>0</v>
      </c>
      <c r="AX69" s="100"/>
      <c r="AY69" s="100"/>
      <c r="AZ69" s="107"/>
      <c r="BA69" s="108"/>
      <c r="BB69" s="103">
        <f>SUM(BB59:BB68)</f>
        <v>0</v>
      </c>
      <c r="BC69" s="104">
        <f>IF(BB69&gt;0,SQRT(SUM(BD59:BD68))/BB69,0)</f>
        <v>0</v>
      </c>
      <c r="BD69" s="103">
        <f>(BB69*BC69)^2</f>
        <v>0</v>
      </c>
      <c r="BE69" s="103">
        <f>SUM(BE59:BE68)</f>
        <v>9420.5379100000009</v>
      </c>
      <c r="BF69" s="104">
        <f>IF(BE69&gt;0,SQRT(SUM(BG59:BG68))/BE69,0)</f>
        <v>0.10584562516199295</v>
      </c>
      <c r="BG69" s="235">
        <f t="shared" si="53"/>
        <v>994253.72760702157</v>
      </c>
    </row>
    <row r="70" spans="1:133" s="36" customFormat="1" ht="21" customHeight="1" x14ac:dyDescent="0.25">
      <c r="A70" s="30"/>
      <c r="B70" s="590" t="s">
        <v>282</v>
      </c>
      <c r="C70" s="591"/>
      <c r="D70" s="591"/>
      <c r="E70" s="591"/>
      <c r="F70" s="591"/>
      <c r="G70" s="591"/>
      <c r="H70" s="591"/>
      <c r="I70" s="591"/>
      <c r="J70" s="591"/>
      <c r="K70" s="591"/>
      <c r="L70" s="591"/>
      <c r="M70" s="591"/>
      <c r="N70" s="591"/>
      <c r="O70" s="591"/>
      <c r="P70" s="591"/>
      <c r="Q70" s="591"/>
      <c r="R70" s="591"/>
      <c r="S70" s="591"/>
      <c r="T70" s="591"/>
      <c r="U70" s="591"/>
      <c r="V70" s="592"/>
      <c r="W70" s="592"/>
      <c r="X70" s="592"/>
      <c r="Y70" s="592"/>
      <c r="Z70" s="592"/>
      <c r="AA70" s="592"/>
      <c r="AB70" s="592"/>
      <c r="AC70" s="592"/>
      <c r="AD70" s="592"/>
      <c r="AE70" s="592"/>
      <c r="AF70" s="592"/>
      <c r="AG70" s="592"/>
      <c r="AH70" s="592"/>
      <c r="AI70" s="592"/>
      <c r="AJ70" s="592"/>
      <c r="AK70" s="592"/>
      <c r="AL70" s="592"/>
      <c r="AM70" s="592"/>
      <c r="AN70" s="592"/>
      <c r="AO70" s="592"/>
      <c r="AP70" s="592"/>
      <c r="AQ70" s="592"/>
      <c r="AR70" s="592"/>
      <c r="AS70" s="592"/>
      <c r="AT70" s="592"/>
      <c r="AU70" s="592"/>
      <c r="AV70" s="592"/>
      <c r="AW70" s="592"/>
      <c r="AX70" s="592"/>
      <c r="AY70" s="592"/>
      <c r="AZ70" s="592"/>
      <c r="BA70" s="592"/>
      <c r="BB70" s="592"/>
      <c r="BC70" s="592"/>
      <c r="BD70" s="592"/>
      <c r="BE70" s="592"/>
      <c r="BF70" s="593"/>
      <c r="BG70" s="235"/>
      <c r="BI70" s="37"/>
      <c r="BJ70" s="37"/>
      <c r="BK70" s="37"/>
      <c r="BL70" s="38"/>
      <c r="BM70" s="38"/>
      <c r="BN70" s="38"/>
      <c r="BO70" s="37"/>
      <c r="BP70" s="37"/>
      <c r="BQ70" s="37"/>
      <c r="BR70" s="37"/>
      <c r="BS70" s="37"/>
      <c r="BT70" s="37"/>
      <c r="BU70" s="37"/>
      <c r="BV70" s="37"/>
      <c r="BW70" s="37"/>
      <c r="BX70" s="37"/>
      <c r="BY70" s="37"/>
      <c r="BZ70" s="37"/>
      <c r="CA70" s="39"/>
      <c r="CB70" s="37"/>
      <c r="CC70" s="37"/>
      <c r="CD70" s="39"/>
      <c r="CE70" s="39"/>
      <c r="CF70" s="39"/>
      <c r="CG70" s="39"/>
      <c r="CH70" s="37"/>
      <c r="CI70" s="37"/>
      <c r="CJ70" s="39"/>
      <c r="CK70" s="39"/>
      <c r="CL70" s="39"/>
      <c r="CM70" s="40"/>
      <c r="CN70" s="41"/>
      <c r="CO70" s="41"/>
      <c r="CP70" s="42"/>
      <c r="CQ70" s="42"/>
      <c r="CR70" s="42"/>
      <c r="CS70" s="42"/>
      <c r="CT70" s="42"/>
      <c r="CU70" s="42"/>
      <c r="CV70" s="42"/>
      <c r="CW70" s="42"/>
      <c r="CX70" s="42"/>
      <c r="CY70" s="42"/>
      <c r="CZ70" s="42"/>
      <c r="DA70" s="42"/>
      <c r="DB70" s="42"/>
      <c r="DC70" s="42"/>
      <c r="DD70" s="42"/>
      <c r="DE70" s="42"/>
      <c r="DF70" s="42"/>
      <c r="DG70" s="42"/>
      <c r="DH70" s="42"/>
      <c r="DI70" s="42"/>
      <c r="DJ70" s="42"/>
      <c r="DK70" s="42"/>
      <c r="DL70" s="42"/>
      <c r="DM70" s="42"/>
      <c r="DN70" s="42"/>
      <c r="DO70" s="42"/>
      <c r="DP70" s="42"/>
      <c r="DQ70" s="42"/>
      <c r="DR70" s="42"/>
      <c r="DS70" s="42"/>
      <c r="DT70" s="42"/>
      <c r="DU70" s="42"/>
      <c r="DV70" s="43"/>
      <c r="DW70" s="43"/>
      <c r="DX70" s="43"/>
      <c r="DY70" s="43"/>
      <c r="DZ70" s="43"/>
      <c r="EA70" s="43"/>
      <c r="EB70" s="43"/>
      <c r="EC70" s="43"/>
    </row>
    <row r="71" spans="1:133" ht="40.5" x14ac:dyDescent="0.25">
      <c r="B71" s="96" t="s">
        <v>283</v>
      </c>
      <c r="C71" s="84" t="s">
        <v>284</v>
      </c>
      <c r="D71" s="85" t="s">
        <v>272</v>
      </c>
      <c r="E71" s="97">
        <v>41765</v>
      </c>
      <c r="F71" s="97">
        <v>41135</v>
      </c>
      <c r="G71" s="97">
        <v>47995</v>
      </c>
      <c r="H71" s="97">
        <v>48085</v>
      </c>
      <c r="I71" s="97">
        <v>44260</v>
      </c>
      <c r="J71" s="97">
        <v>48500</v>
      </c>
      <c r="K71" s="97">
        <v>46502</v>
      </c>
      <c r="L71" s="97">
        <v>42162</v>
      </c>
      <c r="M71" s="97">
        <v>41027</v>
      </c>
      <c r="N71" s="97">
        <v>41011</v>
      </c>
      <c r="O71" s="97">
        <v>38279</v>
      </c>
      <c r="P71" s="97">
        <v>38708</v>
      </c>
      <c r="Q71" s="87">
        <f>SUM(E71:P71)</f>
        <v>519429</v>
      </c>
      <c r="R71" s="85">
        <f>COUNT(E71:P71)</f>
        <v>12</v>
      </c>
      <c r="S71" s="87">
        <f>IF(R71&gt;1,AVERAGE(E71:P71),0)</f>
        <v>43285.75</v>
      </c>
      <c r="T71" s="87">
        <f>IF(R71&gt;1,STDEV(E71:P71),0)</f>
        <v>3670.4305698625903</v>
      </c>
      <c r="U71" s="87">
        <f>IF(R71&gt;1,VLOOKUP($R71,$BH$445:$BI$457,2,FALSE),0)</f>
        <v>2.2000000000000002</v>
      </c>
      <c r="V71" s="88">
        <f>IF(R71&gt;1,1-((S71-((T71*U71)/(SQRT(R71))))/S71),VLOOKUP($C71,$BH$109:$CO$513,34,FALSE))</f>
        <v>5.3852283610823282E-2</v>
      </c>
      <c r="W71" s="499">
        <v>0</v>
      </c>
      <c r="X71" s="500">
        <v>0</v>
      </c>
      <c r="Y71" s="88">
        <v>0</v>
      </c>
      <c r="Z71" s="91">
        <f>($Q71*W71)/1000</f>
        <v>0</v>
      </c>
      <c r="AA71" s="91">
        <f>Z71*$BI$463</f>
        <v>0</v>
      </c>
      <c r="AB71" s="88">
        <f>IF(Z71&gt;0,SQRT(($V71*$V71)+(Y71*Y71)),0)</f>
        <v>0</v>
      </c>
      <c r="AC71" s="91">
        <f>(AA71*AB71)^2</f>
        <v>0</v>
      </c>
      <c r="AD71" s="89">
        <f>VLOOKUP($C71,$BH$109:$CL$513,3,FALSE)</f>
        <v>5.497666666666666E-2</v>
      </c>
      <c r="AE71" s="90" t="str">
        <f>VLOOKUP($C71,$BH$109:$CL$513,4,FALSE)</f>
        <v>kgCH4/kg húmedo</v>
      </c>
      <c r="AF71" s="88">
        <f>IF($Q71&gt;0,VLOOKUP($C71,$BH$109:$CL$513,24,FALSE),0)</f>
        <v>0</v>
      </c>
      <c r="AG71" s="93">
        <f>($Q71*AD71)/1000</f>
        <v>28.556474989999995</v>
      </c>
      <c r="AH71" s="91">
        <f>AG71*$BI$464</f>
        <v>799.58129971999983</v>
      </c>
      <c r="AI71" s="88">
        <f>IF(AG71&gt;0,SQRT(($V71*$V71)+(AF71*AF71)),0)</f>
        <v>5.3852283610823282E-2</v>
      </c>
      <c r="AJ71" s="91">
        <f>(AH71*AI71)^2</f>
        <v>1854.1015013198078</v>
      </c>
      <c r="AK71" s="92">
        <f>VLOOKUP($C71,$BH$109:$CL$513,27,FALSE)</f>
        <v>0</v>
      </c>
      <c r="AL71" s="90">
        <f>VLOOKUP($C71,$BH$109:$CL$513,28,FALSE)</f>
        <v>0</v>
      </c>
      <c r="AM71" s="88">
        <f>IF($Q71&gt;0,VLOOKUP($C71,$BH$109:$CL$513,30,FALSE),0)</f>
        <v>0</v>
      </c>
      <c r="AN71" s="93">
        <f>($Q71*AK71)/1000</f>
        <v>0</v>
      </c>
      <c r="AO71" s="91">
        <f>AN71*$BI$465</f>
        <v>0</v>
      </c>
      <c r="AP71" s="88">
        <f>IF(AN71&gt;0,SQRT(($V71*$V71)+(AM71*AM71)),0)</f>
        <v>0</v>
      </c>
      <c r="AQ71" s="91">
        <f>(AO71*AP71)^2</f>
        <v>0</v>
      </c>
      <c r="AR71" s="94">
        <v>0</v>
      </c>
      <c r="AS71" s="90">
        <v>0</v>
      </c>
      <c r="AT71" s="88">
        <f>IF($Q71&gt;0,VLOOKUP($C71,$BH$109:$CL$513,6,FALSE),0)</f>
        <v>0.3</v>
      </c>
      <c r="AU71" s="93">
        <f>($Q71*AR71)/1000</f>
        <v>0</v>
      </c>
      <c r="AV71" s="88">
        <f>IF(AU71&gt;0,SQRT(($V71*$V71)+(AT71*AT71)),0)</f>
        <v>0</v>
      </c>
      <c r="AW71" s="91">
        <f>(AU71*AV71)^2</f>
        <v>0</v>
      </c>
      <c r="AX71" s="94">
        <v>0</v>
      </c>
      <c r="AY71" s="90">
        <v>0</v>
      </c>
      <c r="AZ71" s="88">
        <v>0</v>
      </c>
      <c r="BA71" s="93">
        <f>($Q71*AX71)/1000</f>
        <v>0</v>
      </c>
      <c r="BB71" s="93">
        <f>BA71*$BI$466</f>
        <v>0</v>
      </c>
      <c r="BC71" s="88">
        <f>IF(BA71&gt;0,SQRT(($V71*$V71)+(AZ71*AZ71)),0)</f>
        <v>0</v>
      </c>
      <c r="BD71" s="91">
        <f>(BB71*BC71)^2</f>
        <v>0</v>
      </c>
      <c r="BE71" s="87">
        <f>AA71+AH71+AO71+AU71+BB71</f>
        <v>799.58129971999983</v>
      </c>
      <c r="BF71" s="95">
        <f>IF(BE71&gt;0,SQRT(AC71+AJ71+AQ71+AW71+BD71)/BE71,0)</f>
        <v>5.3852283610823282E-2</v>
      </c>
      <c r="BG71" s="242">
        <f>(BE71*BF71)^2</f>
        <v>1854.1015013198078</v>
      </c>
    </row>
    <row r="72" spans="1:133" ht="27" customHeight="1" x14ac:dyDescent="0.25">
      <c r="B72" s="96" t="s">
        <v>285</v>
      </c>
      <c r="C72" s="112" t="s">
        <v>286</v>
      </c>
      <c r="D72" s="85" t="s">
        <v>272</v>
      </c>
      <c r="E72" s="97"/>
      <c r="F72" s="97"/>
      <c r="G72" s="97"/>
      <c r="H72" s="97"/>
      <c r="I72" s="97"/>
      <c r="J72" s="97"/>
      <c r="K72" s="97"/>
      <c r="L72" s="97"/>
      <c r="M72" s="97"/>
      <c r="N72" s="97"/>
      <c r="O72" s="97"/>
      <c r="P72" s="97"/>
      <c r="Q72" s="87">
        <v>11200</v>
      </c>
      <c r="R72" s="85">
        <v>12</v>
      </c>
      <c r="S72" s="87">
        <f t="shared" ref="S72:S73" si="63">Q72/R72</f>
        <v>933.33333333333337</v>
      </c>
      <c r="T72" s="87"/>
      <c r="U72" s="87"/>
      <c r="V72" s="88"/>
      <c r="W72" s="300">
        <f>VLOOKUP($C72,$BH$110:$CL$512,3,FALSE)</f>
        <v>2.4300000000000002</v>
      </c>
      <c r="X72" s="493" t="str">
        <f>VLOOKUP($C72,$BH$110:$CL$512,4,FALSE)</f>
        <v>kg CO2e/kg residuos</v>
      </c>
      <c r="Y72" s="494">
        <f>IF($Q72&gt;0,VLOOKUP($C72,$BH$110:$CL$512,6,FALSE),0)</f>
        <v>0</v>
      </c>
      <c r="Z72" s="495">
        <f>($Q72*W72)/1000</f>
        <v>27.216000000000001</v>
      </c>
      <c r="AA72" s="495">
        <f>Z72*$BI$463</f>
        <v>27.216000000000001</v>
      </c>
      <c r="AB72" s="494">
        <f>IF(Z72&gt;0,SQRT(($V72*$V72)+(Y72*Y72)),0)</f>
        <v>0</v>
      </c>
      <c r="AC72" s="495">
        <f>(AA72*AB72)^2</f>
        <v>0</v>
      </c>
      <c r="AD72" s="98"/>
      <c r="AE72" s="496"/>
      <c r="AF72" s="88"/>
      <c r="AG72" s="93"/>
      <c r="AH72" s="91"/>
      <c r="AI72" s="88"/>
      <c r="AJ72" s="91"/>
      <c r="AK72" s="92"/>
      <c r="AL72" s="90"/>
      <c r="AM72" s="88"/>
      <c r="AN72" s="93"/>
      <c r="AO72" s="91"/>
      <c r="AP72" s="88"/>
      <c r="AQ72" s="91"/>
      <c r="AR72" s="94"/>
      <c r="AS72" s="90"/>
      <c r="AT72" s="88"/>
      <c r="AU72" s="93"/>
      <c r="AV72" s="88"/>
      <c r="AW72" s="91"/>
      <c r="AX72" s="94"/>
      <c r="AY72" s="90"/>
      <c r="AZ72" s="88"/>
      <c r="BA72" s="93"/>
      <c r="BB72" s="93"/>
      <c r="BC72" s="88"/>
      <c r="BD72" s="91"/>
      <c r="BE72" s="498">
        <f>AA72+AH72+AO72+AU72+BB72</f>
        <v>27.216000000000001</v>
      </c>
      <c r="BF72" s="221">
        <f>IF(BE72&gt;0,7.1%,0)</f>
        <v>7.0999999999999994E-2</v>
      </c>
      <c r="BG72" s="242">
        <f>(BE72*BF72)^2</f>
        <v>3.7339224168959992</v>
      </c>
    </row>
    <row r="73" spans="1:133" ht="27" customHeight="1" x14ac:dyDescent="0.25">
      <c r="B73" s="96" t="s">
        <v>285</v>
      </c>
      <c r="C73" s="112" t="s">
        <v>287</v>
      </c>
      <c r="D73" s="85" t="s">
        <v>272</v>
      </c>
      <c r="E73" s="97"/>
      <c r="F73" s="97"/>
      <c r="G73" s="97"/>
      <c r="H73" s="97"/>
      <c r="I73" s="97"/>
      <c r="J73" s="97"/>
      <c r="K73" s="97"/>
      <c r="L73" s="97"/>
      <c r="M73" s="97"/>
      <c r="N73" s="97"/>
      <c r="O73" s="97"/>
      <c r="P73" s="97"/>
      <c r="Q73" s="87">
        <v>5881</v>
      </c>
      <c r="R73" s="85">
        <v>12</v>
      </c>
      <c r="S73" s="87">
        <f t="shared" si="63"/>
        <v>490.08333333333331</v>
      </c>
      <c r="T73" s="87"/>
      <c r="U73" s="87"/>
      <c r="V73" s="88"/>
      <c r="W73" s="300">
        <f>VLOOKUP($C73,$BH$110:$CL$512,3,FALSE)</f>
        <v>0.19</v>
      </c>
      <c r="X73" s="493" t="str">
        <f>VLOOKUP($C73,$BH$110:$CL$512,4,FALSE)</f>
        <v>kg CO2e/kg residuos</v>
      </c>
      <c r="Y73" s="494">
        <f>IF($Q73&gt;0,VLOOKUP($C73,$BH$110:$CL$512,6,FALSE),0)</f>
        <v>0</v>
      </c>
      <c r="Z73" s="495">
        <f>($Q73*W73)/1000</f>
        <v>1.1173900000000001</v>
      </c>
      <c r="AA73" s="495">
        <f>Z73*$BI$463</f>
        <v>1.1173900000000001</v>
      </c>
      <c r="AB73" s="494">
        <f>IF(Z73&gt;0,SQRT(($V73*$V73)+(Y73*Y73)),0)</f>
        <v>0</v>
      </c>
      <c r="AC73" s="495">
        <f>(AA73*AB73)^2</f>
        <v>0</v>
      </c>
      <c r="AD73" s="98"/>
      <c r="AE73" s="496"/>
      <c r="AF73" s="88"/>
      <c r="AG73" s="93"/>
      <c r="AH73" s="91"/>
      <c r="AI73" s="88"/>
      <c r="AJ73" s="91"/>
      <c r="AK73" s="92"/>
      <c r="AL73" s="90"/>
      <c r="AM73" s="88"/>
      <c r="AN73" s="93"/>
      <c r="AO73" s="91"/>
      <c r="AP73" s="88"/>
      <c r="AQ73" s="91"/>
      <c r="AR73" s="94"/>
      <c r="AS73" s="90"/>
      <c r="AT73" s="88"/>
      <c r="AU73" s="93"/>
      <c r="AV73" s="88"/>
      <c r="AW73" s="91"/>
      <c r="AX73" s="94"/>
      <c r="AY73" s="90"/>
      <c r="AZ73" s="88"/>
      <c r="BA73" s="93"/>
      <c r="BB73" s="93"/>
      <c r="BC73" s="88"/>
      <c r="BD73" s="91"/>
      <c r="BE73" s="498">
        <f>AA73+AH73+AO73+AU73+BB73</f>
        <v>1.1173900000000001</v>
      </c>
      <c r="BF73" s="221">
        <f>IF(BE73&gt;0,7.1%,0)</f>
        <v>7.0999999999999994E-2</v>
      </c>
      <c r="BG73" s="242">
        <f>(BE73*BF73)^2</f>
        <v>6.2939930373960996E-3</v>
      </c>
    </row>
    <row r="74" spans="1:133" ht="14" x14ac:dyDescent="0.25">
      <c r="B74" s="100" t="s">
        <v>233</v>
      </c>
      <c r="C74" s="100"/>
      <c r="D74" s="100"/>
      <c r="E74" s="100"/>
      <c r="F74" s="100"/>
      <c r="G74" s="100"/>
      <c r="H74" s="100"/>
      <c r="I74" s="100"/>
      <c r="J74" s="100"/>
      <c r="K74" s="100"/>
      <c r="L74" s="100"/>
      <c r="M74" s="100"/>
      <c r="N74" s="100"/>
      <c r="O74" s="100"/>
      <c r="P74" s="100"/>
      <c r="Q74" s="497">
        <f>Q73+Q72</f>
        <v>17081</v>
      </c>
      <c r="R74" s="100"/>
      <c r="S74" s="100"/>
      <c r="T74" s="100"/>
      <c r="U74" s="100"/>
      <c r="V74" s="100"/>
      <c r="W74" s="100"/>
      <c r="X74" s="100"/>
      <c r="Y74" s="100"/>
      <c r="Z74" s="102"/>
      <c r="AA74" s="103">
        <f>SUM(AA71:AA73)</f>
        <v>28.333390000000001</v>
      </c>
      <c r="AB74" s="104">
        <f>IF(AA74&gt;0,SQRT(SUM(AC71:AC73))/AA74,0)</f>
        <v>0</v>
      </c>
      <c r="AC74" s="103">
        <f>(AA74*AB74)^2</f>
        <v>0</v>
      </c>
      <c r="AD74" s="105"/>
      <c r="AE74" s="100"/>
      <c r="AF74" s="100"/>
      <c r="AG74" s="106"/>
      <c r="AH74" s="103">
        <f>SUM(AH71:AH73)</f>
        <v>799.58129971999983</v>
      </c>
      <c r="AI74" s="104">
        <f>IF(AH74&gt;0,SQRT(SUM(AJ71:AJ73))/AH74,0)</f>
        <v>5.3852283610823282E-2</v>
      </c>
      <c r="AJ74" s="103">
        <f>(AH74*AI74)^2</f>
        <v>1854.1015013198078</v>
      </c>
      <c r="AK74" s="100"/>
      <c r="AL74" s="100"/>
      <c r="AM74" s="100"/>
      <c r="AN74" s="100"/>
      <c r="AO74" s="103">
        <f>SUM(AO71:AO73)</f>
        <v>0</v>
      </c>
      <c r="AP74" s="104">
        <f>IF(AO74&gt;0,SQRT(SUM(AQ71:AQ73))/AO74,0)</f>
        <v>0</v>
      </c>
      <c r="AQ74" s="103">
        <f>(AO74*AP74)^2</f>
        <v>0</v>
      </c>
      <c r="AR74" s="100"/>
      <c r="AS74" s="100"/>
      <c r="AT74" s="100"/>
      <c r="AU74" s="103">
        <f>SUM(AU71:AU73)</f>
        <v>0</v>
      </c>
      <c r="AV74" s="104">
        <f>IF(AU74&gt;0,SQRT(SUM(AW71:AW73))/AU74,0)</f>
        <v>0</v>
      </c>
      <c r="AW74" s="103">
        <f>(AU74*AV74)^2</f>
        <v>0</v>
      </c>
      <c r="AX74" s="100"/>
      <c r="AY74" s="100"/>
      <c r="AZ74" s="107"/>
      <c r="BA74" s="108"/>
      <c r="BB74" s="103">
        <f>SUM(BB71:BB73)</f>
        <v>0</v>
      </c>
      <c r="BC74" s="104">
        <f>IF(BB74&gt;0,SQRT(SUM(BD71:BD73))/BB74,0)</f>
        <v>0</v>
      </c>
      <c r="BD74" s="103">
        <f>(BB74*BC74)^2</f>
        <v>0</v>
      </c>
      <c r="BE74" s="103">
        <f>SUM(BE71:BE73)</f>
        <v>827.91468971999984</v>
      </c>
      <c r="BF74" s="104">
        <f>IF(BE74&gt;0,SQRT(SUM(BG71:BG73))/BE74,0)</f>
        <v>5.2061750554841954E-2</v>
      </c>
      <c r="BG74" s="242">
        <f>(BE74*BF74)^2</f>
        <v>1857.8417177297408</v>
      </c>
    </row>
    <row r="75" spans="1:133" s="36" customFormat="1" ht="21" customHeight="1" x14ac:dyDescent="0.25">
      <c r="A75" s="30"/>
      <c r="B75" s="590" t="s">
        <v>288</v>
      </c>
      <c r="C75" s="591"/>
      <c r="D75" s="591"/>
      <c r="E75" s="591"/>
      <c r="F75" s="591"/>
      <c r="G75" s="591"/>
      <c r="H75" s="591"/>
      <c r="I75" s="591"/>
      <c r="J75" s="591"/>
      <c r="K75" s="591"/>
      <c r="L75" s="591"/>
      <c r="M75" s="591"/>
      <c r="N75" s="591"/>
      <c r="O75" s="591"/>
      <c r="P75" s="591"/>
      <c r="Q75" s="591"/>
      <c r="R75" s="591"/>
      <c r="S75" s="591"/>
      <c r="T75" s="591"/>
      <c r="U75" s="591"/>
      <c r="V75" s="592"/>
      <c r="W75" s="592"/>
      <c r="X75" s="592"/>
      <c r="Y75" s="592"/>
      <c r="Z75" s="592"/>
      <c r="AA75" s="592"/>
      <c r="AB75" s="592"/>
      <c r="AC75" s="592"/>
      <c r="AD75" s="592"/>
      <c r="AE75" s="592"/>
      <c r="AF75" s="592"/>
      <c r="AG75" s="592"/>
      <c r="AH75" s="592"/>
      <c r="AI75" s="592"/>
      <c r="AJ75" s="592"/>
      <c r="AK75" s="592"/>
      <c r="AL75" s="592"/>
      <c r="AM75" s="592"/>
      <c r="AN75" s="592"/>
      <c r="AO75" s="592"/>
      <c r="AP75" s="592"/>
      <c r="AQ75" s="592"/>
      <c r="AR75" s="592"/>
      <c r="AS75" s="592"/>
      <c r="AT75" s="592"/>
      <c r="AU75" s="592"/>
      <c r="AV75" s="592"/>
      <c r="AW75" s="592"/>
      <c r="AX75" s="592"/>
      <c r="AY75" s="592"/>
      <c r="AZ75" s="592"/>
      <c r="BA75" s="592"/>
      <c r="BB75" s="592"/>
      <c r="BC75" s="592"/>
      <c r="BD75" s="592"/>
      <c r="BE75" s="592"/>
      <c r="BF75" s="593"/>
      <c r="BG75" s="235"/>
      <c r="BI75" s="37"/>
      <c r="BJ75" s="37"/>
      <c r="BK75" s="37"/>
      <c r="BL75" s="38"/>
      <c r="BM75" s="38"/>
      <c r="BN75" s="38"/>
      <c r="BO75" s="37"/>
      <c r="BP75" s="37"/>
      <c r="BQ75" s="37"/>
      <c r="BR75" s="37"/>
      <c r="BS75" s="37"/>
      <c r="BT75" s="37"/>
      <c r="BU75" s="37"/>
      <c r="BV75" s="37"/>
      <c r="BW75" s="37"/>
      <c r="BX75" s="37"/>
      <c r="BY75" s="37"/>
      <c r="BZ75" s="37"/>
      <c r="CA75" s="39"/>
      <c r="CB75" s="37"/>
      <c r="CC75" s="37"/>
      <c r="CD75" s="39"/>
      <c r="CE75" s="39"/>
      <c r="CF75" s="39"/>
      <c r="CG75" s="39"/>
      <c r="CH75" s="37"/>
      <c r="CI75" s="37"/>
      <c r="CJ75" s="39"/>
      <c r="CK75" s="39"/>
      <c r="CL75" s="39"/>
      <c r="CM75" s="40"/>
      <c r="CN75" s="41"/>
      <c r="CO75" s="41"/>
      <c r="CP75" s="42"/>
      <c r="CQ75" s="42"/>
      <c r="CR75" s="42"/>
      <c r="CS75" s="42"/>
      <c r="CT75" s="42"/>
      <c r="CU75" s="42"/>
      <c r="CV75" s="42"/>
      <c r="CW75" s="42"/>
      <c r="CX75" s="42"/>
      <c r="CY75" s="42"/>
      <c r="CZ75" s="42"/>
      <c r="DA75" s="42"/>
      <c r="DB75" s="42"/>
      <c r="DC75" s="42"/>
      <c r="DD75" s="42"/>
      <c r="DE75" s="42"/>
      <c r="DF75" s="42"/>
      <c r="DG75" s="42"/>
      <c r="DH75" s="42"/>
      <c r="DI75" s="42"/>
      <c r="DJ75" s="42"/>
      <c r="DK75" s="42"/>
      <c r="DL75" s="42"/>
      <c r="DM75" s="42"/>
      <c r="DN75" s="42"/>
      <c r="DO75" s="42"/>
      <c r="DP75" s="42"/>
      <c r="DQ75" s="42"/>
      <c r="DR75" s="42"/>
      <c r="DS75" s="42"/>
      <c r="DT75" s="42"/>
      <c r="DU75" s="42"/>
      <c r="DV75" s="43"/>
      <c r="DW75" s="43"/>
      <c r="DX75" s="43"/>
      <c r="DY75" s="43"/>
      <c r="DZ75" s="43"/>
      <c r="EA75" s="43"/>
      <c r="EB75" s="43"/>
      <c r="EC75" s="43"/>
    </row>
    <row r="76" spans="1:133" x14ac:dyDescent="0.25">
      <c r="B76" s="96" t="s">
        <v>289</v>
      </c>
      <c r="C76" s="84" t="s">
        <v>290</v>
      </c>
      <c r="D76" s="85" t="s">
        <v>272</v>
      </c>
      <c r="E76" s="97">
        <v>5803.9530000000004</v>
      </c>
      <c r="F76" s="97">
        <v>5781.777</v>
      </c>
      <c r="G76" s="97">
        <v>5278.732</v>
      </c>
      <c r="H76" s="97">
        <v>6044.9179999999997</v>
      </c>
      <c r="I76" s="97">
        <v>4973.76</v>
      </c>
      <c r="J76" s="97">
        <v>4954.5140000000001</v>
      </c>
      <c r="K76" s="97">
        <v>6119.5050000000001</v>
      </c>
      <c r="L76" s="97">
        <v>5801.567</v>
      </c>
      <c r="M76" s="97">
        <v>5904.5280000000002</v>
      </c>
      <c r="N76" s="97">
        <v>5686.4219999999996</v>
      </c>
      <c r="O76" s="97">
        <v>4931.4709999999995</v>
      </c>
      <c r="P76" s="97">
        <v>5545.2849999999999</v>
      </c>
      <c r="Q76" s="87">
        <f>SUM(E76:P76)</f>
        <v>66826.432000000001</v>
      </c>
      <c r="R76" s="85">
        <f>COUNT(E76:P76)</f>
        <v>12</v>
      </c>
      <c r="S76" s="87">
        <f>IF(R76&gt;1,AVERAGE(E76:P76),0)</f>
        <v>5568.8693333333331</v>
      </c>
      <c r="T76" s="87">
        <f>IF(R76&gt;1,STDEV(E76:P76),0)</f>
        <v>429.97353743570045</v>
      </c>
      <c r="U76" s="87">
        <f>IF(R76&gt;1,VLOOKUP($R76,$BH$445:$BI$457,2,FALSE),0)</f>
        <v>2.2000000000000002</v>
      </c>
      <c r="V76" s="88">
        <f>IF(R76&gt;1,1-((S76-((T76*U76)/(SQRT(R76))))/S76),VLOOKUP($C76,$BH$109:$CO$513,34,FALSE))</f>
        <v>4.9035065288155932E-2</v>
      </c>
      <c r="W76" s="89">
        <f>VLOOKUP($C76,$BH$109:$CL$513,3,FALSE)</f>
        <v>1.05</v>
      </c>
      <c r="X76" s="90" t="str">
        <f>VLOOKUP($C76,$BH$109:$CL$513,4,FALSE)</f>
        <v>kgCO2 e/kg</v>
      </c>
      <c r="Y76" s="88">
        <f>IF($Q76&gt;0,VLOOKUP($C76,$BH$109:$CL$513,6,FALSE),0)</f>
        <v>0.5</v>
      </c>
      <c r="Z76" s="91">
        <f>($Q76*W76)/1000</f>
        <v>70.167753600000012</v>
      </c>
      <c r="AA76" s="91">
        <f>Z76*$BI$463</f>
        <v>70.167753600000012</v>
      </c>
      <c r="AB76" s="88">
        <f>IF(Z76&gt;0,SQRT(($V76*$V76)+(Y76*Y76)),0)</f>
        <v>0.50239868394315457</v>
      </c>
      <c r="AC76" s="91">
        <f>(AA76*AB76)^2</f>
        <v>1242.7166927873211</v>
      </c>
      <c r="AD76" s="92">
        <f>VLOOKUP($C76,$BH$109:$CL$513,21,FALSE)</f>
        <v>0</v>
      </c>
      <c r="AE76" s="90">
        <f>VLOOKUP($C76,$BH$109:$CL$513,22,FALSE)</f>
        <v>0</v>
      </c>
      <c r="AF76" s="88">
        <f>IF($Q76&gt;0,VLOOKUP($C76,$BH$109:$CL$513,24,FALSE),0)</f>
        <v>0</v>
      </c>
      <c r="AG76" s="93">
        <f>($Q76*AD76)/1000</f>
        <v>0</v>
      </c>
      <c r="AH76" s="91">
        <f>AG76*$BI$464</f>
        <v>0</v>
      </c>
      <c r="AI76" s="88">
        <f>IF(AG76&gt;0,SQRT(($V76*$V76)+(AF76*AF76)),0)</f>
        <v>0</v>
      </c>
      <c r="AJ76" s="91">
        <f>(AH76*AI76)^2</f>
        <v>0</v>
      </c>
      <c r="AK76" s="92">
        <f>VLOOKUP($C76,$BH$109:$CL$513,27,FALSE)</f>
        <v>0</v>
      </c>
      <c r="AL76" s="90">
        <f>VLOOKUP($C76,$BH$109:$CL$513,28,FALSE)</f>
        <v>0</v>
      </c>
      <c r="AM76" s="88">
        <f>IF($Q76&gt;0,VLOOKUP($C76,$BH$109:$CL$513,30,FALSE),0)</f>
        <v>0</v>
      </c>
      <c r="AN76" s="93">
        <f>($Q76*AK76)/1000</f>
        <v>0</v>
      </c>
      <c r="AO76" s="91">
        <f>AN76*$BI$465</f>
        <v>0</v>
      </c>
      <c r="AP76" s="88">
        <f>IF(AN76&gt;0,SQRT(($V76*$V76)+(AM76*AM76)),0)</f>
        <v>0</v>
      </c>
      <c r="AQ76" s="91">
        <f>(AO76*AP76)^2</f>
        <v>0</v>
      </c>
      <c r="AR76" s="94">
        <v>0</v>
      </c>
      <c r="AS76" s="90">
        <v>0</v>
      </c>
      <c r="AT76" s="88">
        <f>IF($Q76&gt;0,VLOOKUP($C76,$BH$109:$CL$513,6,FALSE),0)</f>
        <v>0.5</v>
      </c>
      <c r="AU76" s="93">
        <f>($Q76*AR76)/1000</f>
        <v>0</v>
      </c>
      <c r="AV76" s="88">
        <f>IF(AU76&gt;0,SQRT(($V76*$V76)+(AT76*AT76)),0)</f>
        <v>0</v>
      </c>
      <c r="AW76" s="91">
        <f>(AU76*AV76)^2</f>
        <v>0</v>
      </c>
      <c r="AX76" s="94">
        <v>0</v>
      </c>
      <c r="AY76" s="90">
        <v>0</v>
      </c>
      <c r="AZ76" s="88">
        <v>0</v>
      </c>
      <c r="BA76" s="93">
        <f>($Q76*AX76)/1000</f>
        <v>0</v>
      </c>
      <c r="BB76" s="93">
        <f>BA76*$BI$466</f>
        <v>0</v>
      </c>
      <c r="BC76" s="88">
        <f>IF(BA76&gt;0,SQRT(($V76*$V76)+(AZ76*AZ76)),0)</f>
        <v>0</v>
      </c>
      <c r="BD76" s="91">
        <f>(BB76*BC76)^2</f>
        <v>0</v>
      </c>
      <c r="BE76" s="87">
        <f>AA76+AH76+AO76+AU76+BB76</f>
        <v>70.167753600000012</v>
      </c>
      <c r="BF76" s="95">
        <f>IF(BE76&gt;0,SQRT(AC76+AJ76+AQ76+AW76+BD76)/BE76,0)</f>
        <v>0.50239868394315457</v>
      </c>
      <c r="BG76" s="242">
        <f>(BE76*BF76)^2</f>
        <v>1242.7166927873211</v>
      </c>
    </row>
    <row r="77" spans="1:133" ht="30" customHeight="1" x14ac:dyDescent="0.25">
      <c r="B77" s="96" t="s">
        <v>291</v>
      </c>
      <c r="C77" s="84" t="s">
        <v>292</v>
      </c>
      <c r="D77" s="85" t="s">
        <v>272</v>
      </c>
      <c r="E77" s="97">
        <v>0</v>
      </c>
      <c r="F77" s="97">
        <v>1452.6</v>
      </c>
      <c r="G77" s="97">
        <v>2170.8000000000002</v>
      </c>
      <c r="H77" s="97">
        <v>0</v>
      </c>
      <c r="I77" s="97">
        <v>0</v>
      </c>
      <c r="J77" s="97">
        <v>0</v>
      </c>
      <c r="K77" s="97">
        <v>0</v>
      </c>
      <c r="L77" s="97">
        <v>0</v>
      </c>
      <c r="M77" s="97">
        <v>1057.5</v>
      </c>
      <c r="N77" s="97">
        <v>0</v>
      </c>
      <c r="O77" s="97">
        <v>11156.1</v>
      </c>
      <c r="P77" s="97">
        <v>8057.55</v>
      </c>
      <c r="Q77" s="87">
        <f>SUM(E77:P77)</f>
        <v>23894.55</v>
      </c>
      <c r="R77" s="85">
        <f>COUNT(E77:P77)</f>
        <v>12</v>
      </c>
      <c r="S77" s="87">
        <f>IF(R77&gt;1,AVERAGE(E77:P77),0)</f>
        <v>1991.2124999999999</v>
      </c>
      <c r="T77" s="87">
        <f>IF(R77&gt;1,STDEV(E77:P77),0)</f>
        <v>3689.5956691587494</v>
      </c>
      <c r="U77" s="87">
        <f>IF(R77&gt;1,VLOOKUP($R77,$BH$445:$BI$457,2,FALSE),0)</f>
        <v>2.2000000000000002</v>
      </c>
      <c r="V77" s="88">
        <f>IF(R77&gt;1,1-((S77-((T77*U77)/(SQRT(R77))))/S77),VLOOKUP($C77,$BH$109:$CO$513,34,FALSE))</f>
        <v>1.1767744316935786</v>
      </c>
      <c r="W77" s="89">
        <f>VLOOKUP($C77,$BH$109:$CL$513,3,FALSE)</f>
        <v>0.91</v>
      </c>
      <c r="X77" s="90" t="str">
        <f>VLOOKUP($C77,$BH$109:$CL$513,4,FALSE)</f>
        <v>kgCO2 e/kg</v>
      </c>
      <c r="Y77" s="88">
        <f>IF($Q77&gt;0,VLOOKUP($C77,$BH$109:$CL$513,6,FALSE),0)</f>
        <v>0.5</v>
      </c>
      <c r="Z77" s="91">
        <f>($Q77*W77)/1000</f>
        <v>21.744040500000001</v>
      </c>
      <c r="AA77" s="91">
        <f>Z77*$BI$463</f>
        <v>21.744040500000001</v>
      </c>
      <c r="AB77" s="88">
        <f>IF(Z77&gt;0,SQRT(($V77*$V77)+(Y77*Y77)),0)</f>
        <v>1.2785922192347898</v>
      </c>
      <c r="AC77" s="91">
        <f>(AA77*AB77)^2</f>
        <v>772.93791459136798</v>
      </c>
      <c r="AD77" s="92">
        <f>VLOOKUP($C77,$BH$109:$CL$513,21,FALSE)</f>
        <v>0</v>
      </c>
      <c r="AE77" s="90">
        <f>VLOOKUP($C77,$BH$109:$CL$513,22,FALSE)</f>
        <v>0</v>
      </c>
      <c r="AF77" s="88">
        <f>IF($Q77&gt;0,VLOOKUP($C77,$BH$109:$CL$513,24,FALSE),0)</f>
        <v>0</v>
      </c>
      <c r="AG77" s="93">
        <f>($Q77*AD77)/1000</f>
        <v>0</v>
      </c>
      <c r="AH77" s="91">
        <f>AG77*$BI$464</f>
        <v>0</v>
      </c>
      <c r="AI77" s="88">
        <f>IF(AG77&gt;0,SQRT(($V77*$V77)+(AF77*AF77)),0)</f>
        <v>0</v>
      </c>
      <c r="AJ77" s="91">
        <f>(AH77*AI77)^2</f>
        <v>0</v>
      </c>
      <c r="AK77" s="92">
        <f>VLOOKUP($C77,$BH$109:$CL$513,27,FALSE)</f>
        <v>0</v>
      </c>
      <c r="AL77" s="90">
        <f>VLOOKUP($C77,$BH$109:$CL$513,28,FALSE)</f>
        <v>0</v>
      </c>
      <c r="AM77" s="88">
        <f>IF($Q77&gt;0,VLOOKUP($C77,$BH$109:$CL$513,30,FALSE),0)</f>
        <v>0</v>
      </c>
      <c r="AN77" s="93">
        <f>($Q77*AK77)/1000</f>
        <v>0</v>
      </c>
      <c r="AO77" s="91">
        <f>AN77*$BI$465</f>
        <v>0</v>
      </c>
      <c r="AP77" s="88">
        <f>IF(AN77&gt;0,SQRT(($V77*$V77)+(AM77*AM77)),0)</f>
        <v>0</v>
      </c>
      <c r="AQ77" s="91">
        <f>(AO77*AP77)^2</f>
        <v>0</v>
      </c>
      <c r="AR77" s="94">
        <v>0</v>
      </c>
      <c r="AS77" s="90">
        <v>0</v>
      </c>
      <c r="AT77" s="88">
        <f>IF($Q77&gt;0,VLOOKUP($C77,$BH$109:$CL$513,6,FALSE),0)</f>
        <v>0.5</v>
      </c>
      <c r="AU77" s="93">
        <f>($Q77*AR77)/1000</f>
        <v>0</v>
      </c>
      <c r="AV77" s="88">
        <f>IF(AU77&gt;0,SQRT(($V77*$V77)+(AT77*AT77)),0)</f>
        <v>0</v>
      </c>
      <c r="AW77" s="91">
        <f>(AU77*AV77)^2</f>
        <v>0</v>
      </c>
      <c r="AX77" s="94">
        <v>0</v>
      </c>
      <c r="AY77" s="90">
        <v>0</v>
      </c>
      <c r="AZ77" s="88">
        <v>0</v>
      </c>
      <c r="BA77" s="93">
        <f>($Q77*AX77)/1000</f>
        <v>0</v>
      </c>
      <c r="BB77" s="93">
        <f>BA77*$BI$466</f>
        <v>0</v>
      </c>
      <c r="BC77" s="88">
        <f>IF(BA77&gt;0,SQRT(($V77*$V77)+(AZ77*AZ77)),0)</f>
        <v>0</v>
      </c>
      <c r="BD77" s="91">
        <f>(BB77*BC77)^2</f>
        <v>0</v>
      </c>
      <c r="BE77" s="87">
        <f>AA77+AH77+AO77+AU77+BB77</f>
        <v>21.744040500000001</v>
      </c>
      <c r="BF77" s="95">
        <f>IF(BE77&gt;0,SQRT(AC77+AJ77+AQ77+AW77+BD77)/BE77,0)</f>
        <v>1.2785922192347898</v>
      </c>
      <c r="BG77" s="242">
        <f>(BE77*BF77)^2</f>
        <v>772.93791459136798</v>
      </c>
    </row>
    <row r="78" spans="1:133" ht="14" x14ac:dyDescent="0.25">
      <c r="B78" s="100" t="s">
        <v>233</v>
      </c>
      <c r="C78" s="100"/>
      <c r="D78" s="100"/>
      <c r="E78" s="100"/>
      <c r="F78" s="100"/>
      <c r="G78" s="100"/>
      <c r="H78" s="100"/>
      <c r="I78" s="100"/>
      <c r="J78" s="100"/>
      <c r="K78" s="100"/>
      <c r="L78" s="100"/>
      <c r="M78" s="100"/>
      <c r="N78" s="100"/>
      <c r="O78" s="100"/>
      <c r="P78" s="100"/>
      <c r="Q78" s="100"/>
      <c r="R78" s="100"/>
      <c r="S78" s="100"/>
      <c r="T78" s="100"/>
      <c r="U78" s="100"/>
      <c r="V78" s="100"/>
      <c r="W78" s="100"/>
      <c r="X78" s="100"/>
      <c r="Y78" s="100"/>
      <c r="Z78" s="102"/>
      <c r="AA78" s="103">
        <f>SUM(AA76:AA77)</f>
        <v>91.911794100000009</v>
      </c>
      <c r="AB78" s="104">
        <f>IF(AA78&gt;0,SQRT(SUM(AC76:AC77))/AA78,0)</f>
        <v>0.48846878318083459</v>
      </c>
      <c r="AC78" s="103">
        <f>(AA78*AB78)^2</f>
        <v>2015.6546073786892</v>
      </c>
      <c r="AD78" s="105"/>
      <c r="AE78" s="100"/>
      <c r="AF78" s="100"/>
      <c r="AG78" s="106"/>
      <c r="AH78" s="103">
        <f>SUM(AH76:AH77)</f>
        <v>0</v>
      </c>
      <c r="AI78" s="104">
        <f>IF(AH78&gt;0,SQRT(SUM(AJ76:AJ77))/AH78,0)</f>
        <v>0</v>
      </c>
      <c r="AJ78" s="103">
        <f>(AH78*AI78)^2</f>
        <v>0</v>
      </c>
      <c r="AK78" s="100"/>
      <c r="AL78" s="100"/>
      <c r="AM78" s="100"/>
      <c r="AN78" s="100"/>
      <c r="AO78" s="103">
        <f>SUM(AO76:AO77)</f>
        <v>0</v>
      </c>
      <c r="AP78" s="104">
        <f>IF(AO78&gt;0,SQRT(SUM(AQ76:AQ77))/AO78,0)</f>
        <v>0</v>
      </c>
      <c r="AQ78" s="103">
        <f>(AO78*AP78)^2</f>
        <v>0</v>
      </c>
      <c r="AR78" s="100"/>
      <c r="AS78" s="100"/>
      <c r="AT78" s="100"/>
      <c r="AU78" s="103">
        <f>SUM(AU76:AU77)</f>
        <v>0</v>
      </c>
      <c r="AV78" s="104">
        <f>IF(AU78&gt;0,SQRT(SUM(AW76:AW77))/AU78,0)</f>
        <v>0</v>
      </c>
      <c r="AW78" s="103">
        <f>(AU78*AV78)^2</f>
        <v>0</v>
      </c>
      <c r="AX78" s="100"/>
      <c r="AY78" s="100"/>
      <c r="AZ78" s="107"/>
      <c r="BA78" s="108"/>
      <c r="BB78" s="103">
        <f>SUM(BB76:BB77)</f>
        <v>0</v>
      </c>
      <c r="BC78" s="104">
        <f>IF(BB78&gt;0,SQRT(SUM(BD76:BD77))/BB78,0)</f>
        <v>0</v>
      </c>
      <c r="BD78" s="103">
        <f>(BB78*BC78)^2</f>
        <v>0</v>
      </c>
      <c r="BE78" s="103">
        <f>SUM(BE76:BE77)</f>
        <v>91.911794100000009</v>
      </c>
      <c r="BF78" s="104">
        <f>IF(BE78&gt;0,SQRT(SUM(BG76:BG77))/BE78,0)</f>
        <v>0.48846878318083459</v>
      </c>
      <c r="BG78" s="235">
        <f>(BE78*BF78)^2</f>
        <v>2015.6546073786892</v>
      </c>
    </row>
    <row r="79" spans="1:133" s="44" customFormat="1" ht="25.5" customHeight="1" x14ac:dyDescent="0.25">
      <c r="A79" s="30"/>
      <c r="B79" s="580" t="s">
        <v>293</v>
      </c>
      <c r="C79" s="594"/>
      <c r="D79" s="594"/>
      <c r="E79" s="216"/>
      <c r="F79" s="216"/>
      <c r="G79" s="216"/>
      <c r="H79" s="216"/>
      <c r="I79" s="216"/>
      <c r="J79" s="216"/>
      <c r="K79" s="216"/>
      <c r="L79" s="216"/>
      <c r="M79" s="216"/>
      <c r="N79" s="216"/>
      <c r="O79" s="216"/>
      <c r="P79" s="216"/>
      <c r="Q79" s="216"/>
      <c r="R79" s="216"/>
      <c r="S79" s="216"/>
      <c r="T79" s="216"/>
      <c r="U79" s="216"/>
      <c r="V79" s="216"/>
      <c r="W79" s="216"/>
      <c r="X79" s="216"/>
      <c r="Y79" s="216"/>
      <c r="Z79" s="216"/>
      <c r="AA79" s="217">
        <f>+AA78+AA74+AA69</f>
        <v>9540.7830941000011</v>
      </c>
      <c r="AB79" s="217">
        <f t="shared" ref="AB79:AC79" si="64">+AB78+AB74+AB69</f>
        <v>0.59431440834282756</v>
      </c>
      <c r="AC79" s="217">
        <f t="shared" si="64"/>
        <v>996269.38221440022</v>
      </c>
      <c r="AD79" s="216"/>
      <c r="AE79" s="216"/>
      <c r="AF79" s="216"/>
      <c r="AG79" s="216"/>
      <c r="AH79" s="217">
        <f>+AH78+AH74+AH69</f>
        <v>799.58129971999983</v>
      </c>
      <c r="AI79" s="217">
        <f>+AI78+AI74+AI69</f>
        <v>5.3852283610823282E-2</v>
      </c>
      <c r="AJ79" s="216">
        <f>(AH79*AI79)^2</f>
        <v>1854.1015013198078</v>
      </c>
      <c r="AK79" s="216"/>
      <c r="AL79" s="216"/>
      <c r="AM79" s="216"/>
      <c r="AN79" s="216"/>
      <c r="AO79" s="217">
        <f>+AO78+AO74+AO69</f>
        <v>0</v>
      </c>
      <c r="AP79" s="217">
        <f>+AP78+AP74+AP69</f>
        <v>0</v>
      </c>
      <c r="AQ79" s="167">
        <f>(AO79*AP79)^2</f>
        <v>0</v>
      </c>
      <c r="AR79" s="216"/>
      <c r="AS79" s="216"/>
      <c r="AT79" s="216"/>
      <c r="AU79" s="216"/>
      <c r="AV79" s="217">
        <f>AV69+AV74+AV78</f>
        <v>0</v>
      </c>
      <c r="AW79" s="216">
        <f>(AU79*AV79)^2</f>
        <v>0</v>
      </c>
      <c r="AX79" s="217">
        <f>AX69+AX74+AX78</f>
        <v>0</v>
      </c>
      <c r="AY79" s="216"/>
      <c r="AZ79" s="216"/>
      <c r="BA79" s="216"/>
      <c r="BB79" s="216"/>
      <c r="BC79" s="217">
        <f>+BC58+BC70++BC78</f>
        <v>0</v>
      </c>
      <c r="BD79" s="167">
        <f>(BB79*BC79)^2</f>
        <v>0</v>
      </c>
      <c r="BE79" s="217">
        <f>BE69+BE74+BE78</f>
        <v>10340.36439382</v>
      </c>
      <c r="BF79" s="218">
        <f>IF(BE79&gt;0,(SQRT(BG69+BG74+BG78))/BE79,0)</f>
        <v>9.6617791703828504E-2</v>
      </c>
      <c r="BG79" s="235">
        <f>(BE79*BF79)^2</f>
        <v>998127.2239321298</v>
      </c>
      <c r="BH79" s="36"/>
      <c r="BI79" s="37"/>
      <c r="BJ79" s="37"/>
      <c r="BK79" s="37"/>
      <c r="BL79" s="38"/>
      <c r="BM79" s="38"/>
      <c r="BN79" s="38"/>
      <c r="BO79" s="37"/>
      <c r="BP79" s="37"/>
      <c r="BQ79" s="37"/>
      <c r="BR79" s="37"/>
      <c r="BS79" s="37"/>
      <c r="BT79" s="37"/>
      <c r="BU79" s="54"/>
      <c r="BV79" s="79"/>
      <c r="BW79" s="79"/>
      <c r="BX79" s="54"/>
      <c r="BY79" s="54"/>
      <c r="BZ79" s="54"/>
      <c r="CA79" s="56"/>
      <c r="CB79" s="79"/>
      <c r="CC79" s="79"/>
      <c r="CD79" s="56"/>
      <c r="CE79" s="56"/>
      <c r="CF79" s="56"/>
      <c r="CG79" s="56"/>
      <c r="CH79" s="79"/>
      <c r="CI79" s="79"/>
      <c r="CJ79" s="56"/>
      <c r="CK79" s="56"/>
      <c r="CL79" s="56"/>
      <c r="CM79" s="57"/>
      <c r="CN79" s="58"/>
      <c r="CO79" s="58"/>
      <c r="CP79" s="35"/>
      <c r="CQ79" s="35"/>
      <c r="CR79" s="35"/>
      <c r="CS79" s="35"/>
      <c r="CT79" s="35"/>
      <c r="CU79" s="35"/>
      <c r="CV79" s="35"/>
      <c r="CW79" s="35"/>
      <c r="CX79" s="35"/>
      <c r="CY79" s="35"/>
      <c r="CZ79" s="35"/>
      <c r="DA79" s="35"/>
      <c r="DB79" s="35"/>
      <c r="DC79" s="35"/>
      <c r="DD79" s="35"/>
      <c r="DE79" s="35"/>
      <c r="DF79" s="35"/>
      <c r="DG79" s="35"/>
      <c r="DH79" s="35"/>
      <c r="DI79" s="35"/>
      <c r="DJ79" s="35"/>
      <c r="DK79" s="35"/>
      <c r="DL79" s="35"/>
      <c r="DM79" s="35"/>
      <c r="DN79" s="35"/>
      <c r="DO79" s="35"/>
      <c r="DP79" s="35"/>
      <c r="DQ79" s="35"/>
      <c r="DR79" s="35"/>
      <c r="DS79" s="35"/>
      <c r="DT79" s="35"/>
      <c r="DU79" s="35"/>
      <c r="DV79" s="59"/>
      <c r="DW79" s="59"/>
      <c r="DX79" s="59"/>
      <c r="DY79" s="59"/>
      <c r="DZ79" s="59"/>
      <c r="EA79" s="59"/>
      <c r="EB79" s="59"/>
      <c r="EC79" s="59"/>
    </row>
    <row r="80" spans="1:133" ht="14" x14ac:dyDescent="0.25">
      <c r="B80" s="203"/>
      <c r="C80" s="203"/>
      <c r="D80" s="203"/>
      <c r="E80" s="203"/>
      <c r="F80" s="203"/>
      <c r="G80" s="203"/>
      <c r="H80" s="203"/>
      <c r="I80" s="203"/>
      <c r="J80" s="203"/>
      <c r="K80" s="203"/>
      <c r="L80" s="203"/>
      <c r="M80" s="203"/>
      <c r="N80" s="203"/>
      <c r="O80" s="203"/>
      <c r="P80" s="203"/>
      <c r="Q80" s="203"/>
      <c r="R80" s="203"/>
      <c r="S80" s="203"/>
      <c r="T80" s="203"/>
      <c r="U80" s="203"/>
      <c r="V80" s="203"/>
      <c r="W80" s="203"/>
      <c r="X80" s="203"/>
      <c r="Y80" s="203"/>
      <c r="Z80" s="203"/>
      <c r="AA80" s="203"/>
      <c r="AB80" s="203"/>
      <c r="AC80" s="203"/>
      <c r="AD80" s="203"/>
      <c r="AE80" s="203"/>
      <c r="AF80" s="203"/>
      <c r="AG80" s="203"/>
      <c r="AH80" s="203"/>
      <c r="AI80" s="203"/>
      <c r="AJ80" s="203"/>
      <c r="AK80" s="203"/>
      <c r="AL80" s="203"/>
      <c r="AM80" s="203"/>
      <c r="AN80" s="203"/>
      <c r="AO80" s="203"/>
      <c r="AP80" s="203"/>
      <c r="AQ80" s="203"/>
      <c r="AR80" s="203"/>
      <c r="AS80" s="203"/>
      <c r="AT80" s="203"/>
      <c r="AU80" s="203"/>
      <c r="AV80" s="203"/>
      <c r="AW80" s="203"/>
      <c r="AX80" s="203"/>
      <c r="AY80" s="203"/>
      <c r="AZ80" s="203"/>
      <c r="BA80" s="203"/>
      <c r="BB80" s="203"/>
      <c r="BC80" s="203"/>
      <c r="BD80" s="203"/>
      <c r="BE80" s="203"/>
      <c r="BF80" s="203"/>
      <c r="BG80" s="242"/>
      <c r="BO80" s="66"/>
      <c r="BP80" s="66"/>
      <c r="BQ80" s="66"/>
      <c r="BR80" s="66"/>
      <c r="BS80" s="66"/>
      <c r="BT80" s="66"/>
      <c r="BV80" s="66"/>
      <c r="BW80" s="66"/>
      <c r="CB80" s="66"/>
      <c r="CC80" s="66"/>
      <c r="CH80" s="66"/>
      <c r="CI80" s="66"/>
    </row>
    <row r="81" spans="1:133" s="44" customFormat="1" ht="25.5" customHeight="1" x14ac:dyDescent="0.25">
      <c r="A81" s="30"/>
      <c r="B81" s="580" t="s">
        <v>294</v>
      </c>
      <c r="C81" s="594"/>
      <c r="D81" s="594"/>
      <c r="E81" s="594"/>
      <c r="F81" s="594"/>
      <c r="G81" s="594"/>
      <c r="H81" s="594"/>
      <c r="I81" s="594"/>
      <c r="J81" s="594"/>
      <c r="K81" s="594"/>
      <c r="L81" s="594"/>
      <c r="M81" s="594"/>
      <c r="N81" s="594"/>
      <c r="O81" s="594"/>
      <c r="P81" s="594"/>
      <c r="Q81" s="594"/>
      <c r="R81" s="594"/>
      <c r="S81" s="594"/>
      <c r="T81" s="594"/>
      <c r="U81" s="594"/>
      <c r="V81" s="594"/>
      <c r="W81" s="594"/>
      <c r="X81" s="594"/>
      <c r="Y81" s="594"/>
      <c r="Z81" s="594"/>
      <c r="AA81" s="594"/>
      <c r="AB81" s="594"/>
      <c r="AC81" s="594"/>
      <c r="AD81" s="594"/>
      <c r="AE81" s="594"/>
      <c r="AF81" s="594"/>
      <c r="AG81" s="594"/>
      <c r="AH81" s="594"/>
      <c r="AI81" s="594"/>
      <c r="AJ81" s="594"/>
      <c r="AK81" s="594"/>
      <c r="AL81" s="594"/>
      <c r="AM81" s="594"/>
      <c r="AN81" s="594"/>
      <c r="AO81" s="594"/>
      <c r="AP81" s="594"/>
      <c r="AQ81" s="594"/>
      <c r="AR81" s="594"/>
      <c r="AS81" s="594"/>
      <c r="AT81" s="594"/>
      <c r="AU81" s="594"/>
      <c r="AV81" s="594"/>
      <c r="AW81" s="594"/>
      <c r="AX81" s="594"/>
      <c r="AY81" s="594"/>
      <c r="AZ81" s="594"/>
      <c r="BA81" s="594"/>
      <c r="BB81" s="594"/>
      <c r="BC81" s="594"/>
      <c r="BD81" s="594"/>
      <c r="BE81" s="594"/>
      <c r="BF81" s="594"/>
      <c r="BG81" s="235"/>
      <c r="BH81" s="53"/>
      <c r="BI81" s="54"/>
      <c r="BJ81" s="54"/>
      <c r="BK81" s="54"/>
      <c r="BL81" s="55"/>
      <c r="BM81" s="55"/>
      <c r="BN81" s="55"/>
      <c r="BO81" s="79"/>
      <c r="BP81" s="79"/>
      <c r="BQ81" s="79"/>
      <c r="BR81" s="79"/>
      <c r="BS81" s="79"/>
      <c r="BT81" s="79"/>
      <c r="BU81" s="54"/>
      <c r="BV81" s="79"/>
      <c r="BW81" s="79"/>
      <c r="BX81" s="54"/>
      <c r="BY81" s="54"/>
      <c r="BZ81" s="54"/>
      <c r="CA81" s="56"/>
      <c r="CB81" s="79"/>
      <c r="CC81" s="79"/>
      <c r="CD81" s="56"/>
      <c r="CE81" s="56"/>
      <c r="CF81" s="56"/>
      <c r="CG81" s="56"/>
      <c r="CH81" s="79"/>
      <c r="CI81" s="79"/>
      <c r="CJ81" s="56"/>
      <c r="CK81" s="56"/>
      <c r="CL81" s="56"/>
      <c r="CM81" s="57"/>
      <c r="CN81" s="58"/>
      <c r="CO81" s="58"/>
      <c r="CP81" s="35"/>
      <c r="CQ81" s="35"/>
      <c r="CR81" s="35"/>
      <c r="CS81" s="35"/>
      <c r="CT81" s="35"/>
      <c r="CU81" s="35"/>
      <c r="CV81" s="35"/>
      <c r="CW81" s="35"/>
      <c r="CX81" s="35"/>
      <c r="CY81" s="35"/>
      <c r="CZ81" s="35"/>
      <c r="DA81" s="35"/>
      <c r="DB81" s="35"/>
      <c r="DC81" s="35"/>
      <c r="DD81" s="35"/>
      <c r="DE81" s="35"/>
      <c r="DF81" s="35"/>
      <c r="DG81" s="35"/>
      <c r="DH81" s="35"/>
      <c r="DI81" s="35"/>
      <c r="DJ81" s="35"/>
      <c r="DK81" s="35"/>
      <c r="DL81" s="35"/>
      <c r="DM81" s="35"/>
      <c r="DN81" s="35"/>
      <c r="DO81" s="35"/>
      <c r="DP81" s="35"/>
      <c r="DQ81" s="35"/>
      <c r="DR81" s="35"/>
      <c r="DS81" s="35"/>
      <c r="DT81" s="35"/>
      <c r="DU81" s="35"/>
      <c r="DV81" s="59"/>
      <c r="DW81" s="59"/>
      <c r="DX81" s="59"/>
      <c r="DY81" s="59"/>
      <c r="DZ81" s="59"/>
      <c r="EA81" s="59"/>
      <c r="EB81" s="59"/>
      <c r="EC81" s="59"/>
    </row>
    <row r="82" spans="1:133" s="36" customFormat="1" ht="15" customHeight="1" x14ac:dyDescent="0.25">
      <c r="A82" s="30"/>
      <c r="B82" s="589" t="s">
        <v>261</v>
      </c>
      <c r="C82" s="589" t="s">
        <v>175</v>
      </c>
      <c r="D82" s="589" t="s">
        <v>117</v>
      </c>
      <c r="E82" s="589"/>
      <c r="F82" s="589"/>
      <c r="G82" s="589"/>
      <c r="H82" s="589"/>
      <c r="I82" s="589"/>
      <c r="J82" s="589"/>
      <c r="K82" s="589"/>
      <c r="L82" s="589"/>
      <c r="M82" s="589"/>
      <c r="N82" s="589"/>
      <c r="O82" s="589"/>
      <c r="P82" s="589"/>
      <c r="Q82" s="589"/>
      <c r="R82" s="589"/>
      <c r="S82" s="589" t="s">
        <v>176</v>
      </c>
      <c r="T82" s="589"/>
      <c r="U82" s="589"/>
      <c r="V82" s="589"/>
      <c r="W82" s="595" t="s">
        <v>177</v>
      </c>
      <c r="X82" s="595"/>
      <c r="Y82" s="595"/>
      <c r="Z82" s="595"/>
      <c r="AA82" s="595"/>
      <c r="AB82" s="595"/>
      <c r="AC82" s="595"/>
      <c r="AD82" s="595" t="s">
        <v>178</v>
      </c>
      <c r="AE82" s="595"/>
      <c r="AF82" s="595"/>
      <c r="AG82" s="595"/>
      <c r="AH82" s="595"/>
      <c r="AI82" s="595"/>
      <c r="AJ82" s="595"/>
      <c r="AK82" s="595" t="s">
        <v>179</v>
      </c>
      <c r="AL82" s="595"/>
      <c r="AM82" s="595"/>
      <c r="AN82" s="595"/>
      <c r="AO82" s="595"/>
      <c r="AP82" s="595"/>
      <c r="AQ82" s="595"/>
      <c r="AR82" s="595" t="s">
        <v>180</v>
      </c>
      <c r="AS82" s="595"/>
      <c r="AT82" s="595"/>
      <c r="AU82" s="595"/>
      <c r="AV82" s="595"/>
      <c r="AW82" s="595"/>
      <c r="AX82" s="595" t="s">
        <v>181</v>
      </c>
      <c r="AY82" s="595"/>
      <c r="AZ82" s="595"/>
      <c r="BA82" s="595"/>
      <c r="BB82" s="595"/>
      <c r="BC82" s="595"/>
      <c r="BD82" s="595"/>
      <c r="BE82" s="588" t="s">
        <v>182</v>
      </c>
      <c r="BF82" s="588" t="s">
        <v>149</v>
      </c>
      <c r="BG82" s="235"/>
      <c r="BI82" s="37"/>
      <c r="BJ82" s="37"/>
      <c r="BK82" s="37"/>
      <c r="BL82" s="38"/>
      <c r="BM82" s="38"/>
      <c r="BN82" s="38"/>
      <c r="BO82" s="37"/>
      <c r="BP82" s="37"/>
      <c r="BQ82" s="37"/>
      <c r="BR82" s="37"/>
      <c r="BS82" s="37"/>
      <c r="BT82" s="37"/>
      <c r="BU82" s="37"/>
      <c r="BV82" s="37"/>
      <c r="BW82" s="37"/>
      <c r="BX82" s="37"/>
      <c r="BY82" s="37"/>
      <c r="BZ82" s="37"/>
      <c r="CA82" s="39"/>
      <c r="CB82" s="37"/>
      <c r="CC82" s="37"/>
      <c r="CD82" s="39"/>
      <c r="CE82" s="39"/>
      <c r="CF82" s="39"/>
      <c r="CG82" s="39"/>
      <c r="CH82" s="37"/>
      <c r="CI82" s="37"/>
      <c r="CJ82" s="39"/>
      <c r="CK82" s="39"/>
      <c r="CL82" s="39"/>
      <c r="CM82" s="40"/>
      <c r="CN82" s="41"/>
      <c r="CO82" s="41"/>
      <c r="CP82" s="42"/>
      <c r="CQ82" s="42"/>
      <c r="CR82" s="42"/>
      <c r="CS82" s="42"/>
      <c r="CT82" s="42"/>
      <c r="CU82" s="42"/>
      <c r="CV82" s="42"/>
      <c r="CW82" s="42"/>
      <c r="CX82" s="42"/>
      <c r="CY82" s="42"/>
      <c r="CZ82" s="42"/>
      <c r="DA82" s="42"/>
      <c r="DB82" s="42"/>
      <c r="DC82" s="42"/>
      <c r="DD82" s="42"/>
      <c r="DE82" s="42"/>
      <c r="DF82" s="42"/>
      <c r="DG82" s="42"/>
      <c r="DH82" s="42"/>
      <c r="DI82" s="42"/>
      <c r="DJ82" s="42"/>
      <c r="DK82" s="42"/>
      <c r="DL82" s="42"/>
      <c r="DM82" s="42"/>
      <c r="DN82" s="42"/>
      <c r="DO82" s="42"/>
      <c r="DP82" s="42"/>
      <c r="DQ82" s="42"/>
      <c r="DR82" s="42"/>
      <c r="DS82" s="42"/>
      <c r="DT82" s="42"/>
      <c r="DU82" s="42"/>
      <c r="DV82" s="43"/>
      <c r="DW82" s="43"/>
      <c r="DX82" s="43"/>
      <c r="DY82" s="43"/>
      <c r="DZ82" s="43"/>
      <c r="EA82" s="43"/>
      <c r="EB82" s="43"/>
      <c r="EC82" s="43"/>
    </row>
    <row r="83" spans="1:133" s="36" customFormat="1" ht="42" x14ac:dyDescent="0.25">
      <c r="A83" s="30"/>
      <c r="B83" s="595"/>
      <c r="C83" s="589"/>
      <c r="D83" s="80"/>
      <c r="E83" s="80"/>
      <c r="F83" s="80"/>
      <c r="G83" s="80"/>
      <c r="H83" s="80"/>
      <c r="I83" s="80"/>
      <c r="J83" s="80"/>
      <c r="K83" s="80"/>
      <c r="L83" s="80"/>
      <c r="M83" s="80"/>
      <c r="N83" s="80"/>
      <c r="O83" s="80"/>
      <c r="P83" s="80"/>
      <c r="Q83" s="80" t="s">
        <v>196</v>
      </c>
      <c r="R83" s="80" t="s">
        <v>197</v>
      </c>
      <c r="S83" s="80" t="s">
        <v>198</v>
      </c>
      <c r="T83" s="80" t="s">
        <v>199</v>
      </c>
      <c r="U83" s="80" t="s">
        <v>200</v>
      </c>
      <c r="V83" s="80" t="s">
        <v>176</v>
      </c>
      <c r="W83" s="588" t="s">
        <v>201</v>
      </c>
      <c r="X83" s="588"/>
      <c r="Y83" s="80" t="s">
        <v>202</v>
      </c>
      <c r="Z83" s="81" t="s">
        <v>203</v>
      </c>
      <c r="AA83" s="81" t="s">
        <v>204</v>
      </c>
      <c r="AB83" s="80" t="s">
        <v>205</v>
      </c>
      <c r="AC83" s="81" t="s">
        <v>206</v>
      </c>
      <c r="AD83" s="588" t="s">
        <v>207</v>
      </c>
      <c r="AE83" s="588"/>
      <c r="AF83" s="80" t="s">
        <v>208</v>
      </c>
      <c r="AG83" s="82" t="s">
        <v>209</v>
      </c>
      <c r="AH83" s="82" t="s">
        <v>210</v>
      </c>
      <c r="AI83" s="80" t="s">
        <v>211</v>
      </c>
      <c r="AJ83" s="81" t="s">
        <v>206</v>
      </c>
      <c r="AK83" s="588" t="s">
        <v>212</v>
      </c>
      <c r="AL83" s="588"/>
      <c r="AM83" s="80" t="s">
        <v>213</v>
      </c>
      <c r="AN83" s="80" t="s">
        <v>214</v>
      </c>
      <c r="AO83" s="80" t="s">
        <v>215</v>
      </c>
      <c r="AP83" s="80" t="s">
        <v>216</v>
      </c>
      <c r="AQ83" s="81" t="s">
        <v>206</v>
      </c>
      <c r="AR83" s="588" t="s">
        <v>262</v>
      </c>
      <c r="AS83" s="588"/>
      <c r="AT83" s="80" t="s">
        <v>218</v>
      </c>
      <c r="AU83" s="81" t="s">
        <v>219</v>
      </c>
      <c r="AV83" s="80" t="s">
        <v>220</v>
      </c>
      <c r="AW83" s="81" t="s">
        <v>206</v>
      </c>
      <c r="AX83" s="588" t="s">
        <v>221</v>
      </c>
      <c r="AY83" s="588"/>
      <c r="AZ83" s="80" t="s">
        <v>222</v>
      </c>
      <c r="BA83" s="81" t="s">
        <v>223</v>
      </c>
      <c r="BB83" s="81" t="s">
        <v>224</v>
      </c>
      <c r="BC83" s="80" t="s">
        <v>225</v>
      </c>
      <c r="BD83" s="81" t="s">
        <v>206</v>
      </c>
      <c r="BE83" s="588"/>
      <c r="BF83" s="588"/>
      <c r="BG83" s="235" t="s">
        <v>226</v>
      </c>
      <c r="BI83" s="37"/>
      <c r="BJ83" s="37"/>
      <c r="BK83" s="37"/>
      <c r="BL83" s="38"/>
      <c r="BM83" s="38"/>
      <c r="BN83" s="38"/>
      <c r="BO83" s="37"/>
      <c r="BP83" s="37"/>
      <c r="BQ83" s="37"/>
      <c r="BR83" s="37"/>
      <c r="BS83" s="37"/>
      <c r="BT83" s="37"/>
      <c r="BU83" s="37"/>
      <c r="BV83" s="37"/>
      <c r="BW83" s="37"/>
      <c r="BX83" s="37"/>
      <c r="BY83" s="37"/>
      <c r="BZ83" s="37"/>
      <c r="CA83" s="39"/>
      <c r="CB83" s="37"/>
      <c r="CC83" s="37"/>
      <c r="CD83" s="39"/>
      <c r="CE83" s="39"/>
      <c r="CF83" s="39"/>
      <c r="CG83" s="39"/>
      <c r="CH83" s="37"/>
      <c r="CI83" s="37"/>
      <c r="CJ83" s="39"/>
      <c r="CK83" s="39"/>
      <c r="CL83" s="39"/>
      <c r="CM83" s="40"/>
      <c r="CN83" s="41"/>
      <c r="CO83" s="41"/>
      <c r="CP83" s="42"/>
      <c r="CQ83" s="42"/>
      <c r="CR83" s="42"/>
      <c r="CS83" s="42"/>
      <c r="CT83" s="42"/>
      <c r="CU83" s="42"/>
      <c r="CV83" s="42"/>
      <c r="CW83" s="42"/>
      <c r="CX83" s="42"/>
      <c r="CY83" s="42"/>
      <c r="CZ83" s="42"/>
      <c r="DA83" s="42"/>
      <c r="DB83" s="42"/>
      <c r="DC83" s="42"/>
      <c r="DD83" s="42"/>
      <c r="DE83" s="42"/>
      <c r="DF83" s="42"/>
      <c r="DG83" s="42"/>
      <c r="DH83" s="42"/>
      <c r="DI83" s="42"/>
      <c r="DJ83" s="42"/>
      <c r="DK83" s="42"/>
      <c r="DL83" s="42"/>
      <c r="DM83" s="42"/>
      <c r="DN83" s="42"/>
      <c r="DO83" s="42"/>
      <c r="DP83" s="42"/>
      <c r="DQ83" s="42"/>
      <c r="DR83" s="42"/>
      <c r="DS83" s="42"/>
      <c r="DT83" s="42"/>
      <c r="DU83" s="42"/>
      <c r="DV83" s="43"/>
      <c r="DW83" s="43"/>
      <c r="DX83" s="43"/>
      <c r="DY83" s="43"/>
      <c r="DZ83" s="43"/>
      <c r="EA83" s="43"/>
      <c r="EB83" s="43"/>
      <c r="EC83" s="43"/>
    </row>
    <row r="84" spans="1:133" ht="27" x14ac:dyDescent="0.25">
      <c r="B84" s="123" t="s">
        <v>295</v>
      </c>
      <c r="C84" s="214"/>
      <c r="D84" s="220"/>
      <c r="E84" s="206"/>
      <c r="F84" s="204"/>
      <c r="G84" s="204"/>
      <c r="H84" s="204"/>
      <c r="I84" s="204"/>
      <c r="J84" s="204"/>
      <c r="K84" s="204"/>
      <c r="L84" s="204"/>
      <c r="M84" s="204"/>
      <c r="N84" s="204"/>
      <c r="O84" s="204"/>
      <c r="P84" s="204"/>
      <c r="Q84" s="509"/>
      <c r="R84" s="509"/>
      <c r="S84" s="509"/>
      <c r="T84" s="509"/>
      <c r="U84" s="509"/>
      <c r="V84" s="509"/>
      <c r="W84" s="510"/>
      <c r="X84" s="509"/>
      <c r="Y84" s="509"/>
      <c r="Z84" s="511"/>
      <c r="AA84" s="512"/>
      <c r="AB84" s="513"/>
      <c r="AC84" s="512"/>
      <c r="AD84" s="514"/>
      <c r="AE84" s="509"/>
      <c r="AF84" s="509"/>
      <c r="AG84" s="515"/>
      <c r="AH84" s="512">
        <v>261715.49753533711</v>
      </c>
      <c r="AI84" s="513">
        <f>IF(AG84&gt;0,SQRT(($V84*$V84)+(AF84*AF84)),0)</f>
        <v>0</v>
      </c>
      <c r="AJ84" s="516">
        <f>(AH84*AI84)^2</f>
        <v>0</v>
      </c>
      <c r="AK84" s="509"/>
      <c r="AL84" s="509"/>
      <c r="AM84" s="509"/>
      <c r="AN84" s="509"/>
      <c r="AO84" s="512">
        <v>103203.82156920001</v>
      </c>
      <c r="AP84" s="88">
        <f>IF(AN84&gt;0,SQRT(($V84*$V84)+(AM84*AM84)),0)</f>
        <v>0</v>
      </c>
      <c r="AQ84" s="91">
        <f>(AO84*AP84)^2</f>
        <v>0</v>
      </c>
      <c r="AR84" s="509"/>
      <c r="AS84" s="509"/>
      <c r="AT84" s="509"/>
      <c r="AU84" s="512"/>
      <c r="AV84" s="513"/>
      <c r="AW84" s="512"/>
      <c r="AX84" s="509"/>
      <c r="AY84" s="509"/>
      <c r="AZ84" s="517"/>
      <c r="BA84" s="518"/>
      <c r="BB84" s="512"/>
      <c r="BC84" s="513"/>
      <c r="BD84" s="512"/>
      <c r="BE84" s="87">
        <f>AA84+AH84+AO84+AU84+BB84</f>
        <v>364919.31910453713</v>
      </c>
      <c r="BF84" s="519">
        <f>IF(BE84&gt;0,7.1%,0)</f>
        <v>7.0999999999999994E-2</v>
      </c>
      <c r="BG84" s="242">
        <f>(BE84*BF84)^2</f>
        <v>671290357.76627934</v>
      </c>
    </row>
    <row r="85" spans="1:133" s="44" customFormat="1" ht="25.5" customHeight="1" x14ac:dyDescent="0.25">
      <c r="A85" s="30"/>
      <c r="B85" s="580" t="s">
        <v>296</v>
      </c>
      <c r="C85" s="594"/>
      <c r="D85" s="594"/>
      <c r="E85" s="594"/>
      <c r="F85" s="594"/>
      <c r="G85" s="594"/>
      <c r="H85" s="594"/>
      <c r="I85" s="594"/>
      <c r="J85" s="594"/>
      <c r="K85" s="594"/>
      <c r="L85" s="594"/>
      <c r="M85" s="594"/>
      <c r="N85" s="594"/>
      <c r="O85" s="594"/>
      <c r="P85" s="594"/>
      <c r="Q85" s="594"/>
      <c r="R85" s="594"/>
      <c r="S85" s="594"/>
      <c r="T85" s="594"/>
      <c r="U85" s="594"/>
      <c r="V85" s="594"/>
      <c r="W85" s="594"/>
      <c r="X85" s="594"/>
      <c r="Y85" s="594"/>
      <c r="Z85" s="594"/>
      <c r="AA85" s="594" t="e">
        <f>+AA74+#REF!</f>
        <v>#REF!</v>
      </c>
      <c r="AB85" s="594" t="e">
        <f>IF(AA85&gt;0,(SQRT(AC74+#REF!))/AA85,0)</f>
        <v>#REF!</v>
      </c>
      <c r="AC85" s="594" t="e">
        <f>(AA85*AB85)^2</f>
        <v>#REF!</v>
      </c>
      <c r="AD85" s="594"/>
      <c r="AE85" s="594"/>
      <c r="AF85" s="594"/>
      <c r="AG85" s="594"/>
      <c r="AH85" s="594" t="e">
        <f>+AH74+#REF!</f>
        <v>#REF!</v>
      </c>
      <c r="AI85" s="594" t="e">
        <f>IF(AH85&gt;0,(SQRT(AJ74+#REF!))/AH85,0)</f>
        <v>#REF!</v>
      </c>
      <c r="AJ85" s="594" t="e">
        <f>(AH85*AI85)^2</f>
        <v>#REF!</v>
      </c>
      <c r="AK85" s="594"/>
      <c r="AL85" s="594"/>
      <c r="AM85" s="594"/>
      <c r="AN85" s="594"/>
      <c r="AO85" s="594" t="e">
        <f>+AO74+#REF!</f>
        <v>#REF!</v>
      </c>
      <c r="AP85" s="594" t="e">
        <f>IF(AO85&gt;0,(SQRT(AQ74+#REF!))/AO85,0)</f>
        <v>#REF!</v>
      </c>
      <c r="AQ85" s="594" t="e">
        <f>(AO85*AP85)^2</f>
        <v>#REF!</v>
      </c>
      <c r="AR85" s="594"/>
      <c r="AS85" s="594"/>
      <c r="AT85" s="594"/>
      <c r="AU85" s="594" t="e">
        <f>+AU74+#REF!</f>
        <v>#REF!</v>
      </c>
      <c r="AV85" s="594" t="e">
        <f>IF(AU85&gt;0,(SQRT(AW74+#REF!))/AU85,0)</f>
        <v>#REF!</v>
      </c>
      <c r="AW85" s="594" t="e">
        <f>(AU85*AV85)^2</f>
        <v>#REF!</v>
      </c>
      <c r="AX85" s="594"/>
      <c r="AY85" s="594"/>
      <c r="AZ85" s="594"/>
      <c r="BA85" s="594"/>
      <c r="BB85" s="594" t="e">
        <f>+BB74+#REF!</f>
        <v>#REF!</v>
      </c>
      <c r="BC85" s="594" t="e">
        <f>IF(BB85&gt;0,(SQRT(BD74+#REF!))/BB85,0)</f>
        <v>#REF!</v>
      </c>
      <c r="BD85" s="594" t="e">
        <f>(BB85*BC85)^2</f>
        <v>#REF!</v>
      </c>
      <c r="BE85" s="594" t="e">
        <f>+BE74+#REF!</f>
        <v>#REF!</v>
      </c>
      <c r="BF85" s="594" t="e">
        <f>IF(BE85&gt;0,(SQRT(BG74+#REF!))/BE85,0)</f>
        <v>#REF!</v>
      </c>
      <c r="BG85" s="235"/>
      <c r="BH85" s="53"/>
      <c r="BI85" s="54"/>
      <c r="BJ85" s="54"/>
      <c r="BK85" s="54"/>
      <c r="BL85" s="55"/>
      <c r="BM85" s="55"/>
      <c r="BN85" s="55"/>
      <c r="BO85" s="79"/>
      <c r="BP85" s="79"/>
      <c r="BQ85" s="79"/>
      <c r="BR85" s="79"/>
      <c r="BS85" s="79"/>
      <c r="BT85" s="79"/>
      <c r="BU85" s="54"/>
      <c r="BV85" s="79"/>
      <c r="BW85" s="79"/>
      <c r="BX85" s="54"/>
      <c r="BY85" s="54"/>
      <c r="BZ85" s="54"/>
      <c r="CA85" s="56"/>
      <c r="CB85" s="79"/>
      <c r="CC85" s="79"/>
      <c r="CD85" s="56"/>
      <c r="CE85" s="56"/>
      <c r="CF85" s="56"/>
      <c r="CG85" s="56"/>
      <c r="CH85" s="79"/>
      <c r="CI85" s="79"/>
      <c r="CJ85" s="56"/>
      <c r="CK85" s="56"/>
      <c r="CL85" s="56"/>
      <c r="CM85" s="57"/>
      <c r="CN85" s="58"/>
      <c r="CO85" s="58"/>
      <c r="CP85" s="35"/>
      <c r="CQ85" s="35"/>
      <c r="CR85" s="35"/>
      <c r="CS85" s="35"/>
      <c r="CT85" s="35"/>
      <c r="CU85" s="35"/>
      <c r="CV85" s="35"/>
      <c r="CW85" s="35"/>
      <c r="CX85" s="35"/>
      <c r="CY85" s="35"/>
      <c r="CZ85" s="35"/>
      <c r="DA85" s="35"/>
      <c r="DB85" s="35"/>
      <c r="DC85" s="35"/>
      <c r="DD85" s="35"/>
      <c r="DE85" s="35"/>
      <c r="DF85" s="35"/>
      <c r="DG85" s="35"/>
      <c r="DH85" s="35"/>
      <c r="DI85" s="35"/>
      <c r="DJ85" s="35"/>
      <c r="DK85" s="35"/>
      <c r="DL85" s="35"/>
      <c r="DM85" s="35"/>
      <c r="DN85" s="35"/>
      <c r="DO85" s="35"/>
      <c r="DP85" s="35"/>
      <c r="DQ85" s="35"/>
      <c r="DR85" s="35"/>
      <c r="DS85" s="35"/>
      <c r="DT85" s="35"/>
      <c r="DU85" s="35"/>
      <c r="DV85" s="59"/>
      <c r="DW85" s="59"/>
      <c r="DX85" s="59"/>
      <c r="DY85" s="59"/>
      <c r="DZ85" s="59"/>
      <c r="EA85" s="59"/>
      <c r="EB85" s="59"/>
      <c r="EC85" s="59"/>
    </row>
    <row r="86" spans="1:133" ht="14" x14ac:dyDescent="0.25">
      <c r="B86" s="213"/>
      <c r="C86" s="203"/>
      <c r="D86" s="203"/>
      <c r="E86" s="203"/>
      <c r="F86" s="203"/>
      <c r="G86" s="203"/>
      <c r="H86" s="203"/>
      <c r="I86" s="203"/>
      <c r="J86" s="203"/>
      <c r="K86" s="203"/>
      <c r="L86" s="203"/>
      <c r="M86" s="203"/>
      <c r="N86" s="203"/>
      <c r="O86" s="203"/>
      <c r="P86" s="203"/>
      <c r="Q86" s="203"/>
      <c r="R86" s="203"/>
      <c r="S86" s="203"/>
      <c r="T86" s="203"/>
      <c r="U86" s="203"/>
      <c r="V86" s="203"/>
      <c r="W86" s="203"/>
      <c r="X86" s="203"/>
      <c r="Y86" s="203"/>
      <c r="Z86" s="203"/>
      <c r="AA86" s="203"/>
      <c r="AB86" s="203"/>
      <c r="AC86" s="203"/>
      <c r="AD86" s="203"/>
      <c r="AE86" s="203"/>
      <c r="AF86" s="203"/>
      <c r="AG86" s="203"/>
      <c r="AH86" s="203"/>
      <c r="AI86" s="203"/>
      <c r="AJ86" s="203"/>
      <c r="AK86" s="203"/>
      <c r="AL86" s="203"/>
      <c r="AM86" s="203"/>
      <c r="AN86" s="203"/>
      <c r="AO86" s="203"/>
      <c r="AP86" s="203"/>
      <c r="AQ86" s="203"/>
      <c r="AR86" s="203"/>
      <c r="AS86" s="203"/>
      <c r="AT86" s="203"/>
      <c r="AU86" s="203"/>
      <c r="AV86" s="203"/>
      <c r="AW86" s="203"/>
      <c r="AX86" s="203"/>
      <c r="AY86" s="203"/>
      <c r="AZ86" s="203"/>
      <c r="BA86" s="203"/>
      <c r="BB86" s="203"/>
      <c r="BC86" s="203"/>
      <c r="BD86" s="203"/>
      <c r="BE86" s="203"/>
      <c r="BF86" s="203"/>
      <c r="BG86" s="242"/>
      <c r="BO86" s="66"/>
      <c r="BP86" s="66"/>
      <c r="BQ86" s="66"/>
      <c r="BR86" s="66"/>
      <c r="BS86" s="66"/>
      <c r="BT86" s="66"/>
      <c r="BV86" s="66"/>
      <c r="BW86" s="66"/>
      <c r="CB86" s="66"/>
      <c r="CC86" s="66"/>
      <c r="CH86" s="66"/>
      <c r="CI86" s="66"/>
    </row>
    <row r="87" spans="1:133" s="44" customFormat="1" ht="25.5" customHeight="1" x14ac:dyDescent="0.25">
      <c r="A87" s="30"/>
      <c r="B87" s="580" t="s">
        <v>297</v>
      </c>
      <c r="C87" s="594"/>
      <c r="D87" s="594"/>
      <c r="E87" s="594"/>
      <c r="F87" s="594"/>
      <c r="G87" s="594"/>
      <c r="H87" s="594"/>
      <c r="I87" s="594"/>
      <c r="J87" s="594"/>
      <c r="K87" s="594"/>
      <c r="L87" s="594"/>
      <c r="M87" s="594"/>
      <c r="N87" s="594"/>
      <c r="O87" s="594"/>
      <c r="P87" s="594"/>
      <c r="Q87" s="594"/>
      <c r="R87" s="594"/>
      <c r="S87" s="594"/>
      <c r="T87" s="594"/>
      <c r="U87" s="594"/>
      <c r="V87" s="594"/>
      <c r="W87" s="594"/>
      <c r="X87" s="594"/>
      <c r="Y87" s="594"/>
      <c r="Z87" s="594"/>
      <c r="AA87" s="594"/>
      <c r="AB87" s="594"/>
      <c r="AC87" s="594"/>
      <c r="AD87" s="594"/>
      <c r="AE87" s="594"/>
      <c r="AF87" s="594"/>
      <c r="AG87" s="594"/>
      <c r="AH87" s="594"/>
      <c r="AI87" s="594"/>
      <c r="AJ87" s="594"/>
      <c r="AK87" s="594"/>
      <c r="AL87" s="594"/>
      <c r="AM87" s="594"/>
      <c r="AN87" s="594"/>
      <c r="AO87" s="594"/>
      <c r="AP87" s="594"/>
      <c r="AQ87" s="594"/>
      <c r="AR87" s="594"/>
      <c r="AS87" s="594"/>
      <c r="AT87" s="594"/>
      <c r="AU87" s="594"/>
      <c r="AV87" s="594"/>
      <c r="AW87" s="594"/>
      <c r="AX87" s="594"/>
      <c r="AY87" s="594"/>
      <c r="AZ87" s="594"/>
      <c r="BA87" s="594"/>
      <c r="BB87" s="594"/>
      <c r="BC87" s="594"/>
      <c r="BD87" s="594"/>
      <c r="BE87" s="594"/>
      <c r="BF87" s="594"/>
      <c r="BG87" s="235"/>
      <c r="BH87" s="53"/>
      <c r="BI87" s="54"/>
      <c r="BJ87" s="54"/>
      <c r="BK87" s="54"/>
      <c r="BL87" s="55"/>
      <c r="BM87" s="55"/>
      <c r="BN87" s="55"/>
      <c r="BO87" s="79"/>
      <c r="BP87" s="79"/>
      <c r="BQ87" s="79"/>
      <c r="BR87" s="79"/>
      <c r="BS87" s="79"/>
      <c r="BT87" s="79"/>
      <c r="BU87" s="54"/>
      <c r="BV87" s="79"/>
      <c r="BW87" s="79"/>
      <c r="BX87" s="54"/>
      <c r="BY87" s="54"/>
      <c r="BZ87" s="54"/>
      <c r="CA87" s="56"/>
      <c r="CB87" s="79"/>
      <c r="CC87" s="79"/>
      <c r="CD87" s="56"/>
      <c r="CE87" s="56"/>
      <c r="CF87" s="56"/>
      <c r="CG87" s="56"/>
      <c r="CH87" s="79"/>
      <c r="CI87" s="79"/>
      <c r="CJ87" s="56"/>
      <c r="CK87" s="56"/>
      <c r="CL87" s="56"/>
      <c r="CM87" s="57"/>
      <c r="CN87" s="58"/>
      <c r="CO87" s="58"/>
      <c r="CP87" s="35"/>
      <c r="CQ87" s="35"/>
      <c r="CR87" s="35"/>
      <c r="CS87" s="35"/>
      <c r="CT87" s="35"/>
      <c r="CU87" s="35"/>
      <c r="CV87" s="35"/>
      <c r="CW87" s="35"/>
      <c r="CX87" s="35"/>
      <c r="CY87" s="35"/>
      <c r="CZ87" s="35"/>
      <c r="DA87" s="35"/>
      <c r="DB87" s="35"/>
      <c r="DC87" s="35"/>
      <c r="DD87" s="35"/>
      <c r="DE87" s="35"/>
      <c r="DF87" s="35"/>
      <c r="DG87" s="35"/>
      <c r="DH87" s="35"/>
      <c r="DI87" s="35"/>
      <c r="DJ87" s="35"/>
      <c r="DK87" s="35"/>
      <c r="DL87" s="35"/>
      <c r="DM87" s="35"/>
      <c r="DN87" s="35"/>
      <c r="DO87" s="35"/>
      <c r="DP87" s="35"/>
      <c r="DQ87" s="35"/>
      <c r="DR87" s="35"/>
      <c r="DS87" s="35"/>
      <c r="DT87" s="35"/>
      <c r="DU87" s="35"/>
      <c r="DV87" s="59"/>
      <c r="DW87" s="59"/>
      <c r="DX87" s="59"/>
      <c r="DY87" s="59"/>
      <c r="DZ87" s="59"/>
      <c r="EA87" s="59"/>
      <c r="EB87" s="59"/>
      <c r="EC87" s="59"/>
    </row>
    <row r="88" spans="1:133" s="36" customFormat="1" ht="15" customHeight="1" x14ac:dyDescent="0.25">
      <c r="A88" s="30"/>
      <c r="B88" s="589" t="s">
        <v>261</v>
      </c>
      <c r="C88" s="589" t="s">
        <v>175</v>
      </c>
      <c r="D88" s="589" t="s">
        <v>117</v>
      </c>
      <c r="E88" s="589"/>
      <c r="F88" s="589"/>
      <c r="G88" s="589"/>
      <c r="H88" s="589"/>
      <c r="I88" s="589"/>
      <c r="J88" s="589"/>
      <c r="K88" s="589"/>
      <c r="L88" s="589"/>
      <c r="M88" s="589"/>
      <c r="N88" s="589"/>
      <c r="O88" s="589"/>
      <c r="P88" s="589"/>
      <c r="Q88" s="589"/>
      <c r="R88" s="589"/>
      <c r="S88" s="589" t="s">
        <v>176</v>
      </c>
      <c r="T88" s="589"/>
      <c r="U88" s="589"/>
      <c r="V88" s="589"/>
      <c r="W88" s="595" t="s">
        <v>177</v>
      </c>
      <c r="X88" s="595"/>
      <c r="Y88" s="595"/>
      <c r="Z88" s="595"/>
      <c r="AA88" s="595"/>
      <c r="AB88" s="595"/>
      <c r="AC88" s="595"/>
      <c r="AD88" s="595" t="s">
        <v>178</v>
      </c>
      <c r="AE88" s="595"/>
      <c r="AF88" s="595"/>
      <c r="AG88" s="595"/>
      <c r="AH88" s="595"/>
      <c r="AI88" s="595"/>
      <c r="AJ88" s="595"/>
      <c r="AK88" s="595" t="s">
        <v>179</v>
      </c>
      <c r="AL88" s="595"/>
      <c r="AM88" s="595"/>
      <c r="AN88" s="595"/>
      <c r="AO88" s="595"/>
      <c r="AP88" s="595"/>
      <c r="AQ88" s="595"/>
      <c r="AR88" s="595" t="s">
        <v>180</v>
      </c>
      <c r="AS88" s="595"/>
      <c r="AT88" s="595"/>
      <c r="AU88" s="595"/>
      <c r="AV88" s="595"/>
      <c r="AW88" s="595"/>
      <c r="AX88" s="595" t="s">
        <v>181</v>
      </c>
      <c r="AY88" s="595"/>
      <c r="AZ88" s="595"/>
      <c r="BA88" s="595"/>
      <c r="BB88" s="595"/>
      <c r="BC88" s="595"/>
      <c r="BD88" s="595"/>
      <c r="BE88" s="588" t="s">
        <v>182</v>
      </c>
      <c r="BF88" s="588" t="s">
        <v>149</v>
      </c>
      <c r="BG88" s="235"/>
      <c r="BI88" s="37"/>
      <c r="BJ88" s="37"/>
      <c r="BK88" s="37"/>
      <c r="BL88" s="38"/>
      <c r="BM88" s="38"/>
      <c r="BN88" s="38"/>
      <c r="BO88" s="37"/>
      <c r="BP88" s="37"/>
      <c r="BQ88" s="37"/>
      <c r="BR88" s="37"/>
      <c r="BS88" s="37"/>
      <c r="BT88" s="37"/>
      <c r="BU88" s="37"/>
      <c r="BV88" s="37"/>
      <c r="BW88" s="37"/>
      <c r="BX88" s="37"/>
      <c r="BY88" s="37"/>
      <c r="BZ88" s="37"/>
      <c r="CA88" s="39"/>
      <c r="CB88" s="37"/>
      <c r="CC88" s="37"/>
      <c r="CD88" s="39"/>
      <c r="CE88" s="39"/>
      <c r="CF88" s="39"/>
      <c r="CG88" s="39"/>
      <c r="CH88" s="37"/>
      <c r="CI88" s="37"/>
      <c r="CJ88" s="39"/>
      <c r="CK88" s="39"/>
      <c r="CL88" s="39"/>
      <c r="CM88" s="40"/>
      <c r="CN88" s="41"/>
      <c r="CO88" s="41"/>
      <c r="CP88" s="42"/>
      <c r="CQ88" s="42"/>
      <c r="CR88" s="42"/>
      <c r="CS88" s="42"/>
      <c r="CT88" s="42"/>
      <c r="CU88" s="42"/>
      <c r="CV88" s="42"/>
      <c r="CW88" s="42"/>
      <c r="CX88" s="42"/>
      <c r="CY88" s="42"/>
      <c r="CZ88" s="42"/>
      <c r="DA88" s="42"/>
      <c r="DB88" s="42"/>
      <c r="DC88" s="42"/>
      <c r="DD88" s="42"/>
      <c r="DE88" s="42"/>
      <c r="DF88" s="42"/>
      <c r="DG88" s="42"/>
      <c r="DH88" s="42"/>
      <c r="DI88" s="42"/>
      <c r="DJ88" s="42"/>
      <c r="DK88" s="42"/>
      <c r="DL88" s="42"/>
      <c r="DM88" s="42"/>
      <c r="DN88" s="42"/>
      <c r="DO88" s="42"/>
      <c r="DP88" s="42"/>
      <c r="DQ88" s="42"/>
      <c r="DR88" s="42"/>
      <c r="DS88" s="42"/>
      <c r="DT88" s="42"/>
      <c r="DU88" s="42"/>
      <c r="DV88" s="43"/>
      <c r="DW88" s="43"/>
      <c r="DX88" s="43"/>
      <c r="DY88" s="43"/>
      <c r="DZ88" s="43"/>
      <c r="EA88" s="43"/>
      <c r="EB88" s="43"/>
      <c r="EC88" s="43"/>
    </row>
    <row r="89" spans="1:133" s="36" customFormat="1" ht="42" x14ac:dyDescent="0.25">
      <c r="A89" s="30"/>
      <c r="B89" s="595"/>
      <c r="C89" s="589"/>
      <c r="D89" s="80" t="s">
        <v>183</v>
      </c>
      <c r="E89" s="80" t="s">
        <v>184</v>
      </c>
      <c r="F89" s="80" t="s">
        <v>185</v>
      </c>
      <c r="G89" s="80" t="s">
        <v>186</v>
      </c>
      <c r="H89" s="80" t="s">
        <v>187</v>
      </c>
      <c r="I89" s="80" t="s">
        <v>188</v>
      </c>
      <c r="J89" s="80" t="s">
        <v>189</v>
      </c>
      <c r="K89" s="80" t="s">
        <v>190</v>
      </c>
      <c r="L89" s="80" t="s">
        <v>191</v>
      </c>
      <c r="M89" s="80" t="s">
        <v>192</v>
      </c>
      <c r="N89" s="80" t="s">
        <v>193</v>
      </c>
      <c r="O89" s="80" t="s">
        <v>194</v>
      </c>
      <c r="P89" s="80" t="s">
        <v>195</v>
      </c>
      <c r="Q89" s="80" t="s">
        <v>196</v>
      </c>
      <c r="R89" s="80" t="s">
        <v>197</v>
      </c>
      <c r="S89" s="80" t="s">
        <v>198</v>
      </c>
      <c r="T89" s="80" t="s">
        <v>199</v>
      </c>
      <c r="U89" s="80" t="s">
        <v>200</v>
      </c>
      <c r="V89" s="80" t="s">
        <v>176</v>
      </c>
      <c r="W89" s="588" t="s">
        <v>201</v>
      </c>
      <c r="X89" s="588"/>
      <c r="Y89" s="80" t="s">
        <v>202</v>
      </c>
      <c r="Z89" s="81" t="s">
        <v>203</v>
      </c>
      <c r="AA89" s="81" t="s">
        <v>204</v>
      </c>
      <c r="AB89" s="80" t="s">
        <v>205</v>
      </c>
      <c r="AC89" s="81" t="s">
        <v>206</v>
      </c>
      <c r="AD89" s="588" t="s">
        <v>207</v>
      </c>
      <c r="AE89" s="588"/>
      <c r="AF89" s="80" t="s">
        <v>208</v>
      </c>
      <c r="AG89" s="82" t="s">
        <v>209</v>
      </c>
      <c r="AH89" s="82" t="s">
        <v>210</v>
      </c>
      <c r="AI89" s="80" t="s">
        <v>211</v>
      </c>
      <c r="AJ89" s="81" t="s">
        <v>206</v>
      </c>
      <c r="AK89" s="588" t="s">
        <v>212</v>
      </c>
      <c r="AL89" s="588"/>
      <c r="AM89" s="80" t="s">
        <v>213</v>
      </c>
      <c r="AN89" s="80" t="s">
        <v>214</v>
      </c>
      <c r="AO89" s="80" t="s">
        <v>215</v>
      </c>
      <c r="AP89" s="80" t="s">
        <v>216</v>
      </c>
      <c r="AQ89" s="81" t="s">
        <v>206</v>
      </c>
      <c r="AR89" s="588" t="s">
        <v>262</v>
      </c>
      <c r="AS89" s="588"/>
      <c r="AT89" s="80" t="s">
        <v>218</v>
      </c>
      <c r="AU89" s="81" t="s">
        <v>219</v>
      </c>
      <c r="AV89" s="80" t="s">
        <v>220</v>
      </c>
      <c r="AW89" s="81" t="s">
        <v>206</v>
      </c>
      <c r="AX89" s="588" t="s">
        <v>221</v>
      </c>
      <c r="AY89" s="588"/>
      <c r="AZ89" s="80" t="s">
        <v>222</v>
      </c>
      <c r="BA89" s="81" t="s">
        <v>223</v>
      </c>
      <c r="BB89" s="81" t="s">
        <v>224</v>
      </c>
      <c r="BC89" s="80" t="s">
        <v>225</v>
      </c>
      <c r="BD89" s="81" t="s">
        <v>206</v>
      </c>
      <c r="BE89" s="588"/>
      <c r="BF89" s="588"/>
      <c r="BG89" s="235" t="s">
        <v>226</v>
      </c>
      <c r="BI89" s="37"/>
      <c r="BJ89" s="37"/>
      <c r="BK89" s="37"/>
      <c r="BL89" s="38"/>
      <c r="BM89" s="38"/>
      <c r="BN89" s="38"/>
      <c r="BO89" s="37"/>
      <c r="BP89" s="37"/>
      <c r="BQ89" s="37"/>
      <c r="BR89" s="37"/>
      <c r="BS89" s="37"/>
      <c r="BT89" s="37"/>
      <c r="BU89" s="37"/>
      <c r="BV89" s="37"/>
      <c r="BW89" s="37"/>
      <c r="BX89" s="37"/>
      <c r="BY89" s="37"/>
      <c r="BZ89" s="37"/>
      <c r="CA89" s="39"/>
      <c r="CB89" s="37"/>
      <c r="CC89" s="37"/>
      <c r="CD89" s="39"/>
      <c r="CE89" s="39"/>
      <c r="CF89" s="39"/>
      <c r="CG89" s="39"/>
      <c r="CH89" s="37"/>
      <c r="CI89" s="37"/>
      <c r="CJ89" s="39"/>
      <c r="CK89" s="39"/>
      <c r="CL89" s="39"/>
      <c r="CM89" s="40"/>
      <c r="CN89" s="41"/>
      <c r="CO89" s="41"/>
      <c r="CP89" s="42"/>
      <c r="CQ89" s="42"/>
      <c r="CR89" s="42"/>
      <c r="CS89" s="42"/>
      <c r="CT89" s="42"/>
      <c r="CU89" s="42"/>
      <c r="CV89" s="42"/>
      <c r="CW89" s="42"/>
      <c r="CX89" s="42"/>
      <c r="CY89" s="42"/>
      <c r="CZ89" s="42"/>
      <c r="DA89" s="42"/>
      <c r="DB89" s="42"/>
      <c r="DC89" s="42"/>
      <c r="DD89" s="42"/>
      <c r="DE89" s="42"/>
      <c r="DF89" s="42"/>
      <c r="DG89" s="42"/>
      <c r="DH89" s="42"/>
      <c r="DI89" s="42"/>
      <c r="DJ89" s="42"/>
      <c r="DK89" s="42"/>
      <c r="DL89" s="42"/>
      <c r="DM89" s="42"/>
      <c r="DN89" s="42"/>
      <c r="DO89" s="42"/>
      <c r="DP89" s="42"/>
      <c r="DQ89" s="42"/>
      <c r="DR89" s="42"/>
      <c r="DS89" s="42"/>
      <c r="DT89" s="42"/>
      <c r="DU89" s="42"/>
      <c r="DV89" s="43"/>
      <c r="DW89" s="43"/>
      <c r="DX89" s="43"/>
      <c r="DY89" s="43"/>
      <c r="DZ89" s="43"/>
      <c r="EA89" s="43"/>
      <c r="EB89" s="43"/>
      <c r="EC89" s="43"/>
    </row>
    <row r="90" spans="1:133" ht="14.5" x14ac:dyDescent="0.25">
      <c r="B90" s="123"/>
      <c r="C90" s="214"/>
      <c r="D90" s="204"/>
      <c r="E90" s="204"/>
      <c r="F90" s="204"/>
      <c r="G90" s="204"/>
      <c r="H90" s="204"/>
      <c r="I90" s="204"/>
      <c r="J90" s="204"/>
      <c r="K90" s="204"/>
      <c r="L90" s="204"/>
      <c r="M90" s="204"/>
      <c r="N90" s="204"/>
      <c r="O90" s="204"/>
      <c r="P90" s="204"/>
      <c r="Q90" s="204"/>
      <c r="R90" s="204"/>
      <c r="S90" s="204"/>
      <c r="T90" s="204"/>
      <c r="U90" s="204"/>
      <c r="V90" s="204"/>
      <c r="W90" s="205"/>
      <c r="X90" s="204"/>
      <c r="Y90" s="204"/>
      <c r="Z90" s="206"/>
      <c r="AA90" s="165">
        <f>IF(Z90&gt;0,SQRT(SUM(AB90))/Z90,0)</f>
        <v>0</v>
      </c>
      <c r="AB90" s="207">
        <f>(Z90*AA90)^2</f>
        <v>0</v>
      </c>
      <c r="AC90" s="208"/>
      <c r="AD90" s="204"/>
      <c r="AE90" s="204"/>
      <c r="AF90" s="209"/>
      <c r="AG90" s="207"/>
      <c r="AH90" s="165">
        <f>IF(AG90&gt;0,SQRT(SUM(AI90))/AG90,0)</f>
        <v>0</v>
      </c>
      <c r="AI90" s="207">
        <f>(AG90*AH90)^2</f>
        <v>0</v>
      </c>
      <c r="AJ90" s="204"/>
      <c r="AK90" s="204"/>
      <c r="AL90" s="204"/>
      <c r="AM90" s="204"/>
      <c r="AN90" s="207"/>
      <c r="AO90" s="165">
        <f>IF(AN90&gt;0,SQRT(SUM(AP90))/AN90,0)</f>
        <v>0</v>
      </c>
      <c r="AP90" s="207">
        <f>(AN90*AO90)^2</f>
        <v>0</v>
      </c>
      <c r="AQ90" s="204"/>
      <c r="AR90" s="204"/>
      <c r="AS90" s="204"/>
      <c r="AT90" s="207"/>
      <c r="AU90" s="165">
        <f>IF(AT90&gt;0,SQRT(SUM(AV90))/AT90,0)</f>
        <v>0</v>
      </c>
      <c r="AV90" s="207">
        <f>(AT90*AU90)^2</f>
        <v>0</v>
      </c>
      <c r="AW90" s="204"/>
      <c r="AX90" s="204"/>
      <c r="AY90" s="210"/>
      <c r="AZ90" s="211"/>
      <c r="BA90" s="207"/>
      <c r="BB90" s="165">
        <f>IF(BA90&gt;0,SQRT(SUM(BC90))/BA90,0)</f>
        <v>0</v>
      </c>
      <c r="BC90" s="207">
        <f>(BA90*BB90)^2</f>
        <v>0</v>
      </c>
      <c r="BD90" s="207"/>
      <c r="BE90" s="165">
        <f>IF(BD90&gt;0,SQRT(SUM(BF74:BF88))/BD90,0)</f>
        <v>0</v>
      </c>
      <c r="BF90" s="165">
        <f>IF(BE90&gt;0,SQRT(SUM(BG74:BG88))/BE90,0)</f>
        <v>0</v>
      </c>
      <c r="BG90" s="242">
        <f>(BE90*BF90)^2</f>
        <v>0</v>
      </c>
    </row>
    <row r="91" spans="1:133" s="44" customFormat="1" ht="25.5" customHeight="1" x14ac:dyDescent="0.25">
      <c r="A91" s="30"/>
      <c r="B91" s="580" t="s">
        <v>298</v>
      </c>
      <c r="C91" s="594"/>
      <c r="D91" s="594"/>
      <c r="E91" s="594"/>
      <c r="F91" s="594"/>
      <c r="G91" s="594"/>
      <c r="H91" s="594"/>
      <c r="I91" s="594"/>
      <c r="J91" s="594"/>
      <c r="K91" s="594"/>
      <c r="L91" s="594"/>
      <c r="M91" s="594"/>
      <c r="N91" s="594"/>
      <c r="O91" s="594"/>
      <c r="P91" s="594"/>
      <c r="Q91" s="594"/>
      <c r="R91" s="594"/>
      <c r="S91" s="594"/>
      <c r="T91" s="594"/>
      <c r="U91" s="594"/>
      <c r="V91" s="594"/>
      <c r="W91" s="594"/>
      <c r="X91" s="594"/>
      <c r="Y91" s="594"/>
      <c r="Z91" s="594"/>
      <c r="AA91" s="594" t="e">
        <f>+AA84+#REF!</f>
        <v>#REF!</v>
      </c>
      <c r="AB91" s="594" t="e">
        <f>IF(AA91&gt;0,(SQRT(AC84+#REF!))/AA91,0)</f>
        <v>#REF!</v>
      </c>
      <c r="AC91" s="594" t="e">
        <f>(AA91*AB91)^2</f>
        <v>#REF!</v>
      </c>
      <c r="AD91" s="594"/>
      <c r="AE91" s="594"/>
      <c r="AF91" s="594"/>
      <c r="AG91" s="594"/>
      <c r="AH91" s="594" t="e">
        <f>+AH84+#REF!</f>
        <v>#REF!</v>
      </c>
      <c r="AI91" s="594" t="e">
        <f>IF(AH91&gt;0,(SQRT(AJ84+#REF!))/AH91,0)</f>
        <v>#REF!</v>
      </c>
      <c r="AJ91" s="594" t="e">
        <f>(AH91*AI91)^2</f>
        <v>#REF!</v>
      </c>
      <c r="AK91" s="594"/>
      <c r="AL91" s="594"/>
      <c r="AM91" s="594"/>
      <c r="AN91" s="594"/>
      <c r="AO91" s="594" t="e">
        <f>+AO84+#REF!</f>
        <v>#REF!</v>
      </c>
      <c r="AP91" s="594" t="e">
        <f>IF(AO91&gt;0,(SQRT(AQ84+#REF!))/AO91,0)</f>
        <v>#REF!</v>
      </c>
      <c r="AQ91" s="594" t="e">
        <f>(AO91*AP91)^2</f>
        <v>#REF!</v>
      </c>
      <c r="AR91" s="594"/>
      <c r="AS91" s="594"/>
      <c r="AT91" s="594"/>
      <c r="AU91" s="594" t="e">
        <f>+AU84+#REF!</f>
        <v>#REF!</v>
      </c>
      <c r="AV91" s="594" t="e">
        <f>IF(AU91&gt;0,(SQRT(AW84+#REF!))/AU91,0)</f>
        <v>#REF!</v>
      </c>
      <c r="AW91" s="594" t="e">
        <f>(AU91*AV91)^2</f>
        <v>#REF!</v>
      </c>
      <c r="AX91" s="594"/>
      <c r="AY91" s="594"/>
      <c r="AZ91" s="594"/>
      <c r="BA91" s="594"/>
      <c r="BB91" s="594" t="e">
        <f>+BB84+#REF!</f>
        <v>#REF!</v>
      </c>
      <c r="BC91" s="594" t="e">
        <f>IF(BB91&gt;0,(SQRT(BD84+#REF!))/BB91,0)</f>
        <v>#REF!</v>
      </c>
      <c r="BD91" s="594" t="e">
        <f>(BB91*BC91)^2</f>
        <v>#REF!</v>
      </c>
      <c r="BE91" s="594" t="e">
        <f>+BE84+#REF!</f>
        <v>#REF!</v>
      </c>
      <c r="BF91" s="594" t="e">
        <f>IF(BE91&gt;0,(SQRT(BG84+#REF!))/BE91,0)</f>
        <v>#REF!</v>
      </c>
      <c r="BG91" s="235"/>
      <c r="BH91" s="53"/>
      <c r="BI91" s="54"/>
      <c r="BJ91" s="54"/>
      <c r="BK91" s="54"/>
      <c r="BL91" s="55"/>
      <c r="BM91" s="55"/>
      <c r="BN91" s="55"/>
      <c r="BO91" s="79"/>
      <c r="BP91" s="79"/>
      <c r="BQ91" s="79"/>
      <c r="BR91" s="79"/>
      <c r="BS91" s="79"/>
      <c r="BT91" s="79"/>
      <c r="BU91" s="54"/>
      <c r="BV91" s="79"/>
      <c r="BW91" s="79"/>
      <c r="BX91" s="54"/>
      <c r="BY91" s="54"/>
      <c r="BZ91" s="54"/>
      <c r="CA91" s="56"/>
      <c r="CB91" s="79"/>
      <c r="CC91" s="79"/>
      <c r="CD91" s="56"/>
      <c r="CE91" s="56"/>
      <c r="CF91" s="56"/>
      <c r="CG91" s="56"/>
      <c r="CH91" s="79"/>
      <c r="CI91" s="79"/>
      <c r="CJ91" s="56"/>
      <c r="CK91" s="56"/>
      <c r="CL91" s="56"/>
      <c r="CM91" s="57"/>
      <c r="CN91" s="58"/>
      <c r="CO91" s="58"/>
      <c r="CP91" s="35"/>
      <c r="CQ91" s="35"/>
      <c r="CR91" s="35"/>
      <c r="CS91" s="35"/>
      <c r="CT91" s="35"/>
      <c r="CU91" s="35"/>
      <c r="CV91" s="35"/>
      <c r="CW91" s="35"/>
      <c r="CX91" s="35"/>
      <c r="CY91" s="35"/>
      <c r="CZ91" s="35"/>
      <c r="DA91" s="35"/>
      <c r="DB91" s="35"/>
      <c r="DC91" s="35"/>
      <c r="DD91" s="35"/>
      <c r="DE91" s="35"/>
      <c r="DF91" s="35"/>
      <c r="DG91" s="35"/>
      <c r="DH91" s="35"/>
      <c r="DI91" s="35"/>
      <c r="DJ91" s="35"/>
      <c r="DK91" s="35"/>
      <c r="DL91" s="35"/>
      <c r="DM91" s="35"/>
      <c r="DN91" s="35"/>
      <c r="DO91" s="35"/>
      <c r="DP91" s="35"/>
      <c r="DQ91" s="35"/>
      <c r="DR91" s="35"/>
      <c r="DS91" s="35"/>
      <c r="DT91" s="35"/>
      <c r="DU91" s="35"/>
      <c r="DV91" s="59"/>
      <c r="DW91" s="59"/>
      <c r="DX91" s="59"/>
      <c r="DY91" s="59"/>
      <c r="DZ91" s="59"/>
      <c r="EA91" s="59"/>
      <c r="EB91" s="59"/>
      <c r="EC91" s="59"/>
    </row>
    <row r="92" spans="1:133" ht="14" x14ac:dyDescent="0.25">
      <c r="B92" s="202"/>
      <c r="C92" s="203"/>
      <c r="D92" s="203"/>
      <c r="E92" s="203"/>
      <c r="F92" s="203"/>
      <c r="G92" s="203"/>
      <c r="H92" s="203"/>
      <c r="I92" s="203"/>
      <c r="J92" s="203"/>
      <c r="K92" s="203"/>
      <c r="L92" s="203"/>
      <c r="M92" s="203"/>
      <c r="N92" s="203"/>
      <c r="O92" s="203"/>
      <c r="P92" s="203"/>
      <c r="Q92" s="203"/>
      <c r="R92" s="203"/>
      <c r="S92" s="203"/>
      <c r="T92" s="203"/>
      <c r="U92" s="203"/>
      <c r="V92" s="203"/>
      <c r="W92" s="203"/>
      <c r="X92" s="203"/>
      <c r="Y92" s="203"/>
      <c r="Z92" s="203"/>
      <c r="AA92" s="203"/>
      <c r="AB92" s="203"/>
      <c r="AC92" s="203"/>
      <c r="AD92" s="203"/>
      <c r="AE92" s="203"/>
      <c r="AF92" s="203"/>
      <c r="AG92" s="203"/>
      <c r="AH92" s="203"/>
      <c r="AI92" s="203"/>
      <c r="AJ92" s="203"/>
      <c r="AK92" s="203"/>
      <c r="AL92" s="203"/>
      <c r="AM92" s="203"/>
      <c r="AN92" s="203"/>
      <c r="AO92" s="203"/>
      <c r="AP92" s="203"/>
      <c r="AQ92" s="203"/>
      <c r="AR92" s="203"/>
      <c r="AS92" s="203"/>
      <c r="AT92" s="203"/>
      <c r="AU92" s="203"/>
      <c r="AV92" s="203"/>
      <c r="AW92" s="203"/>
      <c r="AX92" s="203"/>
      <c r="AY92" s="203"/>
      <c r="AZ92" s="203"/>
      <c r="BA92" s="203"/>
      <c r="BB92" s="203"/>
      <c r="BC92" s="203"/>
      <c r="BD92" s="203"/>
      <c r="BE92" s="203"/>
      <c r="BF92" s="203"/>
      <c r="BG92" s="242"/>
      <c r="BO92" s="66"/>
      <c r="BP92" s="66"/>
      <c r="BQ92" s="66"/>
      <c r="BR92" s="66"/>
      <c r="BS92" s="66"/>
      <c r="BT92" s="66"/>
      <c r="BV92" s="66"/>
      <c r="BW92" s="66"/>
      <c r="CB92" s="66"/>
      <c r="CC92" s="66"/>
      <c r="CH92" s="66"/>
      <c r="CI92" s="66"/>
    </row>
    <row r="93" spans="1:133" ht="28.5" x14ac:dyDescent="0.25">
      <c r="B93" s="580" t="s">
        <v>299</v>
      </c>
      <c r="C93" s="581"/>
      <c r="D93" s="166"/>
      <c r="E93" s="166"/>
      <c r="F93" s="166"/>
      <c r="G93" s="166"/>
      <c r="H93" s="166"/>
      <c r="I93" s="166"/>
      <c r="J93" s="166"/>
      <c r="K93" s="166"/>
      <c r="L93" s="166"/>
      <c r="M93" s="166"/>
      <c r="N93" s="166"/>
      <c r="O93" s="166"/>
      <c r="P93" s="166"/>
      <c r="Q93" s="166"/>
      <c r="R93" s="166"/>
      <c r="S93" s="166"/>
      <c r="T93" s="166"/>
      <c r="U93" s="166"/>
      <c r="V93" s="166"/>
      <c r="W93" s="166"/>
      <c r="X93" s="166"/>
      <c r="Y93" s="166"/>
      <c r="Z93" s="166"/>
      <c r="AA93" s="507">
        <f>AA41+AA53+AA79+AA84+AA90</f>
        <v>44467.645131175399</v>
      </c>
      <c r="AB93" s="507">
        <f>AB41+AB53+AB79+AB84+AB90</f>
        <v>0.90809706434280235</v>
      </c>
      <c r="AC93" s="507">
        <f t="shared" ref="AC93" si="65">AC41+AC53+AC79+AC84+AC90</f>
        <v>36486835.576086171</v>
      </c>
      <c r="AD93" s="507"/>
      <c r="AE93" s="166"/>
      <c r="AF93" s="166"/>
      <c r="AG93" s="166"/>
      <c r="AH93" s="507">
        <f>AH41+AH53+AH79+AH84+AH90</f>
        <v>262515.16208397382</v>
      </c>
      <c r="AI93" s="507">
        <f>AI41+AI53+AI79+AI84+AI90</f>
        <v>0.20783929322677841</v>
      </c>
      <c r="AJ93" s="507">
        <f t="shared" ref="AJ93" si="66">AJ41+AJ53+AJ79+AJ84+AJ90</f>
        <v>1854.1016656530228</v>
      </c>
      <c r="AK93" s="166"/>
      <c r="AL93" s="166"/>
      <c r="AM93" s="166"/>
      <c r="AN93" s="166"/>
      <c r="AO93" s="507">
        <f>AO41+AO53+AO79+AO84+AO90</f>
        <v>103204.60946073287</v>
      </c>
      <c r="AP93" s="507">
        <f>AP41+AP53+AP79+AP84+AP90</f>
        <v>0.1678660937757207</v>
      </c>
      <c r="AQ93" s="507">
        <f t="shared" ref="AQ93" si="67">AQ41+AQ53+AQ79+AQ84+AQ90</f>
        <v>1.7492780062516484E-2</v>
      </c>
      <c r="AR93" s="166"/>
      <c r="AS93" s="166"/>
      <c r="AT93" s="166"/>
      <c r="AU93" s="507">
        <f>AU41+AU53+AU79+AU84+AU90</f>
        <v>0</v>
      </c>
      <c r="AV93" s="507">
        <f>AV41+AV53+AV79+AV84+AV90</f>
        <v>0</v>
      </c>
      <c r="AW93" s="507">
        <f t="shared" ref="AW93" si="68">AW41+AW53+AW79+AW84+AW90</f>
        <v>0</v>
      </c>
      <c r="AX93" s="166"/>
      <c r="AY93" s="166"/>
      <c r="AZ93" s="166"/>
      <c r="BA93" s="168"/>
      <c r="BB93" s="507">
        <f>BB41+BB53+BB79+BB84+BB90</f>
        <v>0</v>
      </c>
      <c r="BC93" s="507">
        <f>BC41+BC53+BC79+BC84+BC90</f>
        <v>0</v>
      </c>
      <c r="BD93" s="507">
        <f t="shared" ref="BD93" si="69">BD41+BD53+BD79+BD84+BD90</f>
        <v>0</v>
      </c>
      <c r="BE93" s="507">
        <f>BE41+BE53+BE79+BE84+BE90</f>
        <v>410187.41667588206</v>
      </c>
      <c r="BF93" s="432">
        <f>IF(BE93&gt;0,SQRT(BG41+BG53+BG79+BG84+BG90)/BE93,0)</f>
        <v>6.4858443003340746E-2</v>
      </c>
      <c r="BG93" s="235">
        <f>(BE93*BF93)^2</f>
        <v>707779051.20174038</v>
      </c>
      <c r="BJ93" s="508"/>
      <c r="BO93" s="66"/>
      <c r="BP93" s="66"/>
      <c r="BQ93" s="66"/>
      <c r="BR93" s="66"/>
      <c r="BS93" s="66"/>
      <c r="BT93" s="66"/>
      <c r="BV93" s="66"/>
      <c r="BW93" s="66"/>
      <c r="CB93" s="66"/>
      <c r="CC93" s="66"/>
      <c r="CH93" s="66"/>
      <c r="CI93" s="66"/>
    </row>
    <row r="94" spans="1:133" ht="14" x14ac:dyDescent="0.25">
      <c r="B94" s="202"/>
      <c r="C94" s="203"/>
      <c r="D94" s="203"/>
      <c r="E94" s="203"/>
      <c r="F94" s="203"/>
      <c r="G94" s="203"/>
      <c r="H94" s="203"/>
      <c r="I94" s="203"/>
      <c r="J94" s="203"/>
      <c r="K94" s="203"/>
      <c r="L94" s="203"/>
      <c r="M94" s="203"/>
      <c r="N94" s="203"/>
      <c r="O94" s="203"/>
      <c r="P94" s="203"/>
      <c r="Q94" s="203"/>
      <c r="R94" s="203"/>
      <c r="S94" s="203"/>
      <c r="T94" s="203"/>
      <c r="U94" s="203"/>
      <c r="V94" s="203"/>
      <c r="W94" s="203"/>
      <c r="X94" s="203"/>
      <c r="Y94" s="203"/>
      <c r="Z94" s="203"/>
      <c r="AA94" s="203"/>
      <c r="AB94" s="203"/>
      <c r="AC94" s="203"/>
      <c r="AD94" s="203"/>
      <c r="AE94" s="203"/>
      <c r="AF94" s="203"/>
      <c r="AG94" s="203"/>
      <c r="AH94" s="203"/>
      <c r="AI94" s="203"/>
      <c r="AJ94" s="203"/>
      <c r="AK94" s="203"/>
      <c r="AL94" s="203"/>
      <c r="AM94" s="203"/>
      <c r="AN94" s="203"/>
      <c r="AO94" s="203"/>
      <c r="AP94" s="203"/>
      <c r="AQ94" s="203"/>
      <c r="AR94" s="203"/>
      <c r="AS94" s="203"/>
      <c r="AT94" s="203"/>
      <c r="AU94" s="203"/>
      <c r="AV94" s="203"/>
      <c r="AW94" s="203"/>
      <c r="AX94" s="203"/>
      <c r="AY94" s="203"/>
      <c r="AZ94" s="203"/>
      <c r="BA94" s="203"/>
      <c r="BB94" s="203"/>
      <c r="BC94" s="203"/>
      <c r="BD94" s="203"/>
      <c r="BE94" s="203"/>
      <c r="BF94" s="203"/>
      <c r="BG94" s="242"/>
      <c r="BO94" s="66"/>
      <c r="BP94" s="66"/>
      <c r="BQ94" s="66"/>
      <c r="BR94" s="66"/>
      <c r="BS94" s="66"/>
      <c r="BT94" s="66"/>
      <c r="BV94" s="66"/>
      <c r="BW94" s="66"/>
      <c r="CB94" s="66"/>
      <c r="CC94" s="66"/>
      <c r="CH94" s="66"/>
      <c r="CI94" s="66"/>
    </row>
    <row r="95" spans="1:133" ht="30.75" customHeight="1" x14ac:dyDescent="0.25">
      <c r="B95" s="166" t="s">
        <v>300</v>
      </c>
      <c r="C95" s="166"/>
      <c r="D95" s="166"/>
      <c r="E95" s="166"/>
      <c r="F95" s="166"/>
      <c r="G95" s="166"/>
      <c r="H95" s="166"/>
      <c r="I95" s="166"/>
      <c r="J95" s="166"/>
      <c r="K95" s="166"/>
      <c r="L95" s="166"/>
      <c r="M95" s="166"/>
      <c r="N95" s="166"/>
      <c r="O95" s="166"/>
      <c r="P95" s="166"/>
      <c r="Q95" s="166"/>
      <c r="R95" s="166"/>
      <c r="S95" s="166"/>
      <c r="T95" s="166"/>
      <c r="U95" s="166"/>
      <c r="V95" s="166"/>
      <c r="W95" s="166"/>
      <c r="X95" s="166"/>
      <c r="Y95" s="166"/>
      <c r="Z95" s="166"/>
      <c r="AA95" s="167">
        <f>+AA37+AA41+AA53+AA79+AA84+AA90</f>
        <v>47267.071265424202</v>
      </c>
      <c r="AB95" s="167">
        <f>+AB37+AB41+AB53+AB79+AB84+AB90</f>
        <v>2.9711278467491136</v>
      </c>
      <c r="AC95" s="167">
        <f>(AA95*AB95)^2</f>
        <v>19722413810.312374</v>
      </c>
      <c r="AD95" s="166"/>
      <c r="AE95" s="166"/>
      <c r="AF95" s="166"/>
      <c r="AG95" s="166"/>
      <c r="AH95" s="167">
        <f>+AH37+AH41+AH53+AH79+AH84+AH90</f>
        <v>263095.14186855644</v>
      </c>
      <c r="AI95" s="167">
        <f>+AI36+AI40+AI52+AI79+AI84+AI90</f>
        <v>5.3852283610823282E-2</v>
      </c>
      <c r="AJ95" s="167">
        <f>(AH95*AI95)^2</f>
        <v>200739993.7082077</v>
      </c>
      <c r="AK95" s="166"/>
      <c r="AL95" s="166"/>
      <c r="AM95" s="166"/>
      <c r="AN95" s="166"/>
      <c r="AO95" s="167">
        <f>+AO37+AO41+AO53+AO79+AO84+AO90</f>
        <v>103211.61015291998</v>
      </c>
      <c r="AP95" s="167">
        <f>+AP36+AP40+AP52+AP79+AP84+AP90</f>
        <v>0</v>
      </c>
      <c r="AQ95" s="167">
        <f>(AO95*AP95)^2</f>
        <v>0</v>
      </c>
      <c r="AR95" s="166"/>
      <c r="AS95" s="166"/>
      <c r="AT95" s="166"/>
      <c r="AU95" s="167">
        <f>+AU36+AU40+AU52+AU79+AU84+AU90</f>
        <v>86.404008000000005</v>
      </c>
      <c r="AV95" s="167">
        <f>+AV36+AV40+AV52+AV79+AV84+AV90</f>
        <v>2.1693726202750048</v>
      </c>
      <c r="AW95" s="167">
        <f>(AU95*AV95)^2</f>
        <v>35134.686771446264</v>
      </c>
      <c r="AX95" s="166"/>
      <c r="AY95" s="166"/>
      <c r="AZ95" s="166"/>
      <c r="BA95" s="168"/>
      <c r="BB95" s="167">
        <f>+BB36+BB40+BB52+BB79+BB84+BB90</f>
        <v>0</v>
      </c>
      <c r="BC95" s="167">
        <f>+BC36+BC40+BC52+BC79+BC84+BC90</f>
        <v>0</v>
      </c>
      <c r="BD95" s="167">
        <f>(BB95*BC95)^2</f>
        <v>0</v>
      </c>
      <c r="BE95" s="167">
        <f>+BE37+BE41+BE53+BE79+BE84+BE90</f>
        <v>413660.22729490063</v>
      </c>
      <c r="BF95" s="432">
        <f>IF(BE95&gt;0,SQRT(BG37+BG41+BG53+BG79+BG84+BG90)/BE95,0)</f>
        <v>6.4316746327494775E-2</v>
      </c>
      <c r="BG95" s="235">
        <f>(BE95*BF95)^2</f>
        <v>707840918.80743122</v>
      </c>
    </row>
    <row r="96" spans="1:133" x14ac:dyDescent="0.25">
      <c r="E96" s="132"/>
      <c r="F96" s="132"/>
      <c r="G96" s="132"/>
      <c r="H96" s="132"/>
      <c r="I96" s="132"/>
      <c r="J96" s="132"/>
      <c r="K96" s="132"/>
      <c r="L96" s="132"/>
      <c r="M96" s="132"/>
      <c r="N96" s="132"/>
      <c r="O96" s="132"/>
      <c r="P96" s="132"/>
      <c r="Q96" s="132"/>
      <c r="R96" s="133"/>
      <c r="S96" s="132"/>
      <c r="T96" s="132"/>
      <c r="U96" s="132"/>
      <c r="V96" s="31"/>
      <c r="Y96" s="31"/>
      <c r="AB96" s="31"/>
      <c r="AF96" s="31"/>
      <c r="AI96" s="31"/>
      <c r="AM96" s="31"/>
      <c r="AN96" s="31"/>
      <c r="AO96" s="31"/>
      <c r="AP96" s="31"/>
      <c r="AT96" s="31"/>
      <c r="AV96" s="31"/>
      <c r="AZ96" s="31"/>
      <c r="BC96" s="31"/>
      <c r="BE96" s="132"/>
      <c r="BF96" s="31"/>
    </row>
    <row r="97" spans="23:93" ht="12.75" customHeight="1" x14ac:dyDescent="0.25"/>
    <row r="107" spans="23:93" s="42" customFormat="1" ht="14" x14ac:dyDescent="0.25">
      <c r="Z107" s="134"/>
      <c r="AA107" s="134"/>
      <c r="AC107" s="134"/>
      <c r="AD107" s="135"/>
      <c r="AG107" s="136"/>
      <c r="AH107" s="136"/>
      <c r="AJ107" s="134"/>
      <c r="AQ107" s="134"/>
      <c r="AU107" s="134"/>
      <c r="AW107" s="134"/>
      <c r="BA107" s="134"/>
      <c r="BB107" s="134"/>
      <c r="BD107" s="134"/>
      <c r="BG107" s="235"/>
      <c r="BH107" s="36"/>
      <c r="BI107" s="37"/>
      <c r="BJ107" s="37"/>
      <c r="BK107" s="37"/>
      <c r="BL107" s="38"/>
      <c r="BM107" s="38"/>
      <c r="BN107" s="38"/>
      <c r="BO107" s="66"/>
      <c r="BP107" s="66"/>
      <c r="BQ107" s="66"/>
      <c r="BR107" s="66"/>
      <c r="BS107" s="66"/>
      <c r="BT107" s="66"/>
      <c r="BU107" s="37"/>
      <c r="BV107" s="66"/>
      <c r="BW107" s="66"/>
      <c r="BX107" s="37"/>
      <c r="BY107" s="37"/>
      <c r="BZ107" s="37"/>
      <c r="CA107" s="39"/>
      <c r="CB107" s="66"/>
      <c r="CC107" s="66"/>
      <c r="CD107" s="39"/>
      <c r="CE107" s="39"/>
      <c r="CF107" s="39"/>
      <c r="CG107" s="39"/>
      <c r="CH107" s="66"/>
      <c r="CI107" s="66"/>
      <c r="CJ107" s="39"/>
      <c r="CK107" s="39"/>
      <c r="CL107" s="39"/>
      <c r="CM107" s="40"/>
      <c r="CN107" s="41"/>
      <c r="CO107" s="41"/>
    </row>
    <row r="108" spans="23:93" s="42" customFormat="1" ht="14" thickBot="1" x14ac:dyDescent="0.3">
      <c r="Z108" s="134"/>
      <c r="AA108" s="134"/>
      <c r="AC108" s="134"/>
      <c r="AD108" s="135"/>
      <c r="AG108" s="136"/>
      <c r="AH108" s="136"/>
      <c r="AJ108" s="134"/>
      <c r="AQ108" s="134"/>
      <c r="AU108" s="134"/>
      <c r="AW108" s="134"/>
      <c r="BA108" s="134"/>
      <c r="BB108" s="134"/>
      <c r="BD108" s="134"/>
      <c r="BG108" s="235"/>
      <c r="BH108" s="36">
        <v>1</v>
      </c>
      <c r="BI108" s="37">
        <v>2</v>
      </c>
      <c r="BJ108" s="37">
        <v>3</v>
      </c>
      <c r="BK108" s="37">
        <v>4</v>
      </c>
      <c r="BL108" s="37">
        <v>5</v>
      </c>
      <c r="BM108" s="37">
        <v>6</v>
      </c>
      <c r="BN108" s="37">
        <v>7</v>
      </c>
      <c r="BO108" s="37">
        <v>8</v>
      </c>
      <c r="BP108" s="37">
        <v>9</v>
      </c>
      <c r="BQ108" s="37">
        <v>10</v>
      </c>
      <c r="BR108" s="37">
        <v>11</v>
      </c>
      <c r="BS108" s="37">
        <v>12</v>
      </c>
      <c r="BT108" s="37">
        <v>13</v>
      </c>
      <c r="BU108" s="37">
        <v>14</v>
      </c>
      <c r="BV108" s="37">
        <v>15</v>
      </c>
      <c r="BW108" s="37">
        <v>16</v>
      </c>
      <c r="BX108" s="37">
        <v>17</v>
      </c>
      <c r="BY108" s="37">
        <v>18</v>
      </c>
      <c r="BZ108" s="37">
        <v>19</v>
      </c>
      <c r="CA108" s="37">
        <v>20</v>
      </c>
      <c r="CB108" s="37">
        <v>21</v>
      </c>
      <c r="CC108" s="37">
        <v>22</v>
      </c>
      <c r="CD108" s="37">
        <v>23</v>
      </c>
      <c r="CE108" s="37">
        <v>24</v>
      </c>
      <c r="CF108" s="37">
        <v>25</v>
      </c>
      <c r="CG108" s="37">
        <v>26</v>
      </c>
      <c r="CH108" s="37">
        <v>27</v>
      </c>
      <c r="CI108" s="37">
        <v>28</v>
      </c>
      <c r="CJ108" s="37">
        <v>29</v>
      </c>
      <c r="CK108" s="37">
        <v>30</v>
      </c>
      <c r="CL108" s="37">
        <v>31</v>
      </c>
      <c r="CM108" s="137">
        <v>32</v>
      </c>
      <c r="CN108" s="138">
        <v>33</v>
      </c>
      <c r="CO108" s="138">
        <v>34</v>
      </c>
    </row>
    <row r="109" spans="23:93" s="42" customFormat="1" ht="26.25" customHeight="1" thickBot="1" x14ac:dyDescent="0.3">
      <c r="Z109" s="134"/>
      <c r="AA109" s="134"/>
      <c r="AC109" s="134"/>
      <c r="AD109" s="135"/>
      <c r="AG109" s="136"/>
      <c r="AH109" s="136"/>
      <c r="AJ109" s="134"/>
      <c r="AQ109" s="134"/>
      <c r="AU109" s="134"/>
      <c r="AW109" s="134"/>
      <c r="BA109" s="134"/>
      <c r="BB109" s="134"/>
      <c r="BD109" s="134"/>
      <c r="BE109" s="139"/>
      <c r="BF109" s="140"/>
      <c r="BG109" s="350"/>
      <c r="BH109" s="169"/>
      <c r="BI109" s="170"/>
      <c r="BJ109" s="582" t="s">
        <v>301</v>
      </c>
      <c r="BK109" s="170"/>
      <c r="BL109" s="582" t="s">
        <v>302</v>
      </c>
      <c r="BM109" s="582" t="s">
        <v>302</v>
      </c>
      <c r="BN109" s="582" t="s">
        <v>303</v>
      </c>
      <c r="BO109" s="610" t="s">
        <v>304</v>
      </c>
      <c r="BP109" s="611"/>
      <c r="BQ109" s="611"/>
      <c r="BR109" s="611"/>
      <c r="BS109" s="611"/>
      <c r="BT109" s="611"/>
      <c r="BU109" s="611"/>
      <c r="BV109" s="611"/>
      <c r="BW109" s="611"/>
      <c r="BX109" s="611"/>
      <c r="BY109" s="611"/>
      <c r="BZ109" s="612"/>
      <c r="CA109" s="610" t="s">
        <v>305</v>
      </c>
      <c r="CB109" s="611"/>
      <c r="CC109" s="611"/>
      <c r="CD109" s="611"/>
      <c r="CE109" s="611"/>
      <c r="CF109" s="611"/>
      <c r="CG109" s="611"/>
      <c r="CH109" s="611"/>
      <c r="CI109" s="611"/>
      <c r="CJ109" s="611"/>
      <c r="CK109" s="611"/>
      <c r="CL109" s="612"/>
      <c r="CM109" s="40"/>
      <c r="CN109" s="41" t="s">
        <v>306</v>
      </c>
      <c r="CO109" s="41"/>
    </row>
    <row r="110" spans="23:93" s="42" customFormat="1" ht="58.5" customHeight="1" thickBot="1" x14ac:dyDescent="0.3">
      <c r="W110" s="139"/>
      <c r="X110" s="139"/>
      <c r="Y110" s="139"/>
      <c r="Z110" s="141"/>
      <c r="AA110" s="141"/>
      <c r="AB110" s="139"/>
      <c r="AC110" s="141"/>
      <c r="AD110" s="142"/>
      <c r="AE110" s="139"/>
      <c r="AF110" s="139"/>
      <c r="AG110" s="143"/>
      <c r="AH110" s="143"/>
      <c r="AI110" s="139"/>
      <c r="AJ110" s="141"/>
      <c r="AK110" s="139"/>
      <c r="AL110" s="139"/>
      <c r="AM110" s="139"/>
      <c r="AN110" s="139"/>
      <c r="AO110" s="139"/>
      <c r="AP110" s="139"/>
      <c r="AQ110" s="141"/>
      <c r="AR110" s="139"/>
      <c r="AS110" s="139"/>
      <c r="AT110" s="139"/>
      <c r="AU110" s="141"/>
      <c r="AV110" s="139"/>
      <c r="AW110" s="141"/>
      <c r="AX110" s="139"/>
      <c r="AY110" s="139"/>
      <c r="AZ110" s="139"/>
      <c r="BA110" s="141"/>
      <c r="BB110" s="141"/>
      <c r="BC110" s="139"/>
      <c r="BD110" s="141"/>
      <c r="BE110" s="139"/>
      <c r="BF110" s="139"/>
      <c r="BG110" s="353"/>
      <c r="BH110" s="169" t="s">
        <v>307</v>
      </c>
      <c r="BI110" s="171" t="s">
        <v>308</v>
      </c>
      <c r="BJ110" s="583"/>
      <c r="BK110" s="171" t="s">
        <v>309</v>
      </c>
      <c r="BL110" s="583"/>
      <c r="BM110" s="583"/>
      <c r="BN110" s="583"/>
      <c r="BO110" s="172" t="s">
        <v>310</v>
      </c>
      <c r="BP110" s="172" t="s">
        <v>311</v>
      </c>
      <c r="BQ110" s="171" t="s">
        <v>309</v>
      </c>
      <c r="BR110" s="172" t="s">
        <v>302</v>
      </c>
      <c r="BS110" s="172" t="s">
        <v>302</v>
      </c>
      <c r="BT110" s="172" t="s">
        <v>303</v>
      </c>
      <c r="BU110" s="172" t="s">
        <v>312</v>
      </c>
      <c r="BV110" s="172" t="s">
        <v>313</v>
      </c>
      <c r="BW110" s="171" t="s">
        <v>309</v>
      </c>
      <c r="BX110" s="172" t="s">
        <v>302</v>
      </c>
      <c r="BY110" s="172" t="s">
        <v>302</v>
      </c>
      <c r="BZ110" s="172" t="s">
        <v>303</v>
      </c>
      <c r="CA110" s="172" t="s">
        <v>314</v>
      </c>
      <c r="CB110" s="172" t="s">
        <v>311</v>
      </c>
      <c r="CC110" s="171" t="s">
        <v>309</v>
      </c>
      <c r="CD110" s="172" t="s">
        <v>302</v>
      </c>
      <c r="CE110" s="172" t="s">
        <v>302</v>
      </c>
      <c r="CF110" s="172" t="s">
        <v>303</v>
      </c>
      <c r="CG110" s="172" t="s">
        <v>312</v>
      </c>
      <c r="CH110" s="172" t="s">
        <v>313</v>
      </c>
      <c r="CI110" s="171" t="s">
        <v>309</v>
      </c>
      <c r="CJ110" s="172" t="s">
        <v>302</v>
      </c>
      <c r="CK110" s="172" t="s">
        <v>302</v>
      </c>
      <c r="CL110" s="172" t="s">
        <v>303</v>
      </c>
      <c r="CM110" s="40"/>
      <c r="CN110" s="41" t="s">
        <v>315</v>
      </c>
      <c r="CO110" s="41" t="s">
        <v>316</v>
      </c>
    </row>
    <row r="111" spans="23:93" s="42" customFormat="1" ht="16.5" customHeight="1" thickBot="1" x14ac:dyDescent="0.3">
      <c r="W111" s="139"/>
      <c r="X111" s="139"/>
      <c r="Y111" s="139"/>
      <c r="Z111" s="141"/>
      <c r="AA111" s="141"/>
      <c r="AB111" s="139"/>
      <c r="AC111" s="141"/>
      <c r="AD111" s="142"/>
      <c r="AE111" s="139"/>
      <c r="AF111" s="139"/>
      <c r="AG111" s="143"/>
      <c r="AH111" s="143"/>
      <c r="AI111" s="139"/>
      <c r="AJ111" s="141"/>
      <c r="AK111" s="139"/>
      <c r="AL111" s="139"/>
      <c r="AM111" s="139"/>
      <c r="AN111" s="139"/>
      <c r="AO111" s="139"/>
      <c r="AP111" s="139"/>
      <c r="AQ111" s="141"/>
      <c r="AR111" s="139"/>
      <c r="AS111" s="139"/>
      <c r="AT111" s="139"/>
      <c r="AU111" s="141"/>
      <c r="AV111" s="139"/>
      <c r="AW111" s="141"/>
      <c r="AX111" s="139"/>
      <c r="AY111" s="139"/>
      <c r="AZ111" s="139"/>
      <c r="BA111" s="141"/>
      <c r="BB111" s="141"/>
      <c r="BC111" s="139"/>
      <c r="BD111" s="141"/>
      <c r="BE111" s="139"/>
      <c r="BF111" s="139"/>
      <c r="BG111" s="353"/>
      <c r="BH111" s="173" t="s">
        <v>317</v>
      </c>
      <c r="BI111" s="174" t="s">
        <v>318</v>
      </c>
      <c r="BJ111" s="174">
        <v>2534.8130000000001</v>
      </c>
      <c r="BK111" s="174" t="s">
        <v>319</v>
      </c>
      <c r="BL111" s="175">
        <v>2.64E-3</v>
      </c>
      <c r="BM111" s="175">
        <v>2.64E-3</v>
      </c>
      <c r="BN111" s="175" t="s">
        <v>320</v>
      </c>
      <c r="BO111" s="174">
        <v>28.760200000000001</v>
      </c>
      <c r="BP111" s="174">
        <f>BO111/1000</f>
        <v>2.87602E-2</v>
      </c>
      <c r="BQ111" s="174" t="s">
        <v>321</v>
      </c>
      <c r="BR111" s="176">
        <v>3.0000000000000001E-3</v>
      </c>
      <c r="BS111" s="176">
        <v>0.03</v>
      </c>
      <c r="BT111" s="174" t="s">
        <v>322</v>
      </c>
      <c r="BU111" s="174">
        <v>43.1404</v>
      </c>
      <c r="BV111" s="174">
        <f>BU111/1000</f>
        <v>4.3140400000000002E-2</v>
      </c>
      <c r="BW111" s="174" t="s">
        <v>323</v>
      </c>
      <c r="BX111" s="176">
        <v>5.0000000000000001E-3</v>
      </c>
      <c r="BY111" s="176">
        <v>0.05</v>
      </c>
      <c r="BZ111" s="174" t="s">
        <v>322</v>
      </c>
      <c r="CA111" s="174">
        <v>0</v>
      </c>
      <c r="CB111" s="174">
        <f>CA111/1000</f>
        <v>0</v>
      </c>
      <c r="CC111" s="174" t="s">
        <v>321</v>
      </c>
      <c r="CD111" s="176">
        <v>0</v>
      </c>
      <c r="CE111" s="176">
        <v>0</v>
      </c>
      <c r="CF111" s="174" t="s">
        <v>322</v>
      </c>
      <c r="CG111" s="174">
        <v>0</v>
      </c>
      <c r="CH111" s="174">
        <f>CG111/1000</f>
        <v>0</v>
      </c>
      <c r="CI111" s="174" t="s">
        <v>323</v>
      </c>
      <c r="CJ111" s="176">
        <v>0</v>
      </c>
      <c r="CK111" s="176">
        <v>0</v>
      </c>
      <c r="CL111" s="174" t="s">
        <v>322</v>
      </c>
      <c r="CM111" s="40"/>
      <c r="CN111" s="41">
        <v>0.15</v>
      </c>
      <c r="CO111" s="41">
        <v>0.2</v>
      </c>
    </row>
    <row r="112" spans="23:93" s="42" customFormat="1" ht="16.5" customHeight="1" thickBot="1" x14ac:dyDescent="0.3">
      <c r="W112" s="139"/>
      <c r="X112" s="139"/>
      <c r="Y112" s="139"/>
      <c r="Z112" s="141"/>
      <c r="AA112" s="141"/>
      <c r="AB112" s="139"/>
      <c r="AC112" s="141"/>
      <c r="AD112" s="142"/>
      <c r="AE112" s="139"/>
      <c r="AF112" s="139"/>
      <c r="AG112" s="143"/>
      <c r="AH112" s="143"/>
      <c r="AI112" s="139"/>
      <c r="AJ112" s="141"/>
      <c r="AK112" s="139"/>
      <c r="AL112" s="139"/>
      <c r="AM112" s="139"/>
      <c r="AN112" s="139"/>
      <c r="AO112" s="139"/>
      <c r="AP112" s="139"/>
      <c r="AQ112" s="141"/>
      <c r="AR112" s="139"/>
      <c r="AS112" s="139"/>
      <c r="AT112" s="139"/>
      <c r="AU112" s="141"/>
      <c r="AV112" s="139"/>
      <c r="AW112" s="141"/>
      <c r="AX112" s="139"/>
      <c r="AY112" s="139"/>
      <c r="AZ112" s="139"/>
      <c r="BA112" s="141"/>
      <c r="BB112" s="141"/>
      <c r="BC112" s="139"/>
      <c r="BD112" s="141"/>
      <c r="BE112" s="139"/>
      <c r="BF112" s="139"/>
      <c r="BG112" s="353"/>
      <c r="BH112" s="177" t="s">
        <v>324</v>
      </c>
      <c r="BI112" s="174" t="s">
        <v>325</v>
      </c>
      <c r="BJ112" s="178">
        <v>2160.7550000000001</v>
      </c>
      <c r="BK112" s="174" t="s">
        <v>319</v>
      </c>
      <c r="BL112" s="176">
        <v>3.0399999999999997E-3</v>
      </c>
      <c r="BM112" s="176">
        <v>3.0399999999999997E-3</v>
      </c>
      <c r="BN112" s="175" t="s">
        <v>320</v>
      </c>
      <c r="BO112" s="179">
        <v>26.622399999999999</v>
      </c>
      <c r="BP112" s="174">
        <f t="shared" ref="BP112:BP135" si="70">BO112/1000</f>
        <v>2.6622399999999997E-2</v>
      </c>
      <c r="BQ112" s="174" t="s">
        <v>326</v>
      </c>
      <c r="BR112" s="176">
        <v>3.0000000000000001E-3</v>
      </c>
      <c r="BS112" s="176">
        <v>0.03</v>
      </c>
      <c r="BT112" s="174" t="s">
        <v>322</v>
      </c>
      <c r="BU112" s="178">
        <v>39.933500000000002</v>
      </c>
      <c r="BV112" s="174">
        <f t="shared" ref="BV112:BV135" si="71">BU112/1000</f>
        <v>3.9933500000000004E-2</v>
      </c>
      <c r="BW112" s="174" t="s">
        <v>323</v>
      </c>
      <c r="BX112" s="176">
        <v>5.0000000000000001E-3</v>
      </c>
      <c r="BY112" s="176">
        <v>0.05</v>
      </c>
      <c r="BZ112" s="174" t="s">
        <v>322</v>
      </c>
      <c r="CA112" s="174">
        <v>0</v>
      </c>
      <c r="CB112" s="174">
        <f t="shared" ref="CB112:CB135" si="72">CA112/1000</f>
        <v>0</v>
      </c>
      <c r="CC112" s="174" t="s">
        <v>321</v>
      </c>
      <c r="CD112" s="176">
        <v>0</v>
      </c>
      <c r="CE112" s="176">
        <v>0</v>
      </c>
      <c r="CF112" s="174" t="s">
        <v>322</v>
      </c>
      <c r="CG112" s="178">
        <v>0</v>
      </c>
      <c r="CH112" s="174">
        <f t="shared" ref="CH112:CH135" si="73">CG112/1000</f>
        <v>0</v>
      </c>
      <c r="CI112" s="174" t="s">
        <v>323</v>
      </c>
      <c r="CJ112" s="176">
        <v>0</v>
      </c>
      <c r="CK112" s="176">
        <v>0</v>
      </c>
      <c r="CL112" s="174" t="s">
        <v>322</v>
      </c>
      <c r="CM112" s="40"/>
      <c r="CN112" s="41">
        <v>0.15</v>
      </c>
      <c r="CO112" s="41">
        <v>0.2</v>
      </c>
    </row>
    <row r="113" spans="23:93" s="42" customFormat="1" ht="16.5" customHeight="1" thickBot="1" x14ac:dyDescent="0.3">
      <c r="W113" s="139"/>
      <c r="X113" s="139"/>
      <c r="Y113" s="139"/>
      <c r="Z113" s="141"/>
      <c r="AA113" s="141"/>
      <c r="AB113" s="139"/>
      <c r="AC113" s="141"/>
      <c r="AD113" s="142"/>
      <c r="AE113" s="139"/>
      <c r="AF113" s="139"/>
      <c r="AG113" s="143"/>
      <c r="AH113" s="143"/>
      <c r="AI113" s="139"/>
      <c r="AJ113" s="141"/>
      <c r="AK113" s="139"/>
      <c r="AL113" s="139"/>
      <c r="AM113" s="139"/>
      <c r="AN113" s="139"/>
      <c r="AO113" s="139"/>
      <c r="AP113" s="139"/>
      <c r="AQ113" s="141"/>
      <c r="AR113" s="139"/>
      <c r="AS113" s="139"/>
      <c r="AT113" s="139"/>
      <c r="AU113" s="141"/>
      <c r="AV113" s="139"/>
      <c r="AW113" s="141"/>
      <c r="AX113" s="139"/>
      <c r="AY113" s="139"/>
      <c r="AZ113" s="139"/>
      <c r="BA113" s="141"/>
      <c r="BB113" s="141"/>
      <c r="BC113" s="139"/>
      <c r="BD113" s="141"/>
      <c r="BE113" s="139"/>
      <c r="BF113" s="139"/>
      <c r="BG113" s="353"/>
      <c r="BH113" s="177" t="s">
        <v>327</v>
      </c>
      <c r="BI113" s="174" t="s">
        <v>325</v>
      </c>
      <c r="BJ113" s="178">
        <v>2894.0590000000002</v>
      </c>
      <c r="BK113" s="174" t="s">
        <v>319</v>
      </c>
      <c r="BL113" s="176">
        <v>2.3499999999999997E-3</v>
      </c>
      <c r="BM113" s="176">
        <v>2.3499999999999997E-3</v>
      </c>
      <c r="BN113" s="175" t="s">
        <v>320</v>
      </c>
      <c r="BO113" s="179">
        <v>30.416899999999998</v>
      </c>
      <c r="BP113" s="174">
        <f t="shared" si="70"/>
        <v>3.0416899999999997E-2</v>
      </c>
      <c r="BQ113" s="174" t="s">
        <v>321</v>
      </c>
      <c r="BR113" s="176">
        <v>3.0000000000000001E-3</v>
      </c>
      <c r="BS113" s="176">
        <v>0.03</v>
      </c>
      <c r="BT113" s="174" t="s">
        <v>322</v>
      </c>
      <c r="BU113" s="178">
        <v>45.625300000000003</v>
      </c>
      <c r="BV113" s="174">
        <f t="shared" si="71"/>
        <v>4.5625300000000001E-2</v>
      </c>
      <c r="BW113" s="174" t="s">
        <v>323</v>
      </c>
      <c r="BX113" s="176">
        <v>5.0000000000000001E-3</v>
      </c>
      <c r="BY113" s="176">
        <v>0.05</v>
      </c>
      <c r="BZ113" s="174" t="s">
        <v>322</v>
      </c>
      <c r="CA113" s="174">
        <v>0</v>
      </c>
      <c r="CB113" s="174">
        <f t="shared" si="72"/>
        <v>0</v>
      </c>
      <c r="CC113" s="174" t="s">
        <v>321</v>
      </c>
      <c r="CD113" s="176">
        <v>0</v>
      </c>
      <c r="CE113" s="176">
        <v>0</v>
      </c>
      <c r="CF113" s="174" t="s">
        <v>322</v>
      </c>
      <c r="CG113" s="178">
        <v>0</v>
      </c>
      <c r="CH113" s="174">
        <f t="shared" si="73"/>
        <v>0</v>
      </c>
      <c r="CI113" s="174" t="s">
        <v>323</v>
      </c>
      <c r="CJ113" s="176">
        <v>0</v>
      </c>
      <c r="CK113" s="176">
        <v>0</v>
      </c>
      <c r="CL113" s="174" t="s">
        <v>322</v>
      </c>
      <c r="CM113" s="40"/>
      <c r="CN113" s="41">
        <v>0.15</v>
      </c>
      <c r="CO113" s="41">
        <v>0.2</v>
      </c>
    </row>
    <row r="114" spans="23:93" s="42" customFormat="1" ht="16.5" customHeight="1" thickBot="1" x14ac:dyDescent="0.3">
      <c r="W114" s="139"/>
      <c r="X114" s="139"/>
      <c r="Y114" s="139"/>
      <c r="Z114" s="141"/>
      <c r="AA114" s="141"/>
      <c r="AB114" s="139"/>
      <c r="AC114" s="141"/>
      <c r="AD114" s="142"/>
      <c r="AE114" s="139"/>
      <c r="AF114" s="139"/>
      <c r="AG114" s="143"/>
      <c r="AH114" s="143"/>
      <c r="AI114" s="139"/>
      <c r="AJ114" s="141"/>
      <c r="AK114" s="139"/>
      <c r="AL114" s="139"/>
      <c r="AM114" s="139"/>
      <c r="AN114" s="139"/>
      <c r="AO114" s="139"/>
      <c r="AP114" s="139"/>
      <c r="AQ114" s="141"/>
      <c r="AR114" s="139"/>
      <c r="AS114" s="139"/>
      <c r="AT114" s="139"/>
      <c r="AU114" s="141"/>
      <c r="AV114" s="139"/>
      <c r="AW114" s="141"/>
      <c r="AX114" s="139"/>
      <c r="AY114" s="139"/>
      <c r="AZ114" s="139"/>
      <c r="BA114" s="141"/>
      <c r="BB114" s="141"/>
      <c r="BC114" s="139"/>
      <c r="BD114" s="141"/>
      <c r="BE114" s="139"/>
      <c r="BF114" s="139"/>
      <c r="BG114" s="353"/>
      <c r="BH114" s="177" t="s">
        <v>328</v>
      </c>
      <c r="BI114" s="174" t="s">
        <v>325</v>
      </c>
      <c r="BJ114" s="178">
        <v>2214.4580000000001</v>
      </c>
      <c r="BK114" s="174" t="s">
        <v>319</v>
      </c>
      <c r="BL114" s="176">
        <v>2.9299999999999999E-3</v>
      </c>
      <c r="BM114" s="176">
        <v>2.9299999999999999E-3</v>
      </c>
      <c r="BN114" s="175" t="s">
        <v>320</v>
      </c>
      <c r="BO114" s="179">
        <v>29.170200000000001</v>
      </c>
      <c r="BP114" s="174">
        <f t="shared" si="70"/>
        <v>2.91702E-2</v>
      </c>
      <c r="BQ114" s="174" t="s">
        <v>321</v>
      </c>
      <c r="BR114" s="176">
        <v>3.0000000000000001E-3</v>
      </c>
      <c r="BS114" s="176">
        <v>0.03</v>
      </c>
      <c r="BT114" s="174" t="s">
        <v>322</v>
      </c>
      <c r="BU114" s="178">
        <v>43.755299999999998</v>
      </c>
      <c r="BV114" s="174">
        <f t="shared" si="71"/>
        <v>4.3755299999999997E-2</v>
      </c>
      <c r="BW114" s="174" t="s">
        <v>323</v>
      </c>
      <c r="BX114" s="176">
        <v>5.0000000000000001E-3</v>
      </c>
      <c r="BY114" s="176">
        <v>0.05</v>
      </c>
      <c r="BZ114" s="174" t="s">
        <v>322</v>
      </c>
      <c r="CA114" s="174">
        <v>0</v>
      </c>
      <c r="CB114" s="174">
        <f t="shared" si="72"/>
        <v>0</v>
      </c>
      <c r="CC114" s="174" t="s">
        <v>321</v>
      </c>
      <c r="CD114" s="176">
        <v>0</v>
      </c>
      <c r="CE114" s="176">
        <v>0</v>
      </c>
      <c r="CF114" s="174" t="s">
        <v>322</v>
      </c>
      <c r="CG114" s="178">
        <v>0</v>
      </c>
      <c r="CH114" s="174">
        <f t="shared" si="73"/>
        <v>0</v>
      </c>
      <c r="CI114" s="174" t="s">
        <v>323</v>
      </c>
      <c r="CJ114" s="176">
        <v>0</v>
      </c>
      <c r="CK114" s="176">
        <v>0</v>
      </c>
      <c r="CL114" s="174" t="s">
        <v>322</v>
      </c>
      <c r="CM114" s="40"/>
      <c r="CN114" s="41">
        <v>0.15</v>
      </c>
      <c r="CO114" s="41">
        <v>0.2</v>
      </c>
    </row>
    <row r="115" spans="23:93" s="42" customFormat="1" ht="16.5" customHeight="1" thickBot="1" x14ac:dyDescent="0.3">
      <c r="W115" s="139"/>
      <c r="X115" s="139"/>
      <c r="Y115" s="139"/>
      <c r="Z115" s="141"/>
      <c r="AA115" s="141"/>
      <c r="AB115" s="139"/>
      <c r="AC115" s="141"/>
      <c r="AD115" s="142"/>
      <c r="AE115" s="139"/>
      <c r="AF115" s="139"/>
      <c r="AG115" s="143"/>
      <c r="AH115" s="143"/>
      <c r="AI115" s="139"/>
      <c r="AJ115" s="141"/>
      <c r="AK115" s="139"/>
      <c r="AL115" s="139"/>
      <c r="AM115" s="139"/>
      <c r="AN115" s="139"/>
      <c r="AO115" s="139"/>
      <c r="AP115" s="139"/>
      <c r="AQ115" s="141"/>
      <c r="AR115" s="139"/>
      <c r="AS115" s="139"/>
      <c r="AT115" s="139"/>
      <c r="AU115" s="141"/>
      <c r="AV115" s="139"/>
      <c r="AW115" s="141"/>
      <c r="AX115" s="139"/>
      <c r="AY115" s="139"/>
      <c r="AZ115" s="139"/>
      <c r="BA115" s="141"/>
      <c r="BB115" s="141"/>
      <c r="BC115" s="139"/>
      <c r="BD115" s="141"/>
      <c r="BE115" s="139"/>
      <c r="BF115" s="139"/>
      <c r="BG115" s="353"/>
      <c r="BH115" s="177" t="s">
        <v>329</v>
      </c>
      <c r="BI115" s="174" t="s">
        <v>325</v>
      </c>
      <c r="BJ115" s="178">
        <v>2507.6329999999998</v>
      </c>
      <c r="BK115" s="174" t="s">
        <v>319</v>
      </c>
      <c r="BL115" s="176">
        <v>2.6099999999999999E-3</v>
      </c>
      <c r="BM115" s="176">
        <v>2.6099999999999999E-3</v>
      </c>
      <c r="BN115" s="175" t="s">
        <v>320</v>
      </c>
      <c r="BO115" s="179">
        <v>31.212299999999999</v>
      </c>
      <c r="BP115" s="174">
        <f t="shared" si="70"/>
        <v>3.1212299999999998E-2</v>
      </c>
      <c r="BQ115" s="174" t="s">
        <v>321</v>
      </c>
      <c r="BR115" s="176">
        <v>3.0000000000000001E-3</v>
      </c>
      <c r="BS115" s="176">
        <v>0.03</v>
      </c>
      <c r="BT115" s="174" t="s">
        <v>322</v>
      </c>
      <c r="BU115" s="178">
        <v>46.818399999999997</v>
      </c>
      <c r="BV115" s="174">
        <f t="shared" si="71"/>
        <v>4.6818399999999996E-2</v>
      </c>
      <c r="BW115" s="174" t="s">
        <v>323</v>
      </c>
      <c r="BX115" s="176">
        <v>5.0000000000000001E-3</v>
      </c>
      <c r="BY115" s="176">
        <v>0.05</v>
      </c>
      <c r="BZ115" s="174" t="s">
        <v>322</v>
      </c>
      <c r="CA115" s="174">
        <v>0</v>
      </c>
      <c r="CB115" s="174">
        <f t="shared" si="72"/>
        <v>0</v>
      </c>
      <c r="CC115" s="174" t="s">
        <v>321</v>
      </c>
      <c r="CD115" s="176">
        <v>0</v>
      </c>
      <c r="CE115" s="176">
        <v>0</v>
      </c>
      <c r="CF115" s="174" t="s">
        <v>322</v>
      </c>
      <c r="CG115" s="178">
        <v>0</v>
      </c>
      <c r="CH115" s="174">
        <f t="shared" si="73"/>
        <v>0</v>
      </c>
      <c r="CI115" s="174" t="s">
        <v>323</v>
      </c>
      <c r="CJ115" s="176">
        <v>0</v>
      </c>
      <c r="CK115" s="176">
        <v>0</v>
      </c>
      <c r="CL115" s="174" t="s">
        <v>322</v>
      </c>
      <c r="CM115" s="40"/>
      <c r="CN115" s="41">
        <v>0.15</v>
      </c>
      <c r="CO115" s="41">
        <v>0.2</v>
      </c>
    </row>
    <row r="116" spans="23:93" s="42" customFormat="1" ht="16.5" customHeight="1" thickBot="1" x14ac:dyDescent="0.3">
      <c r="W116" s="139"/>
      <c r="X116" s="139"/>
      <c r="Y116" s="139"/>
      <c r="Z116" s="141"/>
      <c r="AA116" s="141"/>
      <c r="AB116" s="139"/>
      <c r="AC116" s="141"/>
      <c r="AD116" s="142"/>
      <c r="AE116" s="139"/>
      <c r="AF116" s="139"/>
      <c r="AG116" s="143"/>
      <c r="AH116" s="143"/>
      <c r="AI116" s="139"/>
      <c r="AJ116" s="141"/>
      <c r="AK116" s="139"/>
      <c r="AL116" s="139"/>
      <c r="AM116" s="139"/>
      <c r="AN116" s="139"/>
      <c r="AO116" s="139"/>
      <c r="AP116" s="139"/>
      <c r="AQ116" s="141"/>
      <c r="AR116" s="139"/>
      <c r="AS116" s="139"/>
      <c r="AT116" s="139"/>
      <c r="AU116" s="141"/>
      <c r="AV116" s="139"/>
      <c r="AW116" s="141"/>
      <c r="AX116" s="139"/>
      <c r="AY116" s="139"/>
      <c r="AZ116" s="139"/>
      <c r="BA116" s="141"/>
      <c r="BB116" s="141"/>
      <c r="BC116" s="139"/>
      <c r="BD116" s="141"/>
      <c r="BE116" s="139"/>
      <c r="BF116" s="139"/>
      <c r="BG116" s="353"/>
      <c r="BH116" s="177" t="s">
        <v>330</v>
      </c>
      <c r="BI116" s="174" t="s">
        <v>325</v>
      </c>
      <c r="BJ116" s="178">
        <v>2812.7539999999999</v>
      </c>
      <c r="BK116" s="174" t="s">
        <v>319</v>
      </c>
      <c r="BL116" s="176">
        <v>2.3899999999999998E-3</v>
      </c>
      <c r="BM116" s="176">
        <v>2.3899999999999998E-3</v>
      </c>
      <c r="BN116" s="175" t="s">
        <v>320</v>
      </c>
      <c r="BO116" s="179">
        <v>31.229299999999999</v>
      </c>
      <c r="BP116" s="174">
        <f t="shared" si="70"/>
        <v>3.1229299999999998E-2</v>
      </c>
      <c r="BQ116" s="174" t="s">
        <v>321</v>
      </c>
      <c r="BR116" s="176">
        <v>3.0000000000000001E-3</v>
      </c>
      <c r="BS116" s="176">
        <v>0.03</v>
      </c>
      <c r="BT116" s="174" t="s">
        <v>322</v>
      </c>
      <c r="BU116" s="178">
        <v>46.843899999999998</v>
      </c>
      <c r="BV116" s="174">
        <f t="shared" si="71"/>
        <v>4.6843900000000001E-2</v>
      </c>
      <c r="BW116" s="174" t="s">
        <v>323</v>
      </c>
      <c r="BX116" s="176">
        <v>5.0000000000000001E-3</v>
      </c>
      <c r="BY116" s="176">
        <v>0.05</v>
      </c>
      <c r="BZ116" s="174" t="s">
        <v>322</v>
      </c>
      <c r="CA116" s="174">
        <v>0</v>
      </c>
      <c r="CB116" s="174">
        <f t="shared" si="72"/>
        <v>0</v>
      </c>
      <c r="CC116" s="174" t="s">
        <v>321</v>
      </c>
      <c r="CD116" s="176">
        <v>0</v>
      </c>
      <c r="CE116" s="176">
        <v>0</v>
      </c>
      <c r="CF116" s="174" t="s">
        <v>322</v>
      </c>
      <c r="CG116" s="178">
        <v>0</v>
      </c>
      <c r="CH116" s="174">
        <f t="shared" si="73"/>
        <v>0</v>
      </c>
      <c r="CI116" s="174" t="s">
        <v>323</v>
      </c>
      <c r="CJ116" s="176">
        <v>0</v>
      </c>
      <c r="CK116" s="176">
        <v>0</v>
      </c>
      <c r="CL116" s="174" t="s">
        <v>322</v>
      </c>
      <c r="CM116" s="40"/>
      <c r="CN116" s="41">
        <v>0.15</v>
      </c>
      <c r="CO116" s="41">
        <v>0.2</v>
      </c>
    </row>
    <row r="117" spans="23:93" s="42" customFormat="1" ht="16.5" customHeight="1" thickBot="1" x14ac:dyDescent="0.3">
      <c r="W117" s="139"/>
      <c r="X117" s="139"/>
      <c r="Y117" s="139"/>
      <c r="Z117" s="141"/>
      <c r="AA117" s="141"/>
      <c r="AB117" s="139"/>
      <c r="AC117" s="141"/>
      <c r="AD117" s="142"/>
      <c r="AE117" s="139"/>
      <c r="AF117" s="139"/>
      <c r="AG117" s="143"/>
      <c r="AH117" s="143"/>
      <c r="AI117" s="139"/>
      <c r="AJ117" s="141"/>
      <c r="AK117" s="139"/>
      <c r="AL117" s="139"/>
      <c r="AM117" s="139"/>
      <c r="AN117" s="139"/>
      <c r="AO117" s="139"/>
      <c r="AP117" s="139"/>
      <c r="AQ117" s="141"/>
      <c r="AR117" s="139"/>
      <c r="AS117" s="139"/>
      <c r="AT117" s="139"/>
      <c r="AU117" s="141"/>
      <c r="AV117" s="139"/>
      <c r="AW117" s="141"/>
      <c r="AX117" s="139"/>
      <c r="AY117" s="139"/>
      <c r="AZ117" s="139"/>
      <c r="BA117" s="141"/>
      <c r="BB117" s="141"/>
      <c r="BC117" s="139"/>
      <c r="BD117" s="141"/>
      <c r="BE117" s="139"/>
      <c r="BF117" s="139"/>
      <c r="BG117" s="353"/>
      <c r="BH117" s="177" t="s">
        <v>331</v>
      </c>
      <c r="BI117" s="174" t="s">
        <v>325</v>
      </c>
      <c r="BJ117" s="178">
        <v>1903.181</v>
      </c>
      <c r="BK117" s="174" t="s">
        <v>319</v>
      </c>
      <c r="BL117" s="176">
        <v>3.5399999999999997E-3</v>
      </c>
      <c r="BM117" s="176">
        <v>3.5399999999999997E-3</v>
      </c>
      <c r="BN117" s="175" t="s">
        <v>320</v>
      </c>
      <c r="BO117" s="179">
        <v>20.947600000000001</v>
      </c>
      <c r="BP117" s="174">
        <f t="shared" si="70"/>
        <v>2.09476E-2</v>
      </c>
      <c r="BQ117" s="174" t="s">
        <v>321</v>
      </c>
      <c r="BR117" s="176">
        <v>3.0000000000000001E-3</v>
      </c>
      <c r="BS117" s="176">
        <v>0.03</v>
      </c>
      <c r="BT117" s="174" t="s">
        <v>322</v>
      </c>
      <c r="BU117" s="178">
        <v>31.421399999999998</v>
      </c>
      <c r="BV117" s="174">
        <f t="shared" si="71"/>
        <v>3.1421399999999995E-2</v>
      </c>
      <c r="BW117" s="174" t="s">
        <v>323</v>
      </c>
      <c r="BX117" s="176">
        <v>5.0000000000000001E-3</v>
      </c>
      <c r="BY117" s="176">
        <v>0.05</v>
      </c>
      <c r="BZ117" s="174" t="s">
        <v>322</v>
      </c>
      <c r="CA117" s="174">
        <v>0</v>
      </c>
      <c r="CB117" s="174">
        <f t="shared" si="72"/>
        <v>0</v>
      </c>
      <c r="CC117" s="174" t="s">
        <v>321</v>
      </c>
      <c r="CD117" s="176">
        <v>0</v>
      </c>
      <c r="CE117" s="176">
        <v>0</v>
      </c>
      <c r="CF117" s="174" t="s">
        <v>322</v>
      </c>
      <c r="CG117" s="178">
        <v>0</v>
      </c>
      <c r="CH117" s="174">
        <f t="shared" si="73"/>
        <v>0</v>
      </c>
      <c r="CI117" s="174" t="s">
        <v>323</v>
      </c>
      <c r="CJ117" s="176">
        <v>0</v>
      </c>
      <c r="CK117" s="176">
        <v>0</v>
      </c>
      <c r="CL117" s="174" t="s">
        <v>322</v>
      </c>
      <c r="CM117" s="40"/>
      <c r="CN117" s="41">
        <v>0.15</v>
      </c>
      <c r="CO117" s="41">
        <v>0.2</v>
      </c>
    </row>
    <row r="118" spans="23:93" s="42" customFormat="1" ht="16.5" customHeight="1" thickBot="1" x14ac:dyDescent="0.3">
      <c r="W118" s="139"/>
      <c r="X118" s="139"/>
      <c r="Y118" s="139"/>
      <c r="Z118" s="141"/>
      <c r="AA118" s="141"/>
      <c r="AB118" s="139"/>
      <c r="AC118" s="141"/>
      <c r="AD118" s="142"/>
      <c r="AE118" s="139"/>
      <c r="AF118" s="139"/>
      <c r="AG118" s="143"/>
      <c r="AH118" s="143"/>
      <c r="AI118" s="139"/>
      <c r="AJ118" s="141"/>
      <c r="AK118" s="139"/>
      <c r="AL118" s="139"/>
      <c r="AM118" s="139"/>
      <c r="AN118" s="139"/>
      <c r="AO118" s="139"/>
      <c r="AP118" s="139"/>
      <c r="AQ118" s="141"/>
      <c r="AR118" s="139"/>
      <c r="AS118" s="139"/>
      <c r="AT118" s="139"/>
      <c r="AU118" s="141"/>
      <c r="AV118" s="139"/>
      <c r="AW118" s="141"/>
      <c r="AX118" s="139"/>
      <c r="AY118" s="139"/>
      <c r="AZ118" s="139"/>
      <c r="BA118" s="141"/>
      <c r="BB118" s="141"/>
      <c r="BC118" s="139"/>
      <c r="BD118" s="141"/>
      <c r="BG118" s="242"/>
      <c r="BH118" s="177" t="s">
        <v>332</v>
      </c>
      <c r="BI118" s="174" t="s">
        <v>325</v>
      </c>
      <c r="BJ118" s="178">
        <v>2560.306</v>
      </c>
      <c r="BK118" s="174" t="s">
        <v>319</v>
      </c>
      <c r="BL118" s="176">
        <v>2.5400000000000002E-3</v>
      </c>
      <c r="BM118" s="176">
        <v>2.5400000000000002E-3</v>
      </c>
      <c r="BN118" s="175" t="s">
        <v>320</v>
      </c>
      <c r="BO118" s="179">
        <v>33.076700000000002</v>
      </c>
      <c r="BP118" s="174">
        <f t="shared" si="70"/>
        <v>3.3076700000000001E-2</v>
      </c>
      <c r="BQ118" s="174" t="s">
        <v>321</v>
      </c>
      <c r="BR118" s="176">
        <v>3.0000000000000001E-3</v>
      </c>
      <c r="BS118" s="176">
        <v>0.03</v>
      </c>
      <c r="BT118" s="174" t="s">
        <v>322</v>
      </c>
      <c r="BU118" s="178">
        <v>49.615000000000002</v>
      </c>
      <c r="BV118" s="174">
        <f t="shared" si="71"/>
        <v>4.9614999999999999E-2</v>
      </c>
      <c r="BW118" s="174" t="s">
        <v>323</v>
      </c>
      <c r="BX118" s="176">
        <v>5.0000000000000001E-3</v>
      </c>
      <c r="BY118" s="176">
        <v>0.05</v>
      </c>
      <c r="BZ118" s="174" t="s">
        <v>322</v>
      </c>
      <c r="CA118" s="174">
        <v>0</v>
      </c>
      <c r="CB118" s="174">
        <f t="shared" si="72"/>
        <v>0</v>
      </c>
      <c r="CC118" s="174" t="s">
        <v>321</v>
      </c>
      <c r="CD118" s="176">
        <v>0</v>
      </c>
      <c r="CE118" s="176">
        <v>0</v>
      </c>
      <c r="CF118" s="174" t="s">
        <v>322</v>
      </c>
      <c r="CG118" s="178">
        <v>0</v>
      </c>
      <c r="CH118" s="174">
        <f t="shared" si="73"/>
        <v>0</v>
      </c>
      <c r="CI118" s="174" t="s">
        <v>323</v>
      </c>
      <c r="CJ118" s="176">
        <v>0</v>
      </c>
      <c r="CK118" s="176">
        <v>0</v>
      </c>
      <c r="CL118" s="174" t="s">
        <v>322</v>
      </c>
      <c r="CM118" s="40"/>
      <c r="CN118" s="41">
        <v>0.15</v>
      </c>
      <c r="CO118" s="41">
        <v>0.2</v>
      </c>
    </row>
    <row r="119" spans="23:93" s="42" customFormat="1" ht="16.5" customHeight="1" thickBot="1" x14ac:dyDescent="0.3">
      <c r="W119" s="139"/>
      <c r="X119" s="139"/>
      <c r="Y119" s="139"/>
      <c r="Z119" s="141"/>
      <c r="AA119" s="141"/>
      <c r="AB119" s="139"/>
      <c r="AC119" s="141"/>
      <c r="AD119" s="142"/>
      <c r="AE119" s="139"/>
      <c r="AF119" s="139"/>
      <c r="AG119" s="143"/>
      <c r="AH119" s="143"/>
      <c r="AI119" s="139"/>
      <c r="AJ119" s="141"/>
      <c r="AK119" s="139"/>
      <c r="AL119" s="139"/>
      <c r="AM119" s="139"/>
      <c r="AN119" s="139"/>
      <c r="AO119" s="139"/>
      <c r="AP119" s="139"/>
      <c r="AQ119" s="141"/>
      <c r="AR119" s="139"/>
      <c r="AS119" s="139"/>
      <c r="AT119" s="139"/>
      <c r="AU119" s="141"/>
      <c r="AV119" s="139"/>
      <c r="AW119" s="141"/>
      <c r="AX119" s="139"/>
      <c r="AY119" s="139"/>
      <c r="AZ119" s="139"/>
      <c r="BA119" s="141"/>
      <c r="BB119" s="141"/>
      <c r="BC119" s="139"/>
      <c r="BD119" s="141"/>
      <c r="BE119" s="139"/>
      <c r="BF119" s="139"/>
      <c r="BG119" s="353"/>
      <c r="BH119" s="177" t="s">
        <v>333</v>
      </c>
      <c r="BI119" s="174" t="s">
        <v>325</v>
      </c>
      <c r="BJ119" s="178">
        <v>2690.982</v>
      </c>
      <c r="BK119" s="174" t="s">
        <v>319</v>
      </c>
      <c r="BL119" s="176">
        <v>2.5100000000000001E-3</v>
      </c>
      <c r="BM119" s="176">
        <v>2.5100000000000001E-3</v>
      </c>
      <c r="BN119" s="175" t="s">
        <v>320</v>
      </c>
      <c r="BO119" s="179">
        <v>29.204699999999999</v>
      </c>
      <c r="BP119" s="174">
        <f t="shared" si="70"/>
        <v>2.92047E-2</v>
      </c>
      <c r="BQ119" s="174" t="s">
        <v>321</v>
      </c>
      <c r="BR119" s="176">
        <v>3.0000000000000001E-3</v>
      </c>
      <c r="BS119" s="176">
        <v>0.03</v>
      </c>
      <c r="BT119" s="174" t="s">
        <v>322</v>
      </c>
      <c r="BU119" s="178">
        <v>43.807099999999998</v>
      </c>
      <c r="BV119" s="174">
        <f t="shared" si="71"/>
        <v>4.3807100000000002E-2</v>
      </c>
      <c r="BW119" s="174" t="s">
        <v>323</v>
      </c>
      <c r="BX119" s="176">
        <v>5.0000000000000001E-3</v>
      </c>
      <c r="BY119" s="176">
        <v>0.05</v>
      </c>
      <c r="BZ119" s="174" t="s">
        <v>322</v>
      </c>
      <c r="CA119" s="174">
        <v>0</v>
      </c>
      <c r="CB119" s="174">
        <f t="shared" si="72"/>
        <v>0</v>
      </c>
      <c r="CC119" s="174" t="s">
        <v>321</v>
      </c>
      <c r="CD119" s="176">
        <v>0</v>
      </c>
      <c r="CE119" s="176">
        <v>0</v>
      </c>
      <c r="CF119" s="174" t="s">
        <v>322</v>
      </c>
      <c r="CG119" s="178">
        <v>0</v>
      </c>
      <c r="CH119" s="174">
        <f t="shared" si="73"/>
        <v>0</v>
      </c>
      <c r="CI119" s="174" t="s">
        <v>323</v>
      </c>
      <c r="CJ119" s="176">
        <v>0</v>
      </c>
      <c r="CK119" s="176">
        <v>0</v>
      </c>
      <c r="CL119" s="174" t="s">
        <v>322</v>
      </c>
      <c r="CM119" s="40"/>
      <c r="CN119" s="41">
        <v>0.15</v>
      </c>
      <c r="CO119" s="41">
        <v>0.2</v>
      </c>
    </row>
    <row r="120" spans="23:93" s="42" customFormat="1" ht="16.5" customHeight="1" thickBot="1" x14ac:dyDescent="0.3">
      <c r="Z120" s="134"/>
      <c r="AA120" s="134"/>
      <c r="AC120" s="134"/>
      <c r="AD120" s="135"/>
      <c r="AG120" s="136"/>
      <c r="AH120" s="136"/>
      <c r="AJ120" s="134"/>
      <c r="AQ120" s="134"/>
      <c r="AU120" s="134"/>
      <c r="AW120" s="134"/>
      <c r="BA120" s="134"/>
      <c r="BB120" s="134"/>
      <c r="BD120" s="134"/>
      <c r="BG120" s="235"/>
      <c r="BH120" s="177" t="s">
        <v>334</v>
      </c>
      <c r="BI120" s="174" t="s">
        <v>325</v>
      </c>
      <c r="BJ120" s="178">
        <v>3052.7950000000001</v>
      </c>
      <c r="BK120" s="174" t="s">
        <v>319</v>
      </c>
      <c r="BL120" s="176">
        <v>2.1800000000000001E-3</v>
      </c>
      <c r="BM120" s="176">
        <v>2.1800000000000001E-3</v>
      </c>
      <c r="BN120" s="175" t="s">
        <v>320</v>
      </c>
      <c r="BO120" s="179">
        <v>35.206200000000003</v>
      </c>
      <c r="BP120" s="174">
        <f t="shared" si="70"/>
        <v>3.52062E-2</v>
      </c>
      <c r="BQ120" s="174" t="s">
        <v>321</v>
      </c>
      <c r="BR120" s="176">
        <v>3.0000000000000001E-3</v>
      </c>
      <c r="BS120" s="176">
        <v>0.03</v>
      </c>
      <c r="BT120" s="174" t="s">
        <v>322</v>
      </c>
      <c r="BU120" s="178">
        <v>52.8093</v>
      </c>
      <c r="BV120" s="174">
        <f t="shared" si="71"/>
        <v>5.2809300000000003E-2</v>
      </c>
      <c r="BW120" s="174" t="s">
        <v>323</v>
      </c>
      <c r="BX120" s="176">
        <v>5.0000000000000001E-3</v>
      </c>
      <c r="BY120" s="176">
        <v>0.05</v>
      </c>
      <c r="BZ120" s="174" t="s">
        <v>322</v>
      </c>
      <c r="CA120" s="174">
        <v>0</v>
      </c>
      <c r="CB120" s="174">
        <f t="shared" si="72"/>
        <v>0</v>
      </c>
      <c r="CC120" s="174" t="s">
        <v>321</v>
      </c>
      <c r="CD120" s="176">
        <v>0</v>
      </c>
      <c r="CE120" s="176">
        <v>0</v>
      </c>
      <c r="CF120" s="174" t="s">
        <v>322</v>
      </c>
      <c r="CG120" s="178">
        <v>0</v>
      </c>
      <c r="CH120" s="174">
        <f t="shared" si="73"/>
        <v>0</v>
      </c>
      <c r="CI120" s="174" t="s">
        <v>323</v>
      </c>
      <c r="CJ120" s="176">
        <v>0</v>
      </c>
      <c r="CK120" s="176">
        <v>0</v>
      </c>
      <c r="CL120" s="174" t="s">
        <v>322</v>
      </c>
      <c r="CM120" s="40"/>
      <c r="CN120" s="41">
        <v>0.15</v>
      </c>
      <c r="CO120" s="41">
        <v>0.2</v>
      </c>
    </row>
    <row r="121" spans="23:93" s="42" customFormat="1" ht="16.5" customHeight="1" thickBot="1" x14ac:dyDescent="0.3">
      <c r="Z121" s="134"/>
      <c r="AA121" s="134"/>
      <c r="AC121" s="134"/>
      <c r="AD121" s="135"/>
      <c r="AG121" s="136"/>
      <c r="AH121" s="136"/>
      <c r="AJ121" s="134"/>
      <c r="AQ121" s="134"/>
      <c r="AU121" s="134"/>
      <c r="AW121" s="134"/>
      <c r="BA121" s="134"/>
      <c r="BB121" s="134"/>
      <c r="BD121" s="134"/>
      <c r="BG121" s="235"/>
      <c r="BH121" s="177" t="s">
        <v>335</v>
      </c>
      <c r="BI121" s="174" t="s">
        <v>325</v>
      </c>
      <c r="BJ121" s="178">
        <v>2277.4490000000001</v>
      </c>
      <c r="BK121" s="174" t="s">
        <v>319</v>
      </c>
      <c r="BL121" s="176">
        <v>2.98E-3</v>
      </c>
      <c r="BM121" s="176">
        <v>2.98E-3</v>
      </c>
      <c r="BN121" s="175" t="s">
        <v>320</v>
      </c>
      <c r="BO121" s="179">
        <v>24.4054</v>
      </c>
      <c r="BP121" s="174">
        <f t="shared" si="70"/>
        <v>2.4405400000000001E-2</v>
      </c>
      <c r="BQ121" s="174" t="s">
        <v>321</v>
      </c>
      <c r="BR121" s="176">
        <v>3.0000000000000001E-3</v>
      </c>
      <c r="BS121" s="176">
        <v>0.03</v>
      </c>
      <c r="BT121" s="174" t="s">
        <v>322</v>
      </c>
      <c r="BU121" s="178">
        <v>36.6081</v>
      </c>
      <c r="BV121" s="174">
        <f t="shared" si="71"/>
        <v>3.6608099999999998E-2</v>
      </c>
      <c r="BW121" s="174" t="s">
        <v>323</v>
      </c>
      <c r="BX121" s="176">
        <v>5.0000000000000001E-3</v>
      </c>
      <c r="BY121" s="176">
        <v>0.05</v>
      </c>
      <c r="BZ121" s="174" t="s">
        <v>322</v>
      </c>
      <c r="CA121" s="174">
        <v>0</v>
      </c>
      <c r="CB121" s="174">
        <f t="shared" si="72"/>
        <v>0</v>
      </c>
      <c r="CC121" s="174" t="s">
        <v>321</v>
      </c>
      <c r="CD121" s="176">
        <v>0</v>
      </c>
      <c r="CE121" s="176">
        <v>0</v>
      </c>
      <c r="CF121" s="174" t="s">
        <v>322</v>
      </c>
      <c r="CG121" s="178">
        <v>0</v>
      </c>
      <c r="CH121" s="174">
        <f t="shared" si="73"/>
        <v>0</v>
      </c>
      <c r="CI121" s="174" t="s">
        <v>323</v>
      </c>
      <c r="CJ121" s="176">
        <v>0</v>
      </c>
      <c r="CK121" s="176">
        <v>0</v>
      </c>
      <c r="CL121" s="174" t="s">
        <v>322</v>
      </c>
      <c r="CM121" s="40"/>
      <c r="CN121" s="41">
        <v>0.15</v>
      </c>
      <c r="CO121" s="41">
        <v>0.2</v>
      </c>
    </row>
    <row r="122" spans="23:93" s="42" customFormat="1" ht="16.5" customHeight="1" thickBot="1" x14ac:dyDescent="0.3">
      <c r="Z122" s="134"/>
      <c r="AA122" s="134"/>
      <c r="AC122" s="134"/>
      <c r="AD122" s="135"/>
      <c r="AG122" s="136"/>
      <c r="AH122" s="136"/>
      <c r="AJ122" s="134"/>
      <c r="AQ122" s="134"/>
      <c r="AU122" s="134"/>
      <c r="AW122" s="134"/>
      <c r="BA122" s="134"/>
      <c r="BB122" s="134"/>
      <c r="BD122" s="134"/>
      <c r="BG122" s="235"/>
      <c r="BH122" s="177" t="s">
        <v>336</v>
      </c>
      <c r="BI122" s="174" t="s">
        <v>325</v>
      </c>
      <c r="BJ122" s="180">
        <v>0</v>
      </c>
      <c r="BK122" s="174" t="s">
        <v>319</v>
      </c>
      <c r="BL122" s="176">
        <v>4.3E-3</v>
      </c>
      <c r="BM122" s="176">
        <v>4.3E-3</v>
      </c>
      <c r="BN122" s="175" t="s">
        <v>320</v>
      </c>
      <c r="BO122" s="179">
        <v>442.28840000000002</v>
      </c>
      <c r="BP122" s="174">
        <f t="shared" si="70"/>
        <v>0.44228840000000003</v>
      </c>
      <c r="BQ122" s="174" t="s">
        <v>321</v>
      </c>
      <c r="BR122" s="176">
        <v>0.1</v>
      </c>
      <c r="BS122" s="176">
        <v>1</v>
      </c>
      <c r="BT122" s="174" t="s">
        <v>322</v>
      </c>
      <c r="BU122" s="178">
        <v>58.971800000000002</v>
      </c>
      <c r="BV122" s="174">
        <f t="shared" si="71"/>
        <v>5.8971800000000005E-2</v>
      </c>
      <c r="BW122" s="174" t="s">
        <v>323</v>
      </c>
      <c r="BX122" s="176">
        <v>1.4999999999999999E-2</v>
      </c>
      <c r="BY122" s="176">
        <v>0.15</v>
      </c>
      <c r="BZ122" s="174" t="s">
        <v>322</v>
      </c>
      <c r="CA122" s="174">
        <v>0</v>
      </c>
      <c r="CB122" s="174">
        <f t="shared" si="72"/>
        <v>0</v>
      </c>
      <c r="CC122" s="174" t="s">
        <v>321</v>
      </c>
      <c r="CD122" s="176">
        <v>0</v>
      </c>
      <c r="CE122" s="176">
        <v>0</v>
      </c>
      <c r="CF122" s="174" t="s">
        <v>322</v>
      </c>
      <c r="CG122" s="178">
        <v>0</v>
      </c>
      <c r="CH122" s="174">
        <f t="shared" si="73"/>
        <v>0</v>
      </c>
      <c r="CI122" s="174" t="s">
        <v>323</v>
      </c>
      <c r="CJ122" s="176">
        <v>0</v>
      </c>
      <c r="CK122" s="176">
        <v>0</v>
      </c>
      <c r="CL122" s="174" t="s">
        <v>322</v>
      </c>
      <c r="CM122" s="40"/>
      <c r="CN122" s="41">
        <v>0.6</v>
      </c>
      <c r="CO122" s="41">
        <v>1</v>
      </c>
    </row>
    <row r="123" spans="23:93" s="42" customFormat="1" ht="16.5" customHeight="1" thickBot="1" x14ac:dyDescent="0.3">
      <c r="Z123" s="134"/>
      <c r="AA123" s="134"/>
      <c r="AC123" s="134"/>
      <c r="AD123" s="135"/>
      <c r="AG123" s="136"/>
      <c r="AH123" s="136"/>
      <c r="AJ123" s="134"/>
      <c r="AQ123" s="134"/>
      <c r="AU123" s="134"/>
      <c r="AW123" s="134"/>
      <c r="BA123" s="134"/>
      <c r="BB123" s="134"/>
      <c r="BD123" s="134"/>
      <c r="BG123" s="235"/>
      <c r="BH123" s="177" t="s">
        <v>337</v>
      </c>
      <c r="BI123" s="174" t="s">
        <v>325</v>
      </c>
      <c r="BJ123" s="180">
        <v>0</v>
      </c>
      <c r="BK123" s="174" t="s">
        <v>319</v>
      </c>
      <c r="BL123" s="176">
        <v>3.82E-3</v>
      </c>
      <c r="BM123" s="176">
        <v>3.82E-3</v>
      </c>
      <c r="BN123" s="175" t="s">
        <v>320</v>
      </c>
      <c r="BO123" s="179">
        <v>499.19130000000001</v>
      </c>
      <c r="BP123" s="174">
        <f t="shared" si="70"/>
        <v>0.4991913</v>
      </c>
      <c r="BQ123" s="174" t="s">
        <v>321</v>
      </c>
      <c r="BR123" s="176">
        <v>0.1</v>
      </c>
      <c r="BS123" s="176">
        <v>1</v>
      </c>
      <c r="BT123" s="174" t="s">
        <v>322</v>
      </c>
      <c r="BU123" s="178">
        <v>66.558800000000005</v>
      </c>
      <c r="BV123" s="174">
        <f t="shared" si="71"/>
        <v>6.6558800000000001E-2</v>
      </c>
      <c r="BW123" s="174" t="s">
        <v>323</v>
      </c>
      <c r="BX123" s="176">
        <v>1.4999999999999999E-2</v>
      </c>
      <c r="BY123" s="176">
        <v>0.15</v>
      </c>
      <c r="BZ123" s="174" t="s">
        <v>322</v>
      </c>
      <c r="CA123" s="174">
        <v>0</v>
      </c>
      <c r="CB123" s="174">
        <f t="shared" si="72"/>
        <v>0</v>
      </c>
      <c r="CC123" s="174" t="s">
        <v>321</v>
      </c>
      <c r="CD123" s="176">
        <v>0</v>
      </c>
      <c r="CE123" s="176">
        <v>0</v>
      </c>
      <c r="CF123" s="174" t="s">
        <v>322</v>
      </c>
      <c r="CG123" s="178">
        <v>0</v>
      </c>
      <c r="CH123" s="174">
        <f t="shared" si="73"/>
        <v>0</v>
      </c>
      <c r="CI123" s="174" t="s">
        <v>323</v>
      </c>
      <c r="CJ123" s="176">
        <v>0</v>
      </c>
      <c r="CK123" s="176">
        <v>0</v>
      </c>
      <c r="CL123" s="174" t="s">
        <v>322</v>
      </c>
      <c r="CM123" s="40"/>
      <c r="CN123" s="41">
        <v>0.6</v>
      </c>
      <c r="CO123" s="41">
        <v>1</v>
      </c>
    </row>
    <row r="124" spans="23:93" s="42" customFormat="1" ht="16.5" customHeight="1" thickBot="1" x14ac:dyDescent="0.3">
      <c r="Z124" s="134"/>
      <c r="AA124" s="134"/>
      <c r="AC124" s="134"/>
      <c r="AD124" s="135"/>
      <c r="AG124" s="136"/>
      <c r="AH124" s="136"/>
      <c r="AJ124" s="134"/>
      <c r="AQ124" s="134"/>
      <c r="AU124" s="134"/>
      <c r="AW124" s="134"/>
      <c r="BA124" s="134"/>
      <c r="BB124" s="134"/>
      <c r="BD124" s="134"/>
      <c r="BG124" s="235"/>
      <c r="BH124" s="177" t="s">
        <v>338</v>
      </c>
      <c r="BI124" s="174" t="s">
        <v>325</v>
      </c>
      <c r="BJ124" s="180">
        <v>0</v>
      </c>
      <c r="BK124" s="174" t="s">
        <v>319</v>
      </c>
      <c r="BL124" s="176">
        <v>3.98E-3</v>
      </c>
      <c r="BM124" s="176">
        <v>3.98E-3</v>
      </c>
      <c r="BN124" s="175" t="s">
        <v>320</v>
      </c>
      <c r="BO124" s="179">
        <v>503.12909999999999</v>
      </c>
      <c r="BP124" s="174">
        <f t="shared" si="70"/>
        <v>0.5031291</v>
      </c>
      <c r="BQ124" s="174" t="s">
        <v>321</v>
      </c>
      <c r="BR124" s="176">
        <v>0.1</v>
      </c>
      <c r="BS124" s="176">
        <v>1</v>
      </c>
      <c r="BT124" s="174" t="s">
        <v>322</v>
      </c>
      <c r="BU124" s="178">
        <v>67.0839</v>
      </c>
      <c r="BV124" s="174">
        <f t="shared" si="71"/>
        <v>6.7083900000000002E-2</v>
      </c>
      <c r="BW124" s="174" t="s">
        <v>323</v>
      </c>
      <c r="BX124" s="176">
        <v>1.4999999999999999E-2</v>
      </c>
      <c r="BY124" s="176">
        <v>0.15</v>
      </c>
      <c r="BZ124" s="174" t="s">
        <v>322</v>
      </c>
      <c r="CA124" s="174">
        <v>0</v>
      </c>
      <c r="CB124" s="174">
        <f t="shared" si="72"/>
        <v>0</v>
      </c>
      <c r="CC124" s="174" t="s">
        <v>321</v>
      </c>
      <c r="CD124" s="176">
        <v>0</v>
      </c>
      <c r="CE124" s="176">
        <v>0</v>
      </c>
      <c r="CF124" s="174" t="s">
        <v>322</v>
      </c>
      <c r="CG124" s="178">
        <v>0</v>
      </c>
      <c r="CH124" s="174">
        <f t="shared" si="73"/>
        <v>0</v>
      </c>
      <c r="CI124" s="174" t="s">
        <v>323</v>
      </c>
      <c r="CJ124" s="176">
        <v>0</v>
      </c>
      <c r="CK124" s="176">
        <v>0</v>
      </c>
      <c r="CL124" s="174" t="s">
        <v>322</v>
      </c>
      <c r="CM124" s="40"/>
      <c r="CN124" s="41">
        <v>0.6</v>
      </c>
      <c r="CO124" s="41">
        <v>1</v>
      </c>
    </row>
    <row r="125" spans="23:93" s="42" customFormat="1" ht="16.5" customHeight="1" thickBot="1" x14ac:dyDescent="0.3">
      <c r="Z125" s="134"/>
      <c r="AA125" s="134"/>
      <c r="AC125" s="134"/>
      <c r="AD125" s="135"/>
      <c r="AG125" s="136"/>
      <c r="AH125" s="136"/>
      <c r="AJ125" s="134"/>
      <c r="AQ125" s="134"/>
      <c r="AU125" s="134"/>
      <c r="AW125" s="134"/>
      <c r="BA125" s="134"/>
      <c r="BB125" s="134"/>
      <c r="BD125" s="134"/>
      <c r="BG125" s="235"/>
      <c r="BH125" s="177" t="s">
        <v>339</v>
      </c>
      <c r="BI125" s="174" t="s">
        <v>325</v>
      </c>
      <c r="BJ125" s="180">
        <v>0</v>
      </c>
      <c r="BK125" s="174" t="s">
        <v>319</v>
      </c>
      <c r="BL125" s="176">
        <v>3.5799999999999998E-3</v>
      </c>
      <c r="BM125" s="176">
        <v>3.5799999999999998E-3</v>
      </c>
      <c r="BN125" s="175" t="s">
        <v>320</v>
      </c>
      <c r="BO125" s="179">
        <v>548.92100000000005</v>
      </c>
      <c r="BP125" s="174">
        <f t="shared" si="70"/>
        <v>0.5489210000000001</v>
      </c>
      <c r="BQ125" s="174" t="s">
        <v>321</v>
      </c>
      <c r="BR125" s="176">
        <v>0.1</v>
      </c>
      <c r="BS125" s="176">
        <v>1</v>
      </c>
      <c r="BT125" s="174" t="s">
        <v>322</v>
      </c>
      <c r="BU125" s="178">
        <v>73.189499999999995</v>
      </c>
      <c r="BV125" s="174">
        <f t="shared" si="71"/>
        <v>7.3189499999999991E-2</v>
      </c>
      <c r="BW125" s="174" t="s">
        <v>323</v>
      </c>
      <c r="BX125" s="176">
        <v>1.4999999999999999E-2</v>
      </c>
      <c r="BY125" s="176">
        <v>0.15</v>
      </c>
      <c r="BZ125" s="174" t="s">
        <v>322</v>
      </c>
      <c r="CA125" s="174">
        <v>0</v>
      </c>
      <c r="CB125" s="174">
        <f t="shared" si="72"/>
        <v>0</v>
      </c>
      <c r="CC125" s="174" t="s">
        <v>321</v>
      </c>
      <c r="CD125" s="176">
        <v>0</v>
      </c>
      <c r="CE125" s="176">
        <v>0</v>
      </c>
      <c r="CF125" s="174" t="s">
        <v>322</v>
      </c>
      <c r="CG125" s="178">
        <v>0</v>
      </c>
      <c r="CH125" s="174">
        <f t="shared" si="73"/>
        <v>0</v>
      </c>
      <c r="CI125" s="174" t="s">
        <v>323</v>
      </c>
      <c r="CJ125" s="176">
        <v>0</v>
      </c>
      <c r="CK125" s="176">
        <v>0</v>
      </c>
      <c r="CL125" s="174" t="s">
        <v>322</v>
      </c>
      <c r="CM125" s="40"/>
      <c r="CN125" s="41">
        <v>0.6</v>
      </c>
      <c r="CO125" s="41">
        <v>1</v>
      </c>
    </row>
    <row r="126" spans="23:93" s="42" customFormat="1" ht="16.5" customHeight="1" thickBot="1" x14ac:dyDescent="0.3">
      <c r="Z126" s="134"/>
      <c r="AA126" s="134"/>
      <c r="AC126" s="134"/>
      <c r="AD126" s="135"/>
      <c r="AG126" s="136"/>
      <c r="AH126" s="136"/>
      <c r="AJ126" s="134"/>
      <c r="AQ126" s="134"/>
      <c r="AU126" s="134"/>
      <c r="AW126" s="134"/>
      <c r="BA126" s="134"/>
      <c r="BB126" s="134"/>
      <c r="BD126" s="134"/>
      <c r="BG126" s="235"/>
      <c r="BH126" s="177" t="s">
        <v>340</v>
      </c>
      <c r="BI126" s="174" t="s">
        <v>325</v>
      </c>
      <c r="BJ126" s="180">
        <v>0</v>
      </c>
      <c r="BK126" s="174" t="s">
        <v>319</v>
      </c>
      <c r="BL126" s="176">
        <v>4.4900000000000001E-3</v>
      </c>
      <c r="BM126" s="176">
        <v>4.4900000000000001E-3</v>
      </c>
      <c r="BN126" s="175" t="s">
        <v>320</v>
      </c>
      <c r="BO126" s="179">
        <v>448.58819999999997</v>
      </c>
      <c r="BP126" s="174">
        <f t="shared" si="70"/>
        <v>0.44858819999999999</v>
      </c>
      <c r="BQ126" s="174" t="s">
        <v>321</v>
      </c>
      <c r="BR126" s="176">
        <v>0.1</v>
      </c>
      <c r="BS126" s="176">
        <v>1</v>
      </c>
      <c r="BT126" s="174" t="s">
        <v>322</v>
      </c>
      <c r="BU126" s="178">
        <v>59.811799999999998</v>
      </c>
      <c r="BV126" s="174">
        <f t="shared" si="71"/>
        <v>5.9811799999999998E-2</v>
      </c>
      <c r="BW126" s="174" t="s">
        <v>323</v>
      </c>
      <c r="BX126" s="176">
        <v>1.4999999999999999E-2</v>
      </c>
      <c r="BY126" s="176">
        <v>0.15</v>
      </c>
      <c r="BZ126" s="174" t="s">
        <v>322</v>
      </c>
      <c r="CA126" s="174">
        <v>0</v>
      </c>
      <c r="CB126" s="174">
        <f t="shared" si="72"/>
        <v>0</v>
      </c>
      <c r="CC126" s="174" t="s">
        <v>321</v>
      </c>
      <c r="CD126" s="176">
        <v>0</v>
      </c>
      <c r="CE126" s="176">
        <v>0</v>
      </c>
      <c r="CF126" s="174" t="s">
        <v>322</v>
      </c>
      <c r="CG126" s="178">
        <v>0</v>
      </c>
      <c r="CH126" s="174">
        <f t="shared" si="73"/>
        <v>0</v>
      </c>
      <c r="CI126" s="174" t="s">
        <v>323</v>
      </c>
      <c r="CJ126" s="176">
        <v>0</v>
      </c>
      <c r="CK126" s="176">
        <v>0</v>
      </c>
      <c r="CL126" s="174" t="s">
        <v>322</v>
      </c>
      <c r="CM126" s="40"/>
      <c r="CN126" s="41">
        <v>0.6</v>
      </c>
      <c r="CO126" s="41">
        <v>1</v>
      </c>
    </row>
    <row r="127" spans="23:93" s="42" customFormat="1" ht="16.5" customHeight="1" thickBot="1" x14ac:dyDescent="0.3">
      <c r="Z127" s="134"/>
      <c r="AA127" s="134"/>
      <c r="AC127" s="134"/>
      <c r="AD127" s="135"/>
      <c r="AG127" s="136"/>
      <c r="AH127" s="136"/>
      <c r="AJ127" s="134"/>
      <c r="AQ127" s="134"/>
      <c r="AU127" s="134"/>
      <c r="AW127" s="134"/>
      <c r="BA127" s="134"/>
      <c r="BB127" s="134"/>
      <c r="BD127" s="134"/>
      <c r="BG127" s="235"/>
      <c r="BH127" s="177" t="s">
        <v>341</v>
      </c>
      <c r="BI127" s="174" t="s">
        <v>325</v>
      </c>
      <c r="BJ127" s="180">
        <v>0</v>
      </c>
      <c r="BK127" s="174" t="s">
        <v>319</v>
      </c>
      <c r="BL127" s="176">
        <v>3.0299999999999997E-3</v>
      </c>
      <c r="BM127" s="176">
        <v>3.0299999999999997E-3</v>
      </c>
      <c r="BN127" s="175" t="s">
        <v>320</v>
      </c>
      <c r="BO127" s="179">
        <v>735.18640000000005</v>
      </c>
      <c r="BP127" s="174">
        <f t="shared" si="70"/>
        <v>0.73518640000000002</v>
      </c>
      <c r="BQ127" s="174" t="s">
        <v>321</v>
      </c>
      <c r="BR127" s="176">
        <v>0.1</v>
      </c>
      <c r="BS127" s="176">
        <v>1</v>
      </c>
      <c r="BT127" s="174" t="s">
        <v>322</v>
      </c>
      <c r="BU127" s="178">
        <v>98.024799999999999</v>
      </c>
      <c r="BV127" s="174">
        <f t="shared" si="71"/>
        <v>9.8024799999999995E-2</v>
      </c>
      <c r="BW127" s="174" t="s">
        <v>323</v>
      </c>
      <c r="BX127" s="176">
        <v>1.4999999999999999E-2</v>
      </c>
      <c r="BY127" s="176">
        <v>0.15</v>
      </c>
      <c r="BZ127" s="174" t="s">
        <v>322</v>
      </c>
      <c r="CA127" s="174">
        <v>0</v>
      </c>
      <c r="CB127" s="174">
        <f t="shared" si="72"/>
        <v>0</v>
      </c>
      <c r="CC127" s="174" t="s">
        <v>321</v>
      </c>
      <c r="CD127" s="176">
        <v>0</v>
      </c>
      <c r="CE127" s="176">
        <v>0</v>
      </c>
      <c r="CF127" s="174" t="s">
        <v>322</v>
      </c>
      <c r="CG127" s="178">
        <v>0</v>
      </c>
      <c r="CH127" s="174">
        <f t="shared" si="73"/>
        <v>0</v>
      </c>
      <c r="CI127" s="174" t="s">
        <v>323</v>
      </c>
      <c r="CJ127" s="176">
        <v>0</v>
      </c>
      <c r="CK127" s="176">
        <v>0</v>
      </c>
      <c r="CL127" s="174" t="s">
        <v>322</v>
      </c>
      <c r="CM127" s="40"/>
      <c r="CN127" s="41">
        <v>0.6</v>
      </c>
      <c r="CO127" s="41">
        <v>1</v>
      </c>
    </row>
    <row r="128" spans="23:93" s="42" customFormat="1" ht="16.5" customHeight="1" thickBot="1" x14ac:dyDescent="0.3">
      <c r="Z128" s="134"/>
      <c r="AA128" s="134"/>
      <c r="AC128" s="134"/>
      <c r="AD128" s="135"/>
      <c r="AG128" s="136"/>
      <c r="AH128" s="136"/>
      <c r="AJ128" s="134"/>
      <c r="AQ128" s="134"/>
      <c r="AU128" s="134"/>
      <c r="AW128" s="134"/>
      <c r="BA128" s="134"/>
      <c r="BB128" s="134"/>
      <c r="BD128" s="134"/>
      <c r="BG128" s="235"/>
      <c r="BH128" s="177" t="s">
        <v>342</v>
      </c>
      <c r="BI128" s="174" t="s">
        <v>325</v>
      </c>
      <c r="BJ128" s="180">
        <v>0</v>
      </c>
      <c r="BK128" s="174" t="s">
        <v>319</v>
      </c>
      <c r="BL128" s="176">
        <v>3.7299999999999998E-3</v>
      </c>
      <c r="BM128" s="176">
        <v>3.7299999999999998E-3</v>
      </c>
      <c r="BN128" s="175" t="s">
        <v>320</v>
      </c>
      <c r="BO128" s="179">
        <v>537.77970000000005</v>
      </c>
      <c r="BP128" s="174">
        <f t="shared" si="70"/>
        <v>0.53777970000000008</v>
      </c>
      <c r="BQ128" s="174" t="s">
        <v>321</v>
      </c>
      <c r="BR128" s="176">
        <v>0.1</v>
      </c>
      <c r="BS128" s="176">
        <v>1</v>
      </c>
      <c r="BT128" s="174" t="s">
        <v>322</v>
      </c>
      <c r="BU128" s="178">
        <v>71.703999999999994</v>
      </c>
      <c r="BV128" s="174">
        <f t="shared" si="71"/>
        <v>7.170399999999999E-2</v>
      </c>
      <c r="BW128" s="174" t="s">
        <v>323</v>
      </c>
      <c r="BX128" s="176">
        <v>1.4999999999999999E-2</v>
      </c>
      <c r="BY128" s="176">
        <v>0.15</v>
      </c>
      <c r="BZ128" s="174" t="s">
        <v>322</v>
      </c>
      <c r="CA128" s="174">
        <v>0</v>
      </c>
      <c r="CB128" s="174">
        <f t="shared" si="72"/>
        <v>0</v>
      </c>
      <c r="CC128" s="174" t="s">
        <v>321</v>
      </c>
      <c r="CD128" s="176">
        <v>0</v>
      </c>
      <c r="CE128" s="176">
        <v>0</v>
      </c>
      <c r="CF128" s="174" t="s">
        <v>322</v>
      </c>
      <c r="CG128" s="178">
        <v>0</v>
      </c>
      <c r="CH128" s="174">
        <f t="shared" si="73"/>
        <v>0</v>
      </c>
      <c r="CI128" s="174" t="s">
        <v>323</v>
      </c>
      <c r="CJ128" s="176">
        <v>0</v>
      </c>
      <c r="CK128" s="176">
        <v>0</v>
      </c>
      <c r="CL128" s="174" t="s">
        <v>322</v>
      </c>
      <c r="CM128" s="40"/>
      <c r="CN128" s="41">
        <v>0.6</v>
      </c>
      <c r="CO128" s="41">
        <v>1</v>
      </c>
    </row>
    <row r="129" spans="26:93" s="42" customFormat="1" ht="16.5" customHeight="1" thickBot="1" x14ac:dyDescent="0.3">
      <c r="Z129" s="134"/>
      <c r="AA129" s="134"/>
      <c r="AC129" s="134"/>
      <c r="AD129" s="135"/>
      <c r="AG129" s="136"/>
      <c r="AH129" s="136"/>
      <c r="AJ129" s="134"/>
      <c r="AQ129" s="134"/>
      <c r="AU129" s="134"/>
      <c r="AW129" s="134"/>
      <c r="BA129" s="134"/>
      <c r="BB129" s="134"/>
      <c r="BD129" s="134"/>
      <c r="BG129" s="235"/>
      <c r="BH129" s="181" t="s">
        <v>343</v>
      </c>
      <c r="BI129" s="174" t="s">
        <v>325</v>
      </c>
      <c r="BJ129" s="180">
        <v>0</v>
      </c>
      <c r="BK129" s="174" t="s">
        <v>319</v>
      </c>
      <c r="BL129" s="176">
        <v>4.4099999999999999E-3</v>
      </c>
      <c r="BM129" s="176">
        <v>4.4099999999999999E-3</v>
      </c>
      <c r="BN129" s="175" t="s">
        <v>320</v>
      </c>
      <c r="BO129" s="179">
        <v>509.80349999999999</v>
      </c>
      <c r="BP129" s="174">
        <f t="shared" si="70"/>
        <v>0.50980349999999997</v>
      </c>
      <c r="BQ129" s="174" t="s">
        <v>321</v>
      </c>
      <c r="BR129" s="176">
        <v>0.1</v>
      </c>
      <c r="BS129" s="176">
        <v>1</v>
      </c>
      <c r="BT129" s="174" t="s">
        <v>322</v>
      </c>
      <c r="BU129" s="178">
        <v>67.973799999999997</v>
      </c>
      <c r="BV129" s="174">
        <f t="shared" si="71"/>
        <v>6.7973800000000001E-2</v>
      </c>
      <c r="BW129" s="174" t="s">
        <v>323</v>
      </c>
      <c r="BX129" s="176">
        <v>1.4999999999999999E-2</v>
      </c>
      <c r="BY129" s="176">
        <v>0.15</v>
      </c>
      <c r="BZ129" s="174" t="s">
        <v>322</v>
      </c>
      <c r="CA129" s="174">
        <v>0</v>
      </c>
      <c r="CB129" s="174">
        <f t="shared" si="72"/>
        <v>0</v>
      </c>
      <c r="CC129" s="174" t="s">
        <v>321</v>
      </c>
      <c r="CD129" s="176">
        <v>0</v>
      </c>
      <c r="CE129" s="176">
        <v>0</v>
      </c>
      <c r="CF129" s="174" t="s">
        <v>322</v>
      </c>
      <c r="CG129" s="178">
        <v>0</v>
      </c>
      <c r="CH129" s="174">
        <f t="shared" si="73"/>
        <v>0</v>
      </c>
      <c r="CI129" s="174" t="s">
        <v>323</v>
      </c>
      <c r="CJ129" s="176">
        <v>0</v>
      </c>
      <c r="CK129" s="176">
        <v>0</v>
      </c>
      <c r="CL129" s="174" t="s">
        <v>322</v>
      </c>
      <c r="CM129" s="40"/>
      <c r="CN129" s="41">
        <v>0.6</v>
      </c>
      <c r="CO129" s="41">
        <v>1</v>
      </c>
    </row>
    <row r="130" spans="26:93" s="42" customFormat="1" ht="16.5" customHeight="1" thickBot="1" x14ac:dyDescent="0.3">
      <c r="Z130" s="134"/>
      <c r="AA130" s="134"/>
      <c r="AC130" s="134"/>
      <c r="AD130" s="135"/>
      <c r="AG130" s="136"/>
      <c r="AH130" s="136"/>
      <c r="AJ130" s="134"/>
      <c r="AQ130" s="134"/>
      <c r="AU130" s="134"/>
      <c r="AW130" s="134"/>
      <c r="BA130" s="134"/>
      <c r="BB130" s="134"/>
      <c r="BD130" s="134"/>
      <c r="BG130" s="235"/>
      <c r="BH130" s="181" t="s">
        <v>344</v>
      </c>
      <c r="BI130" s="174" t="s">
        <v>325</v>
      </c>
      <c r="BJ130" s="180">
        <v>0</v>
      </c>
      <c r="BK130" s="174" t="s">
        <v>319</v>
      </c>
      <c r="BL130" s="176">
        <v>3.6800000000000001E-3</v>
      </c>
      <c r="BM130" s="176">
        <v>3.6800000000000001E-3</v>
      </c>
      <c r="BN130" s="175" t="s">
        <v>320</v>
      </c>
      <c r="BO130" s="179">
        <v>509.37279999999998</v>
      </c>
      <c r="BP130" s="174">
        <f t="shared" si="70"/>
        <v>0.50937279999999996</v>
      </c>
      <c r="BQ130" s="174" t="s">
        <v>321</v>
      </c>
      <c r="BR130" s="176">
        <v>0.1</v>
      </c>
      <c r="BS130" s="176">
        <v>1</v>
      </c>
      <c r="BT130" s="174" t="s">
        <v>322</v>
      </c>
      <c r="BU130" s="178">
        <v>67.916399999999996</v>
      </c>
      <c r="BV130" s="174">
        <f t="shared" si="71"/>
        <v>6.7916400000000002E-2</v>
      </c>
      <c r="BW130" s="174" t="s">
        <v>323</v>
      </c>
      <c r="BX130" s="176">
        <v>1.4999999999999999E-2</v>
      </c>
      <c r="BY130" s="176">
        <v>0.15</v>
      </c>
      <c r="BZ130" s="174" t="s">
        <v>322</v>
      </c>
      <c r="CA130" s="174">
        <v>0</v>
      </c>
      <c r="CB130" s="174">
        <f t="shared" si="72"/>
        <v>0</v>
      </c>
      <c r="CC130" s="174" t="s">
        <v>321</v>
      </c>
      <c r="CD130" s="176">
        <v>0</v>
      </c>
      <c r="CE130" s="176">
        <v>0</v>
      </c>
      <c r="CF130" s="174" t="s">
        <v>322</v>
      </c>
      <c r="CG130" s="178">
        <v>0</v>
      </c>
      <c r="CH130" s="174">
        <f t="shared" si="73"/>
        <v>0</v>
      </c>
      <c r="CI130" s="174" t="s">
        <v>323</v>
      </c>
      <c r="CJ130" s="176">
        <v>0</v>
      </c>
      <c r="CK130" s="176">
        <v>0</v>
      </c>
      <c r="CL130" s="174" t="s">
        <v>322</v>
      </c>
      <c r="CM130" s="40"/>
      <c r="CN130" s="41">
        <v>0.6</v>
      </c>
      <c r="CO130" s="41">
        <v>1</v>
      </c>
    </row>
    <row r="131" spans="26:93" s="42" customFormat="1" ht="16.5" customHeight="1" thickBot="1" x14ac:dyDescent="0.3">
      <c r="Z131" s="134"/>
      <c r="AA131" s="134"/>
      <c r="AC131" s="134"/>
      <c r="AD131" s="135"/>
      <c r="AG131" s="136"/>
      <c r="AH131" s="136"/>
      <c r="AJ131" s="134"/>
      <c r="AQ131" s="134"/>
      <c r="AU131" s="134"/>
      <c r="AW131" s="134"/>
      <c r="BA131" s="134"/>
      <c r="BB131" s="134"/>
      <c r="BD131" s="134"/>
      <c r="BG131" s="235"/>
      <c r="BH131" s="181" t="s">
        <v>345</v>
      </c>
      <c r="BI131" s="174" t="s">
        <v>325</v>
      </c>
      <c r="BJ131" s="180">
        <v>0</v>
      </c>
      <c r="BK131" s="174" t="s">
        <v>319</v>
      </c>
      <c r="BL131" s="176">
        <v>3.5899999999999999E-3</v>
      </c>
      <c r="BM131" s="176">
        <v>3.5899999999999999E-3</v>
      </c>
      <c r="BN131" s="175" t="s">
        <v>320</v>
      </c>
      <c r="BO131" s="179">
        <v>554.66999999999996</v>
      </c>
      <c r="BP131" s="174">
        <f t="shared" si="70"/>
        <v>0.55467</v>
      </c>
      <c r="BQ131" s="174" t="s">
        <v>321</v>
      </c>
      <c r="BR131" s="176">
        <v>0.1</v>
      </c>
      <c r="BS131" s="176">
        <v>1</v>
      </c>
      <c r="BT131" s="174" t="s">
        <v>322</v>
      </c>
      <c r="BU131" s="178">
        <v>73.956000000000003</v>
      </c>
      <c r="BV131" s="174">
        <f t="shared" si="71"/>
        <v>7.3956000000000008E-2</v>
      </c>
      <c r="BW131" s="174" t="s">
        <v>323</v>
      </c>
      <c r="BX131" s="176">
        <v>1.4999999999999999E-2</v>
      </c>
      <c r="BY131" s="176">
        <v>0.15</v>
      </c>
      <c r="BZ131" s="174" t="s">
        <v>322</v>
      </c>
      <c r="CA131" s="174">
        <v>0</v>
      </c>
      <c r="CB131" s="174">
        <f t="shared" si="72"/>
        <v>0</v>
      </c>
      <c r="CC131" s="174" t="s">
        <v>321</v>
      </c>
      <c r="CD131" s="176">
        <v>0</v>
      </c>
      <c r="CE131" s="176">
        <v>0</v>
      </c>
      <c r="CF131" s="174" t="s">
        <v>322</v>
      </c>
      <c r="CG131" s="178">
        <v>0</v>
      </c>
      <c r="CH131" s="174">
        <f t="shared" si="73"/>
        <v>0</v>
      </c>
      <c r="CI131" s="174" t="s">
        <v>323</v>
      </c>
      <c r="CJ131" s="176">
        <v>0</v>
      </c>
      <c r="CK131" s="176">
        <v>0</v>
      </c>
      <c r="CL131" s="174" t="s">
        <v>322</v>
      </c>
      <c r="CM131" s="40"/>
      <c r="CN131" s="41">
        <v>0.6</v>
      </c>
      <c r="CO131" s="41">
        <v>1</v>
      </c>
    </row>
    <row r="132" spans="26:93" s="42" customFormat="1" ht="16.5" customHeight="1" thickBot="1" x14ac:dyDescent="0.3">
      <c r="Z132" s="134"/>
      <c r="AA132" s="134"/>
      <c r="AC132" s="134"/>
      <c r="AD132" s="135"/>
      <c r="AG132" s="136"/>
      <c r="AH132" s="136"/>
      <c r="AJ132" s="134"/>
      <c r="AQ132" s="134"/>
      <c r="AU132" s="134"/>
      <c r="AW132" s="134"/>
      <c r="BA132" s="134"/>
      <c r="BB132" s="134"/>
      <c r="BD132" s="134"/>
      <c r="BG132" s="235"/>
      <c r="BH132" s="181" t="s">
        <v>346</v>
      </c>
      <c r="BI132" s="174" t="s">
        <v>325</v>
      </c>
      <c r="BJ132" s="180">
        <v>0</v>
      </c>
      <c r="BK132" s="174" t="s">
        <v>319</v>
      </c>
      <c r="BL132" s="176">
        <v>3.4999999999999996E-3</v>
      </c>
      <c r="BM132" s="176">
        <v>3.4999999999999996E-3</v>
      </c>
      <c r="BN132" s="175" t="s">
        <v>320</v>
      </c>
      <c r="BO132" s="179">
        <v>569.07000000000005</v>
      </c>
      <c r="BP132" s="174">
        <f t="shared" si="70"/>
        <v>0.56907000000000008</v>
      </c>
      <c r="BQ132" s="174" t="s">
        <v>321</v>
      </c>
      <c r="BR132" s="176">
        <v>0.1</v>
      </c>
      <c r="BS132" s="176">
        <v>1</v>
      </c>
      <c r="BT132" s="174" t="s">
        <v>322</v>
      </c>
      <c r="BU132" s="178">
        <v>75.876000000000005</v>
      </c>
      <c r="BV132" s="174">
        <f t="shared" si="71"/>
        <v>7.5875999999999999E-2</v>
      </c>
      <c r="BW132" s="174" t="s">
        <v>323</v>
      </c>
      <c r="BX132" s="176">
        <v>1.4999999999999999E-2</v>
      </c>
      <c r="BY132" s="176">
        <v>0.15</v>
      </c>
      <c r="BZ132" s="174" t="s">
        <v>322</v>
      </c>
      <c r="CA132" s="174">
        <v>0</v>
      </c>
      <c r="CB132" s="174">
        <f t="shared" si="72"/>
        <v>0</v>
      </c>
      <c r="CC132" s="174" t="s">
        <v>321</v>
      </c>
      <c r="CD132" s="176">
        <v>0</v>
      </c>
      <c r="CE132" s="176">
        <v>0</v>
      </c>
      <c r="CF132" s="174" t="s">
        <v>322</v>
      </c>
      <c r="CG132" s="178">
        <v>0</v>
      </c>
      <c r="CH132" s="174">
        <f t="shared" si="73"/>
        <v>0</v>
      </c>
      <c r="CI132" s="174" t="s">
        <v>323</v>
      </c>
      <c r="CJ132" s="176">
        <v>0</v>
      </c>
      <c r="CK132" s="176">
        <v>0</v>
      </c>
      <c r="CL132" s="174" t="s">
        <v>322</v>
      </c>
      <c r="CM132" s="40"/>
      <c r="CN132" s="41">
        <v>0.6</v>
      </c>
      <c r="CO132" s="41">
        <v>1</v>
      </c>
    </row>
    <row r="133" spans="26:93" s="42" customFormat="1" ht="16.5" customHeight="1" thickBot="1" x14ac:dyDescent="0.3">
      <c r="Z133" s="134"/>
      <c r="AA133" s="134"/>
      <c r="AC133" s="134"/>
      <c r="AD133" s="135"/>
      <c r="AG133" s="136"/>
      <c r="AH133" s="136"/>
      <c r="AJ133" s="134"/>
      <c r="AQ133" s="134"/>
      <c r="AU133" s="134"/>
      <c r="AW133" s="134"/>
      <c r="BA133" s="134"/>
      <c r="BB133" s="134"/>
      <c r="BD133" s="134"/>
      <c r="BG133" s="235"/>
      <c r="BH133" s="181" t="s">
        <v>347</v>
      </c>
      <c r="BI133" s="174" t="s">
        <v>325</v>
      </c>
      <c r="BJ133" s="180">
        <v>0</v>
      </c>
      <c r="BK133" s="174" t="s">
        <v>319</v>
      </c>
      <c r="BL133" s="176">
        <v>3.5899999999999999E-3</v>
      </c>
      <c r="BM133" s="176">
        <v>3.5899999999999999E-3</v>
      </c>
      <c r="BN133" s="175" t="s">
        <v>320</v>
      </c>
      <c r="BO133" s="179">
        <v>560.82000000000005</v>
      </c>
      <c r="BP133" s="174">
        <f t="shared" si="70"/>
        <v>0.5608200000000001</v>
      </c>
      <c r="BQ133" s="174" t="s">
        <v>321</v>
      </c>
      <c r="BR133" s="176">
        <v>0.1</v>
      </c>
      <c r="BS133" s="176">
        <v>1</v>
      </c>
      <c r="BT133" s="174" t="s">
        <v>322</v>
      </c>
      <c r="BU133" s="178">
        <v>74.775999999999996</v>
      </c>
      <c r="BV133" s="174">
        <f t="shared" si="71"/>
        <v>7.4775999999999995E-2</v>
      </c>
      <c r="BW133" s="174" t="s">
        <v>323</v>
      </c>
      <c r="BX133" s="176">
        <v>1.4999999999999999E-2</v>
      </c>
      <c r="BY133" s="176">
        <v>0.15</v>
      </c>
      <c r="BZ133" s="174" t="s">
        <v>322</v>
      </c>
      <c r="CA133" s="174">
        <v>0</v>
      </c>
      <c r="CB133" s="174">
        <f t="shared" si="72"/>
        <v>0</v>
      </c>
      <c r="CC133" s="174" t="s">
        <v>321</v>
      </c>
      <c r="CD133" s="176">
        <v>0</v>
      </c>
      <c r="CE133" s="176">
        <v>0</v>
      </c>
      <c r="CF133" s="174" t="s">
        <v>322</v>
      </c>
      <c r="CG133" s="178">
        <v>0</v>
      </c>
      <c r="CH133" s="174">
        <f t="shared" si="73"/>
        <v>0</v>
      </c>
      <c r="CI133" s="174" t="s">
        <v>323</v>
      </c>
      <c r="CJ133" s="176">
        <v>0</v>
      </c>
      <c r="CK133" s="176">
        <v>0</v>
      </c>
      <c r="CL133" s="174" t="s">
        <v>322</v>
      </c>
      <c r="CM133" s="40"/>
      <c r="CN133" s="41">
        <v>0.6</v>
      </c>
      <c r="CO133" s="41">
        <v>1</v>
      </c>
    </row>
    <row r="134" spans="26:93" s="42" customFormat="1" ht="16.5" customHeight="1" thickBot="1" x14ac:dyDescent="0.3">
      <c r="Z134" s="134"/>
      <c r="AA134" s="134"/>
      <c r="AC134" s="134"/>
      <c r="AD134" s="135"/>
      <c r="AG134" s="136"/>
      <c r="AH134" s="136"/>
      <c r="AJ134" s="134"/>
      <c r="AQ134" s="134"/>
      <c r="AU134" s="134"/>
      <c r="AW134" s="134"/>
      <c r="BA134" s="134"/>
      <c r="BB134" s="134"/>
      <c r="BD134" s="134"/>
      <c r="BG134" s="235"/>
      <c r="BH134" s="181" t="s">
        <v>348</v>
      </c>
      <c r="BI134" s="174" t="s">
        <v>325</v>
      </c>
      <c r="BJ134" s="180">
        <v>0</v>
      </c>
      <c r="BK134" s="174" t="s">
        <v>319</v>
      </c>
      <c r="BL134" s="176">
        <v>3.6099999999999999E-3</v>
      </c>
      <c r="BM134" s="176">
        <v>3.6099999999999999E-3</v>
      </c>
      <c r="BN134" s="175" t="s">
        <v>320</v>
      </c>
      <c r="BO134" s="179">
        <v>557.46</v>
      </c>
      <c r="BP134" s="174">
        <f t="shared" si="70"/>
        <v>0.55746000000000007</v>
      </c>
      <c r="BQ134" s="174" t="s">
        <v>321</v>
      </c>
      <c r="BR134" s="176">
        <v>0.1</v>
      </c>
      <c r="BS134" s="176">
        <v>1</v>
      </c>
      <c r="BT134" s="174" t="s">
        <v>322</v>
      </c>
      <c r="BU134" s="178">
        <v>74.328000000000003</v>
      </c>
      <c r="BV134" s="174">
        <f t="shared" si="71"/>
        <v>7.4328000000000005E-2</v>
      </c>
      <c r="BW134" s="174" t="s">
        <v>323</v>
      </c>
      <c r="BX134" s="176">
        <v>1.4999999999999999E-2</v>
      </c>
      <c r="BY134" s="176">
        <v>0.15</v>
      </c>
      <c r="BZ134" s="174" t="s">
        <v>322</v>
      </c>
      <c r="CA134" s="174">
        <v>0</v>
      </c>
      <c r="CB134" s="174">
        <f t="shared" si="72"/>
        <v>0</v>
      </c>
      <c r="CC134" s="174" t="s">
        <v>321</v>
      </c>
      <c r="CD134" s="176">
        <v>0</v>
      </c>
      <c r="CE134" s="176">
        <v>0</v>
      </c>
      <c r="CF134" s="174" t="s">
        <v>322</v>
      </c>
      <c r="CG134" s="178">
        <v>0</v>
      </c>
      <c r="CH134" s="174">
        <f t="shared" si="73"/>
        <v>0</v>
      </c>
      <c r="CI134" s="174" t="s">
        <v>323</v>
      </c>
      <c r="CJ134" s="176">
        <v>0</v>
      </c>
      <c r="CK134" s="176">
        <v>0</v>
      </c>
      <c r="CL134" s="174" t="s">
        <v>322</v>
      </c>
      <c r="CM134" s="40"/>
      <c r="CN134" s="41">
        <v>0.6</v>
      </c>
      <c r="CO134" s="41">
        <v>1</v>
      </c>
    </row>
    <row r="135" spans="26:93" s="42" customFormat="1" ht="16.5" customHeight="1" thickBot="1" x14ac:dyDescent="0.3">
      <c r="Z135" s="134"/>
      <c r="AA135" s="134"/>
      <c r="AC135" s="134"/>
      <c r="AD135" s="135"/>
      <c r="AG135" s="136"/>
      <c r="AH135" s="136"/>
      <c r="AJ135" s="134"/>
      <c r="AQ135" s="134"/>
      <c r="AU135" s="134"/>
      <c r="AW135" s="134"/>
      <c r="BA135" s="134"/>
      <c r="BB135" s="134"/>
      <c r="BD135" s="134"/>
      <c r="BG135" s="235"/>
      <c r="BH135" s="177" t="s">
        <v>349</v>
      </c>
      <c r="BI135" s="174" t="s">
        <v>325</v>
      </c>
      <c r="BJ135" s="178">
        <v>2941.7959999999998</v>
      </c>
      <c r="BK135" s="174" t="s">
        <v>319</v>
      </c>
      <c r="BL135" s="176">
        <v>2.2100000000000002E-3</v>
      </c>
      <c r="BM135" s="176">
        <v>2.2100000000000002E-3</v>
      </c>
      <c r="BN135" s="175" t="s">
        <v>320</v>
      </c>
      <c r="BO135" s="179">
        <v>1137.6222</v>
      </c>
      <c r="BP135" s="174">
        <f t="shared" si="70"/>
        <v>1.1376222</v>
      </c>
      <c r="BQ135" s="174" t="s">
        <v>321</v>
      </c>
      <c r="BR135" s="176">
        <v>3.0000000000000001E-3</v>
      </c>
      <c r="BS135" s="176">
        <v>0.03</v>
      </c>
      <c r="BT135" s="174" t="s">
        <v>322</v>
      </c>
      <c r="BU135" s="178">
        <v>3.7921</v>
      </c>
      <c r="BV135" s="174">
        <f t="shared" si="71"/>
        <v>3.7921000000000001E-3</v>
      </c>
      <c r="BW135" s="174" t="s">
        <v>323</v>
      </c>
      <c r="BX135" s="176">
        <v>3.0000000000000001E-3</v>
      </c>
      <c r="BY135" s="176">
        <v>1.4999999999999999E-2</v>
      </c>
      <c r="BZ135" s="174" t="s">
        <v>322</v>
      </c>
      <c r="CA135" s="174">
        <v>0</v>
      </c>
      <c r="CB135" s="174">
        <f t="shared" si="72"/>
        <v>0</v>
      </c>
      <c r="CC135" s="174" t="s">
        <v>321</v>
      </c>
      <c r="CD135" s="176">
        <v>0</v>
      </c>
      <c r="CE135" s="176">
        <v>0</v>
      </c>
      <c r="CF135" s="174" t="s">
        <v>322</v>
      </c>
      <c r="CG135" s="178">
        <v>0</v>
      </c>
      <c r="CH135" s="174">
        <f t="shared" si="73"/>
        <v>0</v>
      </c>
      <c r="CI135" s="174" t="s">
        <v>323</v>
      </c>
      <c r="CJ135" s="176">
        <v>0</v>
      </c>
      <c r="CK135" s="176">
        <v>0</v>
      </c>
      <c r="CL135" s="174" t="s">
        <v>322</v>
      </c>
      <c r="CM135" s="40"/>
      <c r="CN135" s="41">
        <v>0.15</v>
      </c>
      <c r="CO135" s="41">
        <v>0.2</v>
      </c>
    </row>
    <row r="136" spans="26:93" s="42" customFormat="1" ht="16.5" customHeight="1" x14ac:dyDescent="0.25">
      <c r="Z136" s="134"/>
      <c r="AA136" s="134"/>
      <c r="AC136" s="134"/>
      <c r="AD136" s="135"/>
      <c r="AG136" s="136"/>
      <c r="AH136" s="136"/>
      <c r="AJ136" s="134"/>
      <c r="AQ136" s="134"/>
      <c r="AU136" s="134"/>
      <c r="AW136" s="134"/>
      <c r="BA136" s="134"/>
      <c r="BB136" s="134"/>
      <c r="BD136" s="134"/>
      <c r="BG136" s="235"/>
      <c r="BH136" s="36"/>
      <c r="BI136" s="37"/>
      <c r="BJ136" s="37"/>
      <c r="BK136" s="37"/>
      <c r="BL136" s="38"/>
      <c r="BM136" s="38"/>
      <c r="BN136" s="38"/>
      <c r="BO136" s="144"/>
      <c r="BP136" s="144"/>
      <c r="BQ136" s="144"/>
      <c r="BR136" s="144"/>
      <c r="BS136" s="144"/>
      <c r="BT136" s="144"/>
      <c r="BU136" s="37"/>
      <c r="BV136" s="144"/>
      <c r="BW136" s="144"/>
      <c r="BX136" s="37"/>
      <c r="BY136" s="37"/>
      <c r="BZ136" s="37"/>
      <c r="CA136" s="39"/>
      <c r="CB136" s="144"/>
      <c r="CC136" s="144"/>
      <c r="CD136" s="39"/>
      <c r="CE136" s="39"/>
      <c r="CF136" s="39"/>
      <c r="CG136" s="39"/>
      <c r="CH136" s="144"/>
      <c r="CI136" s="144"/>
      <c r="CJ136" s="39"/>
      <c r="CK136" s="39"/>
      <c r="CL136" s="39"/>
      <c r="CM136" s="40"/>
      <c r="CN136" s="41"/>
      <c r="CO136" s="41"/>
    </row>
    <row r="137" spans="26:93" s="42" customFormat="1" ht="16.5" customHeight="1" thickBot="1" x14ac:dyDescent="0.3">
      <c r="Z137" s="134"/>
      <c r="AA137" s="134"/>
      <c r="AC137" s="134"/>
      <c r="AD137" s="135"/>
      <c r="AG137" s="136"/>
      <c r="AH137" s="136"/>
      <c r="AJ137" s="134"/>
      <c r="AQ137" s="134"/>
      <c r="AU137" s="134"/>
      <c r="AW137" s="134"/>
      <c r="BA137" s="134"/>
      <c r="BB137" s="134"/>
      <c r="BD137" s="134"/>
      <c r="BG137" s="235"/>
      <c r="BH137" s="36"/>
      <c r="BI137" s="37"/>
      <c r="BJ137" s="37"/>
      <c r="BK137" s="37"/>
      <c r="BL137" s="38"/>
      <c r="BM137" s="38"/>
      <c r="BN137" s="38"/>
      <c r="BO137" s="144"/>
      <c r="BP137" s="144"/>
      <c r="BQ137" s="144"/>
      <c r="BR137" s="144"/>
      <c r="BS137" s="144"/>
      <c r="BT137" s="144"/>
      <c r="BU137" s="37"/>
      <c r="BV137" s="144"/>
      <c r="BW137" s="144"/>
      <c r="BX137" s="37"/>
      <c r="BY137" s="37"/>
      <c r="BZ137" s="37"/>
      <c r="CA137" s="39"/>
      <c r="CB137" s="144"/>
      <c r="CC137" s="144"/>
      <c r="CD137" s="39"/>
      <c r="CE137" s="39"/>
      <c r="CF137" s="39"/>
      <c r="CG137" s="39"/>
      <c r="CH137" s="144"/>
      <c r="CI137" s="144"/>
      <c r="CJ137" s="39"/>
      <c r="CK137" s="39"/>
      <c r="CL137" s="39"/>
      <c r="CM137" s="40"/>
      <c r="CN137" s="41"/>
      <c r="CO137" s="41"/>
    </row>
    <row r="138" spans="26:93" s="42" customFormat="1" ht="26.25" customHeight="1" thickBot="1" x14ac:dyDescent="0.3">
      <c r="Z138" s="134"/>
      <c r="AA138" s="134"/>
      <c r="AC138" s="134"/>
      <c r="AD138" s="135"/>
      <c r="AG138" s="136"/>
      <c r="AH138" s="136"/>
      <c r="AJ138" s="134"/>
      <c r="AQ138" s="134"/>
      <c r="AU138" s="134"/>
      <c r="AW138" s="134"/>
      <c r="BA138" s="134"/>
      <c r="BB138" s="134"/>
      <c r="BD138" s="134"/>
      <c r="BG138" s="235"/>
      <c r="BH138" s="582" t="s">
        <v>350</v>
      </c>
      <c r="BI138" s="170"/>
      <c r="BJ138" s="582" t="s">
        <v>351</v>
      </c>
      <c r="BK138" s="170"/>
      <c r="BL138" s="582" t="s">
        <v>302</v>
      </c>
      <c r="BM138" s="582" t="s">
        <v>302</v>
      </c>
      <c r="BN138" s="582" t="s">
        <v>303</v>
      </c>
      <c r="BO138" s="610" t="s">
        <v>304</v>
      </c>
      <c r="BP138" s="611"/>
      <c r="BQ138" s="611"/>
      <c r="BR138" s="611"/>
      <c r="BS138" s="611"/>
      <c r="BT138" s="611"/>
      <c r="BU138" s="611"/>
      <c r="BV138" s="611"/>
      <c r="BW138" s="611"/>
      <c r="BX138" s="611"/>
      <c r="BY138" s="611"/>
      <c r="BZ138" s="612"/>
      <c r="CA138" s="610" t="s">
        <v>305</v>
      </c>
      <c r="CB138" s="611"/>
      <c r="CC138" s="611"/>
      <c r="CD138" s="611"/>
      <c r="CE138" s="611"/>
      <c r="CF138" s="611"/>
      <c r="CG138" s="611"/>
      <c r="CH138" s="611"/>
      <c r="CI138" s="611"/>
      <c r="CJ138" s="611"/>
      <c r="CK138" s="611"/>
      <c r="CL138" s="612"/>
      <c r="CM138" s="40"/>
      <c r="CN138" s="41"/>
      <c r="CO138" s="41"/>
    </row>
    <row r="139" spans="26:93" s="42" customFormat="1" ht="58.5" customHeight="1" thickBot="1" x14ac:dyDescent="0.3">
      <c r="Z139" s="134"/>
      <c r="AA139" s="134"/>
      <c r="AC139" s="134"/>
      <c r="AD139" s="135"/>
      <c r="AG139" s="136"/>
      <c r="AH139" s="136"/>
      <c r="AJ139" s="134"/>
      <c r="AQ139" s="134"/>
      <c r="AU139" s="134"/>
      <c r="AW139" s="134"/>
      <c r="BA139" s="134"/>
      <c r="BB139" s="134"/>
      <c r="BD139" s="134"/>
      <c r="BG139" s="235"/>
      <c r="BH139" s="583"/>
      <c r="BI139" s="171" t="s">
        <v>308</v>
      </c>
      <c r="BJ139" s="583"/>
      <c r="BK139" s="171" t="s">
        <v>309</v>
      </c>
      <c r="BL139" s="583"/>
      <c r="BM139" s="583"/>
      <c r="BN139" s="583"/>
      <c r="BO139" s="172" t="s">
        <v>352</v>
      </c>
      <c r="BP139" s="172" t="s">
        <v>353</v>
      </c>
      <c r="BQ139" s="171" t="s">
        <v>309</v>
      </c>
      <c r="BR139" s="172" t="s">
        <v>302</v>
      </c>
      <c r="BS139" s="172" t="s">
        <v>302</v>
      </c>
      <c r="BT139" s="172" t="s">
        <v>303</v>
      </c>
      <c r="BU139" s="172" t="s">
        <v>354</v>
      </c>
      <c r="BV139" s="172" t="s">
        <v>355</v>
      </c>
      <c r="BW139" s="171" t="s">
        <v>309</v>
      </c>
      <c r="BX139" s="172" t="s">
        <v>302</v>
      </c>
      <c r="BY139" s="172" t="s">
        <v>302</v>
      </c>
      <c r="BZ139" s="172" t="s">
        <v>303</v>
      </c>
      <c r="CA139" s="172" t="s">
        <v>352</v>
      </c>
      <c r="CB139" s="172" t="s">
        <v>353</v>
      </c>
      <c r="CC139" s="171" t="s">
        <v>309</v>
      </c>
      <c r="CD139" s="172" t="s">
        <v>302</v>
      </c>
      <c r="CE139" s="172" t="s">
        <v>302</v>
      </c>
      <c r="CF139" s="172" t="s">
        <v>303</v>
      </c>
      <c r="CG139" s="172" t="s">
        <v>354</v>
      </c>
      <c r="CH139" s="172" t="s">
        <v>355</v>
      </c>
      <c r="CI139" s="171" t="s">
        <v>309</v>
      </c>
      <c r="CJ139" s="172" t="s">
        <v>302</v>
      </c>
      <c r="CK139" s="172" t="s">
        <v>302</v>
      </c>
      <c r="CL139" s="172" t="s">
        <v>303</v>
      </c>
      <c r="CM139" s="40"/>
      <c r="CN139" s="41"/>
      <c r="CO139" s="41"/>
    </row>
    <row r="140" spans="26:93" s="42" customFormat="1" ht="16.5" customHeight="1" thickBot="1" x14ac:dyDescent="0.3">
      <c r="Z140" s="134"/>
      <c r="AA140" s="134"/>
      <c r="AC140" s="182"/>
      <c r="AD140" s="135"/>
      <c r="AG140" s="136"/>
      <c r="AH140" s="136"/>
      <c r="AJ140" s="182"/>
      <c r="AQ140" s="182"/>
      <c r="AU140" s="134"/>
      <c r="AW140" s="182"/>
      <c r="BA140" s="134"/>
      <c r="BB140" s="134"/>
      <c r="BC140" s="154"/>
      <c r="BD140" s="182"/>
      <c r="BG140" s="235"/>
      <c r="BH140" s="473" t="s">
        <v>229</v>
      </c>
      <c r="BI140" s="178" t="s">
        <v>356</v>
      </c>
      <c r="BJ140" s="178">
        <v>10.148999999999999</v>
      </c>
      <c r="BK140" s="174" t="s">
        <v>357</v>
      </c>
      <c r="BL140" s="176">
        <v>2.0499999999999997E-3</v>
      </c>
      <c r="BM140" s="176">
        <v>2.0499999999999997E-3</v>
      </c>
      <c r="BN140" s="175" t="s">
        <v>320</v>
      </c>
      <c r="BO140" s="178">
        <v>0.01</v>
      </c>
      <c r="BP140" s="179">
        <f>BO140/1000</f>
        <v>1.0000000000000001E-5</v>
      </c>
      <c r="BQ140" s="174" t="s">
        <v>358</v>
      </c>
      <c r="BR140" s="176">
        <v>0.01</v>
      </c>
      <c r="BS140" s="176">
        <v>0.1</v>
      </c>
      <c r="BT140" s="174" t="s">
        <v>322</v>
      </c>
      <c r="BU140" s="178">
        <v>6.0000000000000001E-3</v>
      </c>
      <c r="BV140" s="179">
        <f>BU140/1000</f>
        <v>6.0000000000000002E-6</v>
      </c>
      <c r="BW140" s="174" t="s">
        <v>359</v>
      </c>
      <c r="BX140" s="176">
        <v>2E-3</v>
      </c>
      <c r="BY140" s="176">
        <v>0.02</v>
      </c>
      <c r="BZ140" s="174" t="s">
        <v>322</v>
      </c>
      <c r="CA140" s="178">
        <v>3.6999999999999998E-2</v>
      </c>
      <c r="CB140" s="179">
        <f>CA140/1000</f>
        <v>3.6999999999999998E-5</v>
      </c>
      <c r="CC140" s="174" t="s">
        <v>358</v>
      </c>
      <c r="CD140" s="176">
        <v>1.6E-2</v>
      </c>
      <c r="CE140" s="176">
        <v>9.5000000000000001E-2</v>
      </c>
      <c r="CF140" s="174" t="s">
        <v>322</v>
      </c>
      <c r="CG140" s="178">
        <v>3.6999999999999998E-2</v>
      </c>
      <c r="CH140" s="179">
        <f>CG140/1000</f>
        <v>3.6999999999999998E-5</v>
      </c>
      <c r="CI140" s="174" t="s">
        <v>359</v>
      </c>
      <c r="CJ140" s="176">
        <v>1.2999999999999999E-2</v>
      </c>
      <c r="CK140" s="176">
        <v>0.12</v>
      </c>
      <c r="CL140" s="174" t="s">
        <v>322</v>
      </c>
      <c r="CM140" s="40"/>
      <c r="CN140" s="41">
        <v>0.15</v>
      </c>
      <c r="CO140" s="41">
        <v>0.2</v>
      </c>
    </row>
    <row r="141" spans="26:93" s="42" customFormat="1" ht="16.5" customHeight="1" thickBot="1" x14ac:dyDescent="0.3">
      <c r="Z141" s="134"/>
      <c r="AA141" s="134"/>
      <c r="AC141" s="182"/>
      <c r="AD141" s="135"/>
      <c r="AG141" s="136"/>
      <c r="AH141" s="136"/>
      <c r="AJ141" s="182"/>
      <c r="AQ141" s="182"/>
      <c r="AU141" s="134"/>
      <c r="AW141" s="182"/>
      <c r="BA141" s="134"/>
      <c r="BB141" s="134"/>
      <c r="BC141" s="154"/>
      <c r="BD141" s="182"/>
      <c r="BG141" s="235"/>
      <c r="BH141" s="473" t="s">
        <v>230</v>
      </c>
      <c r="BI141" s="178" t="s">
        <v>356</v>
      </c>
      <c r="BJ141" s="178">
        <v>8.8085000000000004</v>
      </c>
      <c r="BK141" s="174" t="s">
        <v>357</v>
      </c>
      <c r="BL141" s="176">
        <v>2.0300000000000001E-3</v>
      </c>
      <c r="BM141" s="176">
        <v>2.0300000000000001E-3</v>
      </c>
      <c r="BN141" s="175" t="s">
        <v>320</v>
      </c>
      <c r="BO141" s="178">
        <v>2.6599999999999999E-2</v>
      </c>
      <c r="BP141" s="179">
        <f>BO141/1000</f>
        <v>2.6599999999999999E-5</v>
      </c>
      <c r="BQ141" s="174" t="s">
        <v>358</v>
      </c>
      <c r="BR141" s="176">
        <v>0.01</v>
      </c>
      <c r="BS141" s="176">
        <v>0.1</v>
      </c>
      <c r="BT141" s="174" t="s">
        <v>322</v>
      </c>
      <c r="BU141" s="178">
        <v>5.3E-3</v>
      </c>
      <c r="BV141" s="179">
        <f>BU141/1000</f>
        <v>5.3000000000000001E-6</v>
      </c>
      <c r="BW141" s="174" t="s">
        <v>359</v>
      </c>
      <c r="BX141" s="176">
        <v>2E-3</v>
      </c>
      <c r="BY141" s="176">
        <v>0.02</v>
      </c>
      <c r="BZ141" s="174" t="s">
        <v>322</v>
      </c>
      <c r="CA141" s="178">
        <v>0.29260000000000003</v>
      </c>
      <c r="CB141" s="179">
        <f>CA141/1000</f>
        <v>2.9260000000000001E-4</v>
      </c>
      <c r="CC141" s="174" t="s">
        <v>358</v>
      </c>
      <c r="CD141" s="176">
        <v>9.6000000000000002E-2</v>
      </c>
      <c r="CE141" s="176">
        <v>1.1000000000000001</v>
      </c>
      <c r="CF141" s="174" t="s">
        <v>322</v>
      </c>
      <c r="CG141" s="178">
        <v>2.8400000000000002E-2</v>
      </c>
      <c r="CH141" s="179">
        <f>CG141/1000</f>
        <v>2.8400000000000003E-5</v>
      </c>
      <c r="CI141" s="174" t="s">
        <v>359</v>
      </c>
      <c r="CJ141" s="176">
        <v>9.5999999999999992E-3</v>
      </c>
      <c r="CK141" s="176">
        <v>0.11</v>
      </c>
      <c r="CL141" s="174" t="s">
        <v>322</v>
      </c>
      <c r="CM141" s="40"/>
      <c r="CN141" s="41">
        <v>0.15</v>
      </c>
      <c r="CO141" s="41">
        <v>0.2</v>
      </c>
    </row>
    <row r="142" spans="26:93" s="42" customFormat="1" ht="16.5" customHeight="1" thickBot="1" x14ac:dyDescent="0.3">
      <c r="Z142" s="134"/>
      <c r="AA142" s="134"/>
      <c r="AC142" s="134"/>
      <c r="AD142" s="135"/>
      <c r="AG142" s="136"/>
      <c r="AH142" s="136"/>
      <c r="AJ142" s="134"/>
      <c r="AQ142" s="134"/>
      <c r="AU142" s="134"/>
      <c r="AW142" s="134"/>
      <c r="BA142" s="134"/>
      <c r="BB142" s="134"/>
      <c r="BD142" s="134"/>
      <c r="BG142" s="235"/>
      <c r="BH142" s="173" t="s">
        <v>360</v>
      </c>
      <c r="BI142" s="178" t="s">
        <v>356</v>
      </c>
      <c r="BJ142" s="178">
        <v>9.6232000000000006</v>
      </c>
      <c r="BK142" s="174" t="s">
        <v>357</v>
      </c>
      <c r="BL142" s="176">
        <v>2.0399999999999997E-3</v>
      </c>
      <c r="BM142" s="176">
        <v>2.0399999999999997E-3</v>
      </c>
      <c r="BN142" s="175" t="s">
        <v>320</v>
      </c>
      <c r="BO142" s="179">
        <v>2.7199999999999998E-2</v>
      </c>
      <c r="BP142" s="179">
        <f>BO142/1000</f>
        <v>2.7199999999999997E-5</v>
      </c>
      <c r="BQ142" s="174" t="s">
        <v>358</v>
      </c>
      <c r="BR142" s="176">
        <v>0.01</v>
      </c>
      <c r="BS142" s="176">
        <v>0.1</v>
      </c>
      <c r="BT142" s="174" t="s">
        <v>322</v>
      </c>
      <c r="BU142" s="178">
        <v>5.4000000000000003E-3</v>
      </c>
      <c r="BV142" s="179">
        <f>BU142/1000</f>
        <v>5.4E-6</v>
      </c>
      <c r="BW142" s="174" t="s">
        <v>359</v>
      </c>
      <c r="BX142" s="176">
        <v>2E-3</v>
      </c>
      <c r="BY142" s="176">
        <v>0.02</v>
      </c>
      <c r="BZ142" s="174" t="s">
        <v>322</v>
      </c>
      <c r="CA142" s="184">
        <v>0</v>
      </c>
      <c r="CB142" s="184">
        <f>CA142/1000</f>
        <v>0</v>
      </c>
      <c r="CC142" s="174" t="s">
        <v>358</v>
      </c>
      <c r="CD142" s="176">
        <v>0</v>
      </c>
      <c r="CE142" s="176">
        <v>0</v>
      </c>
      <c r="CF142" s="174" t="s">
        <v>322</v>
      </c>
      <c r="CG142" s="185">
        <v>0</v>
      </c>
      <c r="CH142" s="184">
        <f>CG142/1000</f>
        <v>0</v>
      </c>
      <c r="CI142" s="174" t="s">
        <v>359</v>
      </c>
      <c r="CJ142" s="176">
        <v>0</v>
      </c>
      <c r="CK142" s="176">
        <v>0</v>
      </c>
      <c r="CL142" s="174" t="s">
        <v>322</v>
      </c>
      <c r="CM142" s="40"/>
      <c r="CN142" s="41">
        <v>0.15</v>
      </c>
      <c r="CO142" s="41">
        <v>0.2</v>
      </c>
    </row>
    <row r="143" spans="26:93" s="42" customFormat="1" ht="16.5" customHeight="1" thickBot="1" x14ac:dyDescent="0.3">
      <c r="Z143" s="134"/>
      <c r="AA143" s="134"/>
      <c r="AC143" s="182"/>
      <c r="AD143" s="135"/>
      <c r="AG143" s="136"/>
      <c r="AH143" s="136"/>
      <c r="AJ143" s="182"/>
      <c r="AQ143" s="182"/>
      <c r="AU143" s="134"/>
      <c r="AW143" s="182"/>
      <c r="BA143" s="134"/>
      <c r="BB143" s="134"/>
      <c r="BC143" s="154"/>
      <c r="BD143" s="182"/>
      <c r="BG143" s="235"/>
      <c r="BH143" s="177" t="s">
        <v>361</v>
      </c>
      <c r="BI143" s="178" t="s">
        <v>356</v>
      </c>
      <c r="BJ143" s="178">
        <v>11.624599999999999</v>
      </c>
      <c r="BK143" s="174" t="s">
        <v>357</v>
      </c>
      <c r="BL143" s="176">
        <v>2.0699999999999998E-3</v>
      </c>
      <c r="BM143" s="176">
        <v>2.0699999999999998E-3</v>
      </c>
      <c r="BN143" s="175" t="s">
        <v>320</v>
      </c>
      <c r="BO143" s="178">
        <v>3.0200000000000001E-2</v>
      </c>
      <c r="BP143" s="179">
        <f t="shared" ref="BP143:BP152" si="74">BO143/1000</f>
        <v>3.0200000000000002E-5</v>
      </c>
      <c r="BQ143" s="174" t="s">
        <v>358</v>
      </c>
      <c r="BR143" s="176">
        <v>0.01</v>
      </c>
      <c r="BS143" s="176">
        <v>0.1</v>
      </c>
      <c r="BT143" s="174" t="s">
        <v>322</v>
      </c>
      <c r="BU143" s="178">
        <v>6.0000000000000001E-3</v>
      </c>
      <c r="BV143" s="179">
        <f t="shared" ref="BV143:BV152" si="75">BU143/1000</f>
        <v>6.0000000000000002E-6</v>
      </c>
      <c r="BW143" s="174" t="s">
        <v>359</v>
      </c>
      <c r="BX143" s="176">
        <v>2E-3</v>
      </c>
      <c r="BY143" s="176">
        <v>0.02</v>
      </c>
      <c r="BZ143" s="174" t="s">
        <v>322</v>
      </c>
      <c r="CA143" s="185">
        <v>0</v>
      </c>
      <c r="CB143" s="184">
        <f t="shared" ref="CB143:CB152" si="76">CA143/1000</f>
        <v>0</v>
      </c>
      <c r="CC143" s="174" t="s">
        <v>358</v>
      </c>
      <c r="CD143" s="176">
        <v>0</v>
      </c>
      <c r="CE143" s="176">
        <v>0</v>
      </c>
      <c r="CF143" s="174" t="s">
        <v>322</v>
      </c>
      <c r="CG143" s="185">
        <v>0</v>
      </c>
      <c r="CH143" s="184">
        <f t="shared" ref="CH143:CH152" si="77">CG143/1000</f>
        <v>0</v>
      </c>
      <c r="CI143" s="174" t="s">
        <v>359</v>
      </c>
      <c r="CJ143" s="176">
        <v>0</v>
      </c>
      <c r="CK143" s="176">
        <v>0</v>
      </c>
      <c r="CL143" s="174" t="s">
        <v>322</v>
      </c>
      <c r="CM143" s="40"/>
      <c r="CN143" s="41">
        <v>0.15</v>
      </c>
      <c r="CO143" s="41">
        <v>0.2</v>
      </c>
    </row>
    <row r="144" spans="26:93" s="42" customFormat="1" ht="16.5" customHeight="1" thickBot="1" x14ac:dyDescent="0.3">
      <c r="Z144" s="134"/>
      <c r="AA144" s="134"/>
      <c r="AC144" s="182"/>
      <c r="AD144" s="135"/>
      <c r="AG144" s="136"/>
      <c r="AH144" s="136"/>
      <c r="AJ144" s="182"/>
      <c r="AQ144" s="182"/>
      <c r="AU144" s="134"/>
      <c r="AW144" s="182"/>
      <c r="BA144" s="134"/>
      <c r="BB144" s="134"/>
      <c r="BC144" s="154"/>
      <c r="BD144" s="182"/>
      <c r="BG144" s="235"/>
      <c r="BH144" s="177" t="s">
        <v>362</v>
      </c>
      <c r="BI144" s="178" t="s">
        <v>356</v>
      </c>
      <c r="BJ144" s="178">
        <v>11.2818</v>
      </c>
      <c r="BK144" s="174" t="s">
        <v>357</v>
      </c>
      <c r="BL144" s="176">
        <v>2.0599999999999998E-3</v>
      </c>
      <c r="BM144" s="176">
        <v>2.0599999999999998E-3</v>
      </c>
      <c r="BN144" s="175" t="s">
        <v>320</v>
      </c>
      <c r="BO144" s="178">
        <v>3.0300000000000001E-2</v>
      </c>
      <c r="BP144" s="179">
        <f t="shared" si="74"/>
        <v>3.0300000000000001E-5</v>
      </c>
      <c r="BQ144" s="174" t="s">
        <v>358</v>
      </c>
      <c r="BR144" s="176">
        <v>0.01</v>
      </c>
      <c r="BS144" s="176">
        <v>0.1</v>
      </c>
      <c r="BT144" s="174" t="s">
        <v>322</v>
      </c>
      <c r="BU144" s="178">
        <v>6.1000000000000004E-3</v>
      </c>
      <c r="BV144" s="179">
        <f t="shared" si="75"/>
        <v>6.1E-6</v>
      </c>
      <c r="BW144" s="174" t="s">
        <v>359</v>
      </c>
      <c r="BX144" s="176">
        <v>2E-3</v>
      </c>
      <c r="BY144" s="176">
        <v>0.02</v>
      </c>
      <c r="BZ144" s="174" t="s">
        <v>322</v>
      </c>
      <c r="CA144" s="185">
        <v>0</v>
      </c>
      <c r="CB144" s="184">
        <f t="shared" si="76"/>
        <v>0</v>
      </c>
      <c r="CC144" s="174" t="s">
        <v>358</v>
      </c>
      <c r="CD144" s="176">
        <v>0</v>
      </c>
      <c r="CE144" s="176">
        <v>0</v>
      </c>
      <c r="CF144" s="174" t="s">
        <v>322</v>
      </c>
      <c r="CG144" s="185">
        <v>0</v>
      </c>
      <c r="CH144" s="184">
        <f t="shared" si="77"/>
        <v>0</v>
      </c>
      <c r="CI144" s="174" t="s">
        <v>359</v>
      </c>
      <c r="CJ144" s="176">
        <v>0</v>
      </c>
      <c r="CK144" s="176">
        <v>0</v>
      </c>
      <c r="CL144" s="174" t="s">
        <v>322</v>
      </c>
      <c r="CM144" s="40"/>
      <c r="CN144" s="41">
        <v>0.15</v>
      </c>
      <c r="CO144" s="41">
        <v>0.2</v>
      </c>
    </row>
    <row r="145" spans="26:93" s="42" customFormat="1" ht="16.5" customHeight="1" thickBot="1" x14ac:dyDescent="0.3">
      <c r="Z145" s="134"/>
      <c r="AA145" s="134"/>
      <c r="AC145" s="182"/>
      <c r="AD145" s="135"/>
      <c r="AG145" s="136"/>
      <c r="AH145" s="136"/>
      <c r="AJ145" s="182"/>
      <c r="AQ145" s="182"/>
      <c r="AU145" s="134"/>
      <c r="AW145" s="182"/>
      <c r="BA145" s="134"/>
      <c r="BB145" s="134"/>
      <c r="BC145" s="154"/>
      <c r="BD145" s="182"/>
      <c r="BG145" s="235"/>
      <c r="BH145" s="177" t="s">
        <v>363</v>
      </c>
      <c r="BI145" s="178" t="s">
        <v>356</v>
      </c>
      <c r="BJ145" s="178">
        <v>6.3869999999999996</v>
      </c>
      <c r="BK145" s="174" t="s">
        <v>357</v>
      </c>
      <c r="BL145" s="176">
        <v>2.5600000000000002E-3</v>
      </c>
      <c r="BM145" s="176">
        <v>2.5600000000000002E-3</v>
      </c>
      <c r="BN145" s="175" t="s">
        <v>320</v>
      </c>
      <c r="BO145" s="178">
        <v>2.3699999999999999E-2</v>
      </c>
      <c r="BP145" s="179">
        <f t="shared" si="74"/>
        <v>2.37E-5</v>
      </c>
      <c r="BQ145" s="174" t="s">
        <v>358</v>
      </c>
      <c r="BR145" s="176">
        <v>0.01</v>
      </c>
      <c r="BS145" s="176">
        <v>0.1</v>
      </c>
      <c r="BT145" s="174" t="s">
        <v>322</v>
      </c>
      <c r="BU145" s="178">
        <v>4.7000000000000002E-3</v>
      </c>
      <c r="BV145" s="179">
        <f t="shared" si="75"/>
        <v>4.6999999999999999E-6</v>
      </c>
      <c r="BW145" s="174" t="s">
        <v>359</v>
      </c>
      <c r="BX145" s="176">
        <v>2E-3</v>
      </c>
      <c r="BY145" s="176">
        <v>0.02</v>
      </c>
      <c r="BZ145" s="174" t="s">
        <v>322</v>
      </c>
      <c r="CA145" s="185">
        <v>0</v>
      </c>
      <c r="CB145" s="184">
        <f t="shared" si="76"/>
        <v>0</v>
      </c>
      <c r="CC145" s="174" t="s">
        <v>358</v>
      </c>
      <c r="CD145" s="176">
        <v>0</v>
      </c>
      <c r="CE145" s="176">
        <v>0</v>
      </c>
      <c r="CF145" s="174" t="s">
        <v>322</v>
      </c>
      <c r="CG145" s="185">
        <v>0</v>
      </c>
      <c r="CH145" s="184">
        <f t="shared" si="77"/>
        <v>0</v>
      </c>
      <c r="CI145" s="174" t="s">
        <v>359</v>
      </c>
      <c r="CJ145" s="176">
        <v>0</v>
      </c>
      <c r="CK145" s="176">
        <v>0</v>
      </c>
      <c r="CL145" s="174" t="s">
        <v>322</v>
      </c>
      <c r="CM145" s="40"/>
      <c r="CN145" s="41">
        <v>0.15</v>
      </c>
      <c r="CO145" s="41">
        <v>0.2</v>
      </c>
    </row>
    <row r="146" spans="26:93" s="42" customFormat="1" ht="16.5" customHeight="1" thickBot="1" x14ac:dyDescent="0.3">
      <c r="Z146" s="134"/>
      <c r="AA146" s="134"/>
      <c r="AC146" s="182"/>
      <c r="AD146" s="135"/>
      <c r="AG146" s="136"/>
      <c r="AH146" s="136"/>
      <c r="AJ146" s="182"/>
      <c r="AQ146" s="182"/>
      <c r="AU146" s="134"/>
      <c r="AW146" s="182"/>
      <c r="BA146" s="134"/>
      <c r="BB146" s="134"/>
      <c r="BC146" s="154"/>
      <c r="BD146" s="182"/>
      <c r="BG146" s="235"/>
      <c r="BH146" s="177" t="s">
        <v>364</v>
      </c>
      <c r="BI146" s="178" t="s">
        <v>356</v>
      </c>
      <c r="BJ146" s="178">
        <v>9.8404000000000007</v>
      </c>
      <c r="BK146" s="174" t="s">
        <v>357</v>
      </c>
      <c r="BL146" s="176">
        <v>2.1299999999999999E-3</v>
      </c>
      <c r="BM146" s="176">
        <v>2.1299999999999999E-3</v>
      </c>
      <c r="BN146" s="175" t="s">
        <v>320</v>
      </c>
      <c r="BO146" s="178">
        <v>2.3300000000000001E-2</v>
      </c>
      <c r="BP146" s="179">
        <f t="shared" si="74"/>
        <v>2.3300000000000001E-5</v>
      </c>
      <c r="BQ146" s="174" t="s">
        <v>358</v>
      </c>
      <c r="BR146" s="176">
        <v>0.01</v>
      </c>
      <c r="BS146" s="176">
        <v>0.1</v>
      </c>
      <c r="BT146" s="174" t="s">
        <v>322</v>
      </c>
      <c r="BU146" s="178">
        <v>4.7000000000000002E-3</v>
      </c>
      <c r="BV146" s="179">
        <f t="shared" si="75"/>
        <v>4.6999999999999999E-6</v>
      </c>
      <c r="BW146" s="174" t="s">
        <v>359</v>
      </c>
      <c r="BX146" s="176">
        <v>2E-3</v>
      </c>
      <c r="BY146" s="176">
        <v>0.02</v>
      </c>
      <c r="BZ146" s="174" t="s">
        <v>322</v>
      </c>
      <c r="CA146" s="185">
        <v>0</v>
      </c>
      <c r="CB146" s="184">
        <f t="shared" si="76"/>
        <v>0</v>
      </c>
      <c r="CC146" s="174" t="s">
        <v>358</v>
      </c>
      <c r="CD146" s="176">
        <v>0</v>
      </c>
      <c r="CE146" s="176">
        <v>0</v>
      </c>
      <c r="CF146" s="174" t="s">
        <v>322</v>
      </c>
      <c r="CG146" s="185">
        <v>0</v>
      </c>
      <c r="CH146" s="184">
        <f t="shared" si="77"/>
        <v>0</v>
      </c>
      <c r="CI146" s="174" t="s">
        <v>359</v>
      </c>
      <c r="CJ146" s="176">
        <v>0</v>
      </c>
      <c r="CK146" s="176">
        <v>0</v>
      </c>
      <c r="CL146" s="174" t="s">
        <v>322</v>
      </c>
      <c r="CM146" s="40"/>
      <c r="CN146" s="41">
        <v>0.15</v>
      </c>
      <c r="CO146" s="41">
        <v>0.2</v>
      </c>
    </row>
    <row r="147" spans="26:93" s="42" customFormat="1" ht="16.5" customHeight="1" thickBot="1" x14ac:dyDescent="0.3">
      <c r="Z147" s="134"/>
      <c r="AA147" s="134"/>
      <c r="AC147" s="182"/>
      <c r="AD147" s="135"/>
      <c r="AG147" s="136"/>
      <c r="AH147" s="136"/>
      <c r="AJ147" s="182"/>
      <c r="AQ147" s="182"/>
      <c r="AU147" s="134"/>
      <c r="AW147" s="182"/>
      <c r="BA147" s="134"/>
      <c r="BB147" s="134"/>
      <c r="BC147" s="154"/>
      <c r="BD147" s="182"/>
      <c r="BG147" s="235"/>
      <c r="BH147" s="473" t="s">
        <v>231</v>
      </c>
      <c r="BI147" s="178" t="s">
        <v>356</v>
      </c>
      <c r="BJ147" s="180">
        <v>0</v>
      </c>
      <c r="BK147" s="174" t="s">
        <v>357</v>
      </c>
      <c r="BL147" s="176">
        <v>2.98E-3</v>
      </c>
      <c r="BM147" s="176">
        <v>2.98E-3</v>
      </c>
      <c r="BN147" s="175" t="s">
        <v>320</v>
      </c>
      <c r="BO147" s="178">
        <v>2.63E-2</v>
      </c>
      <c r="BP147" s="179">
        <f t="shared" si="74"/>
        <v>2.6299999999999999E-5</v>
      </c>
      <c r="BQ147" s="174" t="s">
        <v>358</v>
      </c>
      <c r="BR147" s="176">
        <v>0.01</v>
      </c>
      <c r="BS147" s="176">
        <v>0.1</v>
      </c>
      <c r="BT147" s="174" t="s">
        <v>322</v>
      </c>
      <c r="BU147" s="178">
        <v>5.3E-3</v>
      </c>
      <c r="BV147" s="179">
        <f t="shared" si="75"/>
        <v>5.3000000000000001E-6</v>
      </c>
      <c r="BW147" s="174" t="s">
        <v>359</v>
      </c>
      <c r="BX147" s="176">
        <v>2E-3</v>
      </c>
      <c r="BY147" s="176">
        <v>0.02</v>
      </c>
      <c r="BZ147" s="174" t="s">
        <v>322</v>
      </c>
      <c r="CA147" s="178">
        <v>3.4200000000000001E-2</v>
      </c>
      <c r="CB147" s="179">
        <f t="shared" si="76"/>
        <v>3.4200000000000005E-5</v>
      </c>
      <c r="CC147" s="174" t="s">
        <v>358</v>
      </c>
      <c r="CD147" s="176">
        <v>1.6E-2</v>
      </c>
      <c r="CE147" s="176">
        <v>9.5000000000000001E-2</v>
      </c>
      <c r="CF147" s="174" t="s">
        <v>322</v>
      </c>
      <c r="CG147" s="178">
        <v>3.4200000000000001E-2</v>
      </c>
      <c r="CH147" s="179">
        <f t="shared" si="77"/>
        <v>3.4200000000000005E-5</v>
      </c>
      <c r="CI147" s="174" t="s">
        <v>359</v>
      </c>
      <c r="CJ147" s="176">
        <v>1.2999999999999999E-2</v>
      </c>
      <c r="CK147" s="176">
        <v>0.12</v>
      </c>
      <c r="CL147" s="174" t="s">
        <v>322</v>
      </c>
      <c r="CM147" s="40"/>
      <c r="CN147" s="41">
        <v>0.6</v>
      </c>
      <c r="CO147" s="41">
        <v>1</v>
      </c>
    </row>
    <row r="148" spans="26:93" s="42" customFormat="1" ht="16.5" customHeight="1" thickBot="1" x14ac:dyDescent="0.3">
      <c r="Z148" s="134"/>
      <c r="AA148" s="134"/>
      <c r="AC148" s="182"/>
      <c r="AD148" s="135"/>
      <c r="AG148" s="136"/>
      <c r="AH148" s="136"/>
      <c r="AJ148" s="182"/>
      <c r="AQ148" s="182"/>
      <c r="AU148" s="134"/>
      <c r="AW148" s="182"/>
      <c r="BA148" s="134"/>
      <c r="BB148" s="134"/>
      <c r="BC148" s="154"/>
      <c r="BD148" s="182"/>
      <c r="BG148" s="235"/>
      <c r="BH148" s="473" t="s">
        <v>232</v>
      </c>
      <c r="BI148" s="178" t="s">
        <v>356</v>
      </c>
      <c r="BJ148" s="180">
        <v>0</v>
      </c>
      <c r="BK148" s="174" t="s">
        <v>357</v>
      </c>
      <c r="BL148" s="176">
        <v>3.4799999999999996E-3</v>
      </c>
      <c r="BM148" s="176">
        <v>3.4799999999999996E-3</v>
      </c>
      <c r="BN148" s="175" t="s">
        <v>320</v>
      </c>
      <c r="BO148" s="178">
        <v>1.46E-2</v>
      </c>
      <c r="BP148" s="179">
        <f t="shared" si="74"/>
        <v>1.4600000000000001E-5</v>
      </c>
      <c r="BQ148" s="174" t="s">
        <v>358</v>
      </c>
      <c r="BR148" s="176">
        <v>0.01</v>
      </c>
      <c r="BS148" s="176">
        <v>0.1</v>
      </c>
      <c r="BT148" s="174" t="s">
        <v>322</v>
      </c>
      <c r="BU148" s="178">
        <v>2.8999999999999998E-3</v>
      </c>
      <c r="BV148" s="179">
        <f t="shared" si="75"/>
        <v>2.8999999999999998E-6</v>
      </c>
      <c r="BW148" s="174" t="s">
        <v>359</v>
      </c>
      <c r="BX148" s="176">
        <v>2E-3</v>
      </c>
      <c r="BY148" s="176">
        <v>0.02</v>
      </c>
      <c r="BZ148" s="174" t="s">
        <v>322</v>
      </c>
      <c r="CA148" s="178">
        <v>8.77E-2</v>
      </c>
      <c r="CB148" s="179">
        <f t="shared" si="76"/>
        <v>8.7700000000000004E-5</v>
      </c>
      <c r="CC148" s="174" t="s">
        <v>358</v>
      </c>
      <c r="CD148" s="176">
        <v>0.13</v>
      </c>
      <c r="CE148" s="176">
        <v>0.84</v>
      </c>
      <c r="CF148" s="174" t="s">
        <v>322</v>
      </c>
      <c r="CG148" s="178">
        <v>0.19989999999999999</v>
      </c>
      <c r="CH148" s="179">
        <f t="shared" si="77"/>
        <v>1.9990000000000001E-4</v>
      </c>
      <c r="CI148" s="174" t="s">
        <v>359</v>
      </c>
      <c r="CJ148" s="176">
        <v>0.13</v>
      </c>
      <c r="CK148" s="176">
        <v>1.23</v>
      </c>
      <c r="CL148" s="174" t="s">
        <v>322</v>
      </c>
      <c r="CM148" s="40"/>
      <c r="CN148" s="41">
        <v>0.6</v>
      </c>
      <c r="CO148" s="41">
        <v>1</v>
      </c>
    </row>
    <row r="149" spans="26:93" s="42" customFormat="1" ht="16.5" customHeight="1" thickBot="1" x14ac:dyDescent="0.3">
      <c r="Z149" s="134"/>
      <c r="AA149" s="134"/>
      <c r="AC149" s="182"/>
      <c r="AD149" s="135"/>
      <c r="AG149" s="136"/>
      <c r="AH149" s="136"/>
      <c r="AJ149" s="182"/>
      <c r="AQ149" s="182"/>
      <c r="AU149" s="134"/>
      <c r="AW149" s="182"/>
      <c r="BA149" s="134"/>
      <c r="BB149" s="134"/>
      <c r="BC149" s="154"/>
      <c r="BD149" s="182"/>
      <c r="BG149" s="235"/>
      <c r="BH149" s="177" t="s">
        <v>365</v>
      </c>
      <c r="BI149" s="178" t="s">
        <v>356</v>
      </c>
      <c r="BJ149" s="178">
        <v>10.178100000000001</v>
      </c>
      <c r="BK149" s="174" t="s">
        <v>357</v>
      </c>
      <c r="BL149" s="176">
        <v>2.0599999999999998E-3</v>
      </c>
      <c r="BM149" s="176">
        <v>2.0599999999999998E-3</v>
      </c>
      <c r="BN149" s="175" t="s">
        <v>320</v>
      </c>
      <c r="BO149" s="178">
        <v>2.7199999999999998E-2</v>
      </c>
      <c r="BP149" s="179">
        <f t="shared" si="74"/>
        <v>2.7199999999999997E-5</v>
      </c>
      <c r="BQ149" s="174" t="s">
        <v>358</v>
      </c>
      <c r="BR149" s="176">
        <v>0.01</v>
      </c>
      <c r="BS149" s="176">
        <v>0.1</v>
      </c>
      <c r="BT149" s="174" t="s">
        <v>322</v>
      </c>
      <c r="BU149" s="178">
        <v>5.4000000000000003E-3</v>
      </c>
      <c r="BV149" s="179">
        <f t="shared" si="75"/>
        <v>5.4E-6</v>
      </c>
      <c r="BW149" s="174" t="s">
        <v>359</v>
      </c>
      <c r="BX149" s="176">
        <v>2E-3</v>
      </c>
      <c r="BY149" s="176">
        <v>0.02</v>
      </c>
      <c r="BZ149" s="174" t="s">
        <v>322</v>
      </c>
      <c r="CA149" s="178">
        <v>0</v>
      </c>
      <c r="CB149" s="179">
        <f t="shared" si="76"/>
        <v>0</v>
      </c>
      <c r="CC149" s="174" t="s">
        <v>358</v>
      </c>
      <c r="CD149" s="176">
        <v>0</v>
      </c>
      <c r="CE149" s="176">
        <v>0</v>
      </c>
      <c r="CF149" s="174" t="s">
        <v>322</v>
      </c>
      <c r="CG149" s="178">
        <v>0</v>
      </c>
      <c r="CH149" s="179">
        <f t="shared" si="77"/>
        <v>0</v>
      </c>
      <c r="CI149" s="174" t="s">
        <v>359</v>
      </c>
      <c r="CJ149" s="176">
        <v>0</v>
      </c>
      <c r="CK149" s="176">
        <v>0</v>
      </c>
      <c r="CL149" s="174" t="s">
        <v>322</v>
      </c>
      <c r="CM149" s="40"/>
      <c r="CN149" s="41">
        <v>0.15</v>
      </c>
      <c r="CO149" s="41">
        <v>0.2</v>
      </c>
    </row>
    <row r="150" spans="26:93" s="42" customFormat="1" ht="16.5" customHeight="1" thickBot="1" x14ac:dyDescent="0.3">
      <c r="Z150" s="134"/>
      <c r="AA150" s="134"/>
      <c r="AC150" s="182"/>
      <c r="AD150" s="135"/>
      <c r="AG150" s="136"/>
      <c r="AH150" s="136"/>
      <c r="AJ150" s="182"/>
      <c r="AQ150" s="182"/>
      <c r="AU150" s="134"/>
      <c r="AW150" s="182"/>
      <c r="BA150" s="134"/>
      <c r="BB150" s="134"/>
      <c r="BC150" s="154"/>
      <c r="BD150" s="182"/>
      <c r="BG150" s="235"/>
      <c r="BH150" s="177" t="s">
        <v>366</v>
      </c>
      <c r="BI150" s="178" t="s">
        <v>356</v>
      </c>
      <c r="BJ150" s="178">
        <v>8.8632000000000009</v>
      </c>
      <c r="BK150" s="174" t="s">
        <v>357</v>
      </c>
      <c r="BL150" s="176">
        <v>2.32E-3</v>
      </c>
      <c r="BM150" s="176">
        <v>2.32E-3</v>
      </c>
      <c r="BN150" s="175" t="s">
        <v>320</v>
      </c>
      <c r="BO150" s="178">
        <v>9.4999999999999998E-3</v>
      </c>
      <c r="BP150" s="179">
        <f t="shared" si="74"/>
        <v>9.5000000000000005E-6</v>
      </c>
      <c r="BQ150" s="174" t="s">
        <v>358</v>
      </c>
      <c r="BR150" s="176">
        <v>0.01</v>
      </c>
      <c r="BS150" s="176">
        <v>0.1</v>
      </c>
      <c r="BT150" s="174" t="s">
        <v>322</v>
      </c>
      <c r="BU150" s="178">
        <v>5.7000000000000002E-3</v>
      </c>
      <c r="BV150" s="179">
        <f t="shared" si="75"/>
        <v>5.7000000000000005E-6</v>
      </c>
      <c r="BW150" s="174" t="s">
        <v>359</v>
      </c>
      <c r="BX150" s="176">
        <v>2E-3</v>
      </c>
      <c r="BY150" s="176">
        <v>0.02</v>
      </c>
      <c r="BZ150" s="174" t="s">
        <v>322</v>
      </c>
      <c r="CA150" s="178">
        <v>3.6999999999999998E-2</v>
      </c>
      <c r="CB150" s="179">
        <f t="shared" si="76"/>
        <v>3.6999999999999998E-5</v>
      </c>
      <c r="CC150" s="174" t="s">
        <v>358</v>
      </c>
      <c r="CD150" s="176">
        <v>1.6E-2</v>
      </c>
      <c r="CE150" s="176">
        <v>9.5000000000000001E-2</v>
      </c>
      <c r="CF150" s="174" t="s">
        <v>322</v>
      </c>
      <c r="CG150" s="178">
        <v>3.6999999999999998E-2</v>
      </c>
      <c r="CH150" s="179">
        <f t="shared" si="77"/>
        <v>3.6999999999999998E-5</v>
      </c>
      <c r="CI150" s="174" t="s">
        <v>359</v>
      </c>
      <c r="CJ150" s="176">
        <v>1.2999999999999999E-2</v>
      </c>
      <c r="CK150" s="176">
        <v>0.12</v>
      </c>
      <c r="CL150" s="174" t="s">
        <v>322</v>
      </c>
      <c r="CM150" s="40"/>
      <c r="CN150" s="41">
        <v>0.15</v>
      </c>
      <c r="CO150" s="41">
        <v>0.2</v>
      </c>
    </row>
    <row r="151" spans="26:93" s="42" customFormat="1" ht="16.5" customHeight="1" thickBot="1" x14ac:dyDescent="0.3">
      <c r="Z151" s="134"/>
      <c r="AA151" s="134"/>
      <c r="AC151" s="182"/>
      <c r="AD151" s="135"/>
      <c r="AG151" s="136"/>
      <c r="AH151" s="136"/>
      <c r="AJ151" s="182"/>
      <c r="AQ151" s="182"/>
      <c r="AU151" s="134"/>
      <c r="AW151" s="182"/>
      <c r="BA151" s="134"/>
      <c r="BB151" s="134"/>
      <c r="BC151" s="154"/>
      <c r="BD151" s="182"/>
      <c r="BG151" s="235"/>
      <c r="BH151" s="177" t="s">
        <v>367</v>
      </c>
      <c r="BI151" s="178" t="s">
        <v>356</v>
      </c>
      <c r="BJ151" s="178">
        <v>10.2765</v>
      </c>
      <c r="BK151" s="174" t="s">
        <v>357</v>
      </c>
      <c r="BL151" s="176">
        <v>2.0499999999999997E-3</v>
      </c>
      <c r="BM151" s="176">
        <v>2.0499999999999997E-3</v>
      </c>
      <c r="BN151" s="175" t="s">
        <v>320</v>
      </c>
      <c r="BO151" s="178">
        <v>9.5999999999999992E-3</v>
      </c>
      <c r="BP151" s="179">
        <f>BO151/1000</f>
        <v>9.5999999999999996E-6</v>
      </c>
      <c r="BQ151" s="174" t="s">
        <v>358</v>
      </c>
      <c r="BR151" s="176">
        <v>0.01</v>
      </c>
      <c r="BS151" s="176">
        <v>0.1</v>
      </c>
      <c r="BT151" s="174" t="s">
        <v>322</v>
      </c>
      <c r="BU151" s="178">
        <v>5.7999999999999996E-3</v>
      </c>
      <c r="BV151" s="179">
        <f>BU151/1000</f>
        <v>5.7999999999999995E-6</v>
      </c>
      <c r="BW151" s="174" t="s">
        <v>359</v>
      </c>
      <c r="BX151" s="176">
        <v>2E-3</v>
      </c>
      <c r="BY151" s="176">
        <v>0.02</v>
      </c>
      <c r="BZ151" s="174" t="s">
        <v>322</v>
      </c>
      <c r="CA151" s="178">
        <v>3.7400000000000003E-2</v>
      </c>
      <c r="CB151" s="179">
        <f>CA151/1000</f>
        <v>3.7400000000000001E-5</v>
      </c>
      <c r="CC151" s="174" t="s">
        <v>358</v>
      </c>
      <c r="CD151" s="176">
        <v>1.6E-2</v>
      </c>
      <c r="CE151" s="176">
        <v>9.5000000000000001E-2</v>
      </c>
      <c r="CF151" s="174" t="s">
        <v>322</v>
      </c>
      <c r="CG151" s="178">
        <v>3.7400000000000003E-2</v>
      </c>
      <c r="CH151" s="179">
        <f>CG151/1000</f>
        <v>3.7400000000000001E-5</v>
      </c>
      <c r="CI151" s="174" t="s">
        <v>359</v>
      </c>
      <c r="CJ151" s="176">
        <v>1.2999999999999999E-2</v>
      </c>
      <c r="CK151" s="176">
        <v>0.12</v>
      </c>
      <c r="CL151" s="174" t="s">
        <v>322</v>
      </c>
      <c r="CM151" s="40"/>
      <c r="CN151" s="41">
        <v>0.15</v>
      </c>
      <c r="CO151" s="41">
        <v>0.2</v>
      </c>
    </row>
    <row r="152" spans="26:93" s="42" customFormat="1" ht="16.5" customHeight="1" thickBot="1" x14ac:dyDescent="0.3">
      <c r="Z152" s="134"/>
      <c r="AA152" s="134"/>
      <c r="AC152" s="182"/>
      <c r="AD152" s="135"/>
      <c r="AG152" s="136"/>
      <c r="AH152" s="136"/>
      <c r="AJ152" s="182"/>
      <c r="AQ152" s="182"/>
      <c r="AU152" s="134"/>
      <c r="AW152" s="182"/>
      <c r="BA152" s="134"/>
      <c r="BB152" s="134"/>
      <c r="BC152" s="154"/>
      <c r="BD152" s="182"/>
      <c r="BG152" s="235"/>
      <c r="BH152" s="177" t="s">
        <v>368</v>
      </c>
      <c r="BI152" s="178" t="s">
        <v>356</v>
      </c>
      <c r="BJ152" s="178">
        <v>7.6181000000000001</v>
      </c>
      <c r="BK152" s="174" t="s">
        <v>357</v>
      </c>
      <c r="BL152" s="176">
        <v>2.3400000000000001E-3</v>
      </c>
      <c r="BM152" s="176">
        <v>2.3400000000000001E-3</v>
      </c>
      <c r="BN152" s="175" t="s">
        <v>320</v>
      </c>
      <c r="BO152" s="178">
        <v>2.3900000000000001E-2</v>
      </c>
      <c r="BP152" s="179">
        <f t="shared" si="74"/>
        <v>2.3900000000000002E-5</v>
      </c>
      <c r="BQ152" s="174" t="s">
        <v>358</v>
      </c>
      <c r="BR152" s="176">
        <v>0.01</v>
      </c>
      <c r="BS152" s="176">
        <v>0.1</v>
      </c>
      <c r="BT152" s="174" t="s">
        <v>322</v>
      </c>
      <c r="BU152" s="178">
        <v>4.7999999999999996E-3</v>
      </c>
      <c r="BV152" s="179">
        <f t="shared" si="75"/>
        <v>4.7999999999999998E-6</v>
      </c>
      <c r="BW152" s="174" t="s">
        <v>359</v>
      </c>
      <c r="BX152" s="176">
        <v>2E-3</v>
      </c>
      <c r="BY152" s="176">
        <v>0.02</v>
      </c>
      <c r="BZ152" s="174" t="s">
        <v>322</v>
      </c>
      <c r="CA152" s="178">
        <v>0.26269999999999999</v>
      </c>
      <c r="CB152" s="179">
        <f t="shared" si="76"/>
        <v>2.6269999999999999E-4</v>
      </c>
      <c r="CC152" s="174" t="s">
        <v>358</v>
      </c>
      <c r="CD152" s="176">
        <v>9.6000000000000002E-2</v>
      </c>
      <c r="CE152" s="176">
        <v>1.1000000000000001</v>
      </c>
      <c r="CF152" s="174" t="s">
        <v>322</v>
      </c>
      <c r="CG152" s="178">
        <v>2.5499999999999998E-2</v>
      </c>
      <c r="CH152" s="179">
        <f t="shared" si="77"/>
        <v>2.55E-5</v>
      </c>
      <c r="CI152" s="174" t="s">
        <v>359</v>
      </c>
      <c r="CJ152" s="176">
        <v>9.5999999999999992E-3</v>
      </c>
      <c r="CK152" s="176">
        <v>0.11</v>
      </c>
      <c r="CL152" s="174" t="s">
        <v>322</v>
      </c>
      <c r="CM152" s="40"/>
      <c r="CN152" s="41">
        <v>0.15</v>
      </c>
      <c r="CO152" s="41">
        <v>0.2</v>
      </c>
    </row>
    <row r="153" spans="26:93" s="42" customFormat="1" x14ac:dyDescent="0.25">
      <c r="Z153" s="134"/>
      <c r="AA153" s="134"/>
      <c r="AC153" s="134"/>
      <c r="AD153" s="135"/>
      <c r="AG153" s="136"/>
      <c r="AH153" s="136"/>
      <c r="AJ153" s="134"/>
      <c r="AQ153" s="134"/>
      <c r="AU153" s="134"/>
      <c r="AW153" s="134"/>
      <c r="BA153" s="134"/>
      <c r="BB153" s="134"/>
      <c r="BD153" s="134"/>
      <c r="BG153" s="235"/>
      <c r="BH153" s="36"/>
      <c r="BI153" s="37"/>
      <c r="BJ153" s="37"/>
      <c r="BK153" s="37"/>
      <c r="BL153" s="38"/>
      <c r="BM153" s="38"/>
      <c r="BN153" s="38"/>
      <c r="BO153" s="144"/>
      <c r="BP153" s="144"/>
      <c r="BQ153" s="144"/>
      <c r="BR153" s="144"/>
      <c r="BS153" s="144"/>
      <c r="BT153" s="144"/>
      <c r="BU153" s="37"/>
      <c r="BV153" s="144"/>
      <c r="BW153" s="144"/>
      <c r="BX153" s="37"/>
      <c r="BY153" s="37"/>
      <c r="BZ153" s="37"/>
      <c r="CA153" s="39"/>
      <c r="CB153" s="144"/>
      <c r="CC153" s="144"/>
      <c r="CD153" s="39"/>
      <c r="CE153" s="39"/>
      <c r="CF153" s="39"/>
      <c r="CG153" s="39"/>
      <c r="CH153" s="144"/>
      <c r="CI153" s="144"/>
      <c r="CJ153" s="39"/>
      <c r="CK153" s="39"/>
      <c r="CL153" s="39"/>
      <c r="CM153" s="40"/>
      <c r="CN153" s="41"/>
      <c r="CO153" s="41"/>
    </row>
    <row r="154" spans="26:93" s="42" customFormat="1" ht="14" thickBot="1" x14ac:dyDescent="0.3">
      <c r="Z154" s="134"/>
      <c r="AA154" s="134"/>
      <c r="AC154" s="134"/>
      <c r="AD154" s="135"/>
      <c r="AG154" s="136"/>
      <c r="AH154" s="136"/>
      <c r="AJ154" s="134"/>
      <c r="AQ154" s="134"/>
      <c r="AU154" s="134"/>
      <c r="AW154" s="134"/>
      <c r="BA154" s="134"/>
      <c r="BB154" s="134"/>
      <c r="BD154" s="134"/>
      <c r="BG154" s="235"/>
      <c r="BH154" s="36"/>
      <c r="BI154" s="37"/>
      <c r="BJ154" s="37"/>
      <c r="BK154" s="37"/>
      <c r="BL154" s="38"/>
      <c r="BM154" s="38"/>
      <c r="BN154" s="38"/>
      <c r="BO154" s="144"/>
      <c r="BP154" s="144"/>
      <c r="BQ154" s="144"/>
      <c r="BR154" s="144"/>
      <c r="BS154" s="144"/>
      <c r="BT154" s="144"/>
      <c r="BU154" s="37"/>
      <c r="BV154" s="144"/>
      <c r="BW154" s="144"/>
      <c r="BX154" s="37"/>
      <c r="BY154" s="37"/>
      <c r="BZ154" s="37"/>
      <c r="CA154" s="39"/>
      <c r="CB154" s="144"/>
      <c r="CC154" s="144"/>
      <c r="CD154" s="39"/>
      <c r="CE154" s="39"/>
      <c r="CF154" s="39"/>
      <c r="CG154" s="39"/>
      <c r="CH154" s="144"/>
      <c r="CI154" s="144"/>
      <c r="CJ154" s="39"/>
      <c r="CK154" s="39"/>
      <c r="CL154" s="39"/>
      <c r="CM154" s="40"/>
      <c r="CN154" s="41"/>
      <c r="CO154" s="41"/>
    </row>
    <row r="155" spans="26:93" s="42" customFormat="1" ht="26.25" customHeight="1" thickBot="1" x14ac:dyDescent="0.3">
      <c r="Z155" s="134"/>
      <c r="AA155" s="134"/>
      <c r="AC155" s="134"/>
      <c r="AD155" s="135"/>
      <c r="AG155" s="136"/>
      <c r="AH155" s="136"/>
      <c r="AJ155" s="134"/>
      <c r="AQ155" s="134"/>
      <c r="AU155" s="134"/>
      <c r="AW155" s="134"/>
      <c r="BA155" s="134"/>
      <c r="BB155" s="134"/>
      <c r="BD155" s="134"/>
      <c r="BG155" s="235"/>
      <c r="BH155" s="582" t="s">
        <v>350</v>
      </c>
      <c r="BI155" s="170"/>
      <c r="BJ155" s="582" t="s">
        <v>351</v>
      </c>
      <c r="BK155" s="170"/>
      <c r="BL155" s="582" t="s">
        <v>302</v>
      </c>
      <c r="BM155" s="582" t="s">
        <v>302</v>
      </c>
      <c r="BN155" s="582" t="s">
        <v>303</v>
      </c>
      <c r="BO155" s="610" t="s">
        <v>304</v>
      </c>
      <c r="BP155" s="611"/>
      <c r="BQ155" s="611"/>
      <c r="BR155" s="611"/>
      <c r="BS155" s="611"/>
      <c r="BT155" s="611"/>
      <c r="BU155" s="611"/>
      <c r="BV155" s="611"/>
      <c r="BW155" s="611"/>
      <c r="BX155" s="611"/>
      <c r="BY155" s="611"/>
      <c r="BZ155" s="612"/>
      <c r="CA155" s="610" t="s">
        <v>305</v>
      </c>
      <c r="CB155" s="611"/>
      <c r="CC155" s="611"/>
      <c r="CD155" s="611"/>
      <c r="CE155" s="611"/>
      <c r="CF155" s="611"/>
      <c r="CG155" s="611"/>
      <c r="CH155" s="611"/>
      <c r="CI155" s="611"/>
      <c r="CJ155" s="611"/>
      <c r="CK155" s="611"/>
      <c r="CL155" s="612"/>
      <c r="CM155" s="40"/>
      <c r="CN155" s="41"/>
      <c r="CO155" s="41"/>
    </row>
    <row r="156" spans="26:93" s="42" customFormat="1" ht="59.25" customHeight="1" thickBot="1" x14ac:dyDescent="0.3">
      <c r="Z156" s="134"/>
      <c r="AA156" s="134"/>
      <c r="AC156" s="134"/>
      <c r="AD156" s="135"/>
      <c r="AG156" s="136"/>
      <c r="AH156" s="136"/>
      <c r="AJ156" s="134"/>
      <c r="AQ156" s="134"/>
      <c r="AU156" s="134"/>
      <c r="AW156" s="134"/>
      <c r="BA156" s="134"/>
      <c r="BB156" s="134"/>
      <c r="BD156" s="134"/>
      <c r="BG156" s="235"/>
      <c r="BH156" s="583"/>
      <c r="BI156" s="171" t="s">
        <v>308</v>
      </c>
      <c r="BJ156" s="583"/>
      <c r="BK156" s="171" t="s">
        <v>309</v>
      </c>
      <c r="BL156" s="583"/>
      <c r="BM156" s="583"/>
      <c r="BN156" s="583"/>
      <c r="BO156" s="172" t="s">
        <v>352</v>
      </c>
      <c r="BP156" s="172" t="s">
        <v>353</v>
      </c>
      <c r="BQ156" s="171" t="s">
        <v>309</v>
      </c>
      <c r="BR156" s="172" t="s">
        <v>302</v>
      </c>
      <c r="BS156" s="172" t="s">
        <v>302</v>
      </c>
      <c r="BT156" s="172" t="s">
        <v>303</v>
      </c>
      <c r="BU156" s="172" t="s">
        <v>354</v>
      </c>
      <c r="BV156" s="172" t="s">
        <v>355</v>
      </c>
      <c r="BW156" s="171" t="s">
        <v>309</v>
      </c>
      <c r="BX156" s="172" t="s">
        <v>302</v>
      </c>
      <c r="BY156" s="172" t="s">
        <v>302</v>
      </c>
      <c r="BZ156" s="172" t="s">
        <v>303</v>
      </c>
      <c r="CA156" s="172" t="s">
        <v>352</v>
      </c>
      <c r="CB156" s="172" t="s">
        <v>353</v>
      </c>
      <c r="CC156" s="171" t="s">
        <v>309</v>
      </c>
      <c r="CD156" s="172" t="s">
        <v>302</v>
      </c>
      <c r="CE156" s="172" t="s">
        <v>302</v>
      </c>
      <c r="CF156" s="172" t="s">
        <v>303</v>
      </c>
      <c r="CG156" s="172" t="s">
        <v>354</v>
      </c>
      <c r="CH156" s="172" t="s">
        <v>355</v>
      </c>
      <c r="CI156" s="171" t="s">
        <v>309</v>
      </c>
      <c r="CJ156" s="172" t="s">
        <v>302</v>
      </c>
      <c r="CK156" s="172" t="s">
        <v>302</v>
      </c>
      <c r="CL156" s="172" t="s">
        <v>303</v>
      </c>
      <c r="CM156" s="40"/>
      <c r="CN156" s="41"/>
      <c r="CO156" s="41"/>
    </row>
    <row r="157" spans="26:93" s="42" customFormat="1" ht="19" thickBot="1" x14ac:dyDescent="0.3">
      <c r="Z157" s="134"/>
      <c r="AA157" s="134"/>
      <c r="AC157" s="134"/>
      <c r="AD157" s="135"/>
      <c r="AG157" s="136"/>
      <c r="AH157" s="136"/>
      <c r="AJ157" s="134"/>
      <c r="AQ157" s="134"/>
      <c r="AU157" s="134"/>
      <c r="AW157" s="134"/>
      <c r="BA157" s="134"/>
      <c r="BB157" s="134"/>
      <c r="BD157" s="134"/>
      <c r="BE157" s="154"/>
      <c r="BG157" s="235"/>
      <c r="BH157" s="489" t="s">
        <v>237</v>
      </c>
      <c r="BI157" s="174" t="s">
        <v>369</v>
      </c>
      <c r="BJ157" s="186">
        <v>0</v>
      </c>
      <c r="BK157" s="174" t="s">
        <v>370</v>
      </c>
      <c r="BL157" s="176">
        <v>8.8870000000000005E-2</v>
      </c>
      <c r="BM157" s="176">
        <v>8.8870000000000005E-2</v>
      </c>
      <c r="BN157" s="175" t="s">
        <v>320</v>
      </c>
      <c r="BO157" s="187">
        <v>2.1999999999999999E-2</v>
      </c>
      <c r="BP157" s="187">
        <f>BO157/1000</f>
        <v>2.1999999999999999E-5</v>
      </c>
      <c r="BQ157" s="174" t="s">
        <v>371</v>
      </c>
      <c r="BR157" s="176">
        <v>3.0000000000000001E-3</v>
      </c>
      <c r="BS157" s="176">
        <v>0.03</v>
      </c>
      <c r="BT157" s="174" t="s">
        <v>322</v>
      </c>
      <c r="BU157" s="187">
        <v>2.2000000000000001E-3</v>
      </c>
      <c r="BV157" s="187">
        <f>BU157/1000</f>
        <v>2.2000000000000001E-6</v>
      </c>
      <c r="BW157" s="174" t="s">
        <v>372</v>
      </c>
      <c r="BX157" s="176">
        <v>2.9999999999999997E-4</v>
      </c>
      <c r="BY157" s="176">
        <v>0.03</v>
      </c>
      <c r="BZ157" s="174" t="s">
        <v>322</v>
      </c>
      <c r="CA157" s="178">
        <v>0</v>
      </c>
      <c r="CB157" s="187">
        <f>CA157/1000</f>
        <v>0</v>
      </c>
      <c r="CC157" s="174" t="s">
        <v>371</v>
      </c>
      <c r="CD157" s="176">
        <v>0</v>
      </c>
      <c r="CE157" s="176">
        <v>0</v>
      </c>
      <c r="CF157" s="174" t="s">
        <v>322</v>
      </c>
      <c r="CG157" s="178">
        <v>0</v>
      </c>
      <c r="CH157" s="187">
        <f>CG157/1000</f>
        <v>0</v>
      </c>
      <c r="CI157" s="174" t="s">
        <v>372</v>
      </c>
      <c r="CJ157" s="176">
        <v>0</v>
      </c>
      <c r="CK157" s="176">
        <v>0</v>
      </c>
      <c r="CL157" s="174" t="s">
        <v>322</v>
      </c>
      <c r="CM157" s="40"/>
      <c r="CN157" s="41">
        <v>0.6</v>
      </c>
      <c r="CO157" s="41">
        <v>1</v>
      </c>
    </row>
    <row r="158" spans="26:93" s="42" customFormat="1" ht="19" thickBot="1" x14ac:dyDescent="0.3">
      <c r="Z158" s="134"/>
      <c r="AA158" s="134"/>
      <c r="AC158" s="134"/>
      <c r="AD158" s="135"/>
      <c r="AG158" s="136"/>
      <c r="AH158" s="136"/>
      <c r="AJ158" s="134"/>
      <c r="AQ158" s="134"/>
      <c r="AU158" s="134"/>
      <c r="AW158" s="134"/>
      <c r="BA158" s="134"/>
      <c r="BB158" s="134"/>
      <c r="BD158" s="134"/>
      <c r="BE158" s="154"/>
      <c r="BG158" s="235"/>
      <c r="BH158" s="177" t="s">
        <v>373</v>
      </c>
      <c r="BI158" s="174" t="s">
        <v>369</v>
      </c>
      <c r="BJ158" s="188">
        <v>0.6129</v>
      </c>
      <c r="BK158" s="174" t="s">
        <v>370</v>
      </c>
      <c r="BL158" s="176">
        <v>0.18914999999999998</v>
      </c>
      <c r="BM158" s="176">
        <v>0.18914999999999998</v>
      </c>
      <c r="BN158" s="175" t="s">
        <v>320</v>
      </c>
      <c r="BO158" s="187">
        <v>1.4999999999999999E-2</v>
      </c>
      <c r="BP158" s="187">
        <f t="shared" ref="BP158:BP174" si="78">BO158/1000</f>
        <v>1.4999999999999999E-5</v>
      </c>
      <c r="BQ158" s="174" t="s">
        <v>371</v>
      </c>
      <c r="BR158" s="176">
        <v>3.0000000000000001E-3</v>
      </c>
      <c r="BS158" s="176">
        <v>0.03</v>
      </c>
      <c r="BT158" s="174" t="s">
        <v>322</v>
      </c>
      <c r="BU158" s="187">
        <v>1.5E-3</v>
      </c>
      <c r="BV158" s="187">
        <f t="shared" ref="BV158:BV174" si="79">BU158/1000</f>
        <v>1.5E-6</v>
      </c>
      <c r="BW158" s="174" t="s">
        <v>372</v>
      </c>
      <c r="BX158" s="176">
        <v>2.9999999999999997E-4</v>
      </c>
      <c r="BY158" s="176">
        <v>0.03</v>
      </c>
      <c r="BZ158" s="174" t="s">
        <v>322</v>
      </c>
      <c r="CA158" s="178">
        <v>0</v>
      </c>
      <c r="CB158" s="187">
        <f t="shared" ref="CB158:CB174" si="80">CA158/1000</f>
        <v>0</v>
      </c>
      <c r="CC158" s="174" t="s">
        <v>371</v>
      </c>
      <c r="CD158" s="176">
        <v>0</v>
      </c>
      <c r="CE158" s="176">
        <v>0</v>
      </c>
      <c r="CF158" s="174" t="s">
        <v>322</v>
      </c>
      <c r="CG158" s="178">
        <v>0</v>
      </c>
      <c r="CH158" s="187">
        <f t="shared" ref="CH158:CH174" si="81">CG158/1000</f>
        <v>0</v>
      </c>
      <c r="CI158" s="174" t="s">
        <v>372</v>
      </c>
      <c r="CJ158" s="176">
        <v>0</v>
      </c>
      <c r="CK158" s="176">
        <v>0</v>
      </c>
      <c r="CL158" s="174" t="s">
        <v>322</v>
      </c>
      <c r="CM158" s="40"/>
      <c r="CN158" s="41">
        <v>0.15</v>
      </c>
      <c r="CO158" s="41">
        <v>0.2</v>
      </c>
    </row>
    <row r="159" spans="26:93" s="42" customFormat="1" ht="19" thickBot="1" x14ac:dyDescent="0.3">
      <c r="Z159" s="134"/>
      <c r="AA159" s="134"/>
      <c r="AC159" s="134"/>
      <c r="AD159" s="135"/>
      <c r="AG159" s="136"/>
      <c r="AH159" s="136"/>
      <c r="AJ159" s="134"/>
      <c r="AQ159" s="134"/>
      <c r="AU159" s="134"/>
      <c r="AW159" s="134"/>
      <c r="BA159" s="134"/>
      <c r="BB159" s="134"/>
      <c r="BD159" s="134"/>
      <c r="BE159" s="154"/>
      <c r="BG159" s="235"/>
      <c r="BH159" s="473" t="s">
        <v>239</v>
      </c>
      <c r="BI159" s="174" t="s">
        <v>369</v>
      </c>
      <c r="BJ159" s="188">
        <v>1.9805999999999999</v>
      </c>
      <c r="BK159" s="174" t="s">
        <v>370</v>
      </c>
      <c r="BL159" s="176">
        <v>6.5890000000000004E-2</v>
      </c>
      <c r="BM159" s="176">
        <v>6.5890000000000004E-2</v>
      </c>
      <c r="BN159" s="175" t="s">
        <v>320</v>
      </c>
      <c r="BO159" s="187">
        <v>3.5700000000000003E-2</v>
      </c>
      <c r="BP159" s="187">
        <f>BO159/1000</f>
        <v>3.57E-5</v>
      </c>
      <c r="BQ159" s="174" t="s">
        <v>371</v>
      </c>
      <c r="BR159" s="176">
        <v>3.0000000000000001E-3</v>
      </c>
      <c r="BS159" s="176">
        <v>0.03</v>
      </c>
      <c r="BT159" s="174" t="s">
        <v>322</v>
      </c>
      <c r="BU159" s="187">
        <v>3.5999999999999999E-3</v>
      </c>
      <c r="BV159" s="187">
        <f>BU159/1000</f>
        <v>3.5999999999999998E-6</v>
      </c>
      <c r="BW159" s="174" t="s">
        <v>372</v>
      </c>
      <c r="BX159" s="176">
        <v>2.9999999999999997E-4</v>
      </c>
      <c r="BY159" s="176">
        <v>0.03</v>
      </c>
      <c r="BZ159" s="174" t="s">
        <v>322</v>
      </c>
      <c r="CA159" s="178">
        <v>3.28</v>
      </c>
      <c r="CB159" s="187">
        <f>CA159/1000</f>
        <v>3.2799999999999999E-3</v>
      </c>
      <c r="CC159" s="174" t="s">
        <v>371</v>
      </c>
      <c r="CD159" s="176">
        <v>0.5</v>
      </c>
      <c r="CE159" s="176">
        <v>15.4</v>
      </c>
      <c r="CF159" s="174" t="s">
        <v>322</v>
      </c>
      <c r="CG159" s="178">
        <v>0.107</v>
      </c>
      <c r="CH159" s="187">
        <f>CG159/1000</f>
        <v>1.07E-4</v>
      </c>
      <c r="CI159" s="174" t="s">
        <v>372</v>
      </c>
      <c r="CJ159" s="176">
        <v>0.01</v>
      </c>
      <c r="CK159" s="176">
        <v>0.77</v>
      </c>
      <c r="CL159" s="174" t="s">
        <v>322</v>
      </c>
      <c r="CM159" s="40"/>
      <c r="CN159" s="41">
        <v>0.15</v>
      </c>
      <c r="CO159" s="41">
        <v>0.2</v>
      </c>
    </row>
    <row r="160" spans="26:93" s="42" customFormat="1" ht="19" thickBot="1" x14ac:dyDescent="0.3">
      <c r="Z160" s="134"/>
      <c r="AA160" s="134"/>
      <c r="AC160" s="134"/>
      <c r="AD160" s="135"/>
      <c r="AG160" s="136"/>
      <c r="AH160" s="136"/>
      <c r="AJ160" s="134"/>
      <c r="AQ160" s="134"/>
      <c r="AU160" s="134"/>
      <c r="AW160" s="134"/>
      <c r="BA160" s="134"/>
      <c r="BB160" s="134"/>
      <c r="BD160" s="134"/>
      <c r="BE160" s="154"/>
      <c r="BG160" s="235"/>
      <c r="BH160" s="177" t="s">
        <v>374</v>
      </c>
      <c r="BI160" s="174" t="s">
        <v>369</v>
      </c>
      <c r="BJ160" s="188">
        <v>2.1913</v>
      </c>
      <c r="BK160" s="174" t="s">
        <v>370</v>
      </c>
      <c r="BL160" s="176">
        <v>1.15E-3</v>
      </c>
      <c r="BM160" s="176">
        <v>1.15E-3</v>
      </c>
      <c r="BN160" s="175" t="s">
        <v>320</v>
      </c>
      <c r="BO160" s="187">
        <v>3.8699999999999998E-2</v>
      </c>
      <c r="BP160" s="187">
        <f t="shared" si="78"/>
        <v>3.8699999999999999E-5</v>
      </c>
      <c r="BQ160" s="174" t="s">
        <v>371</v>
      </c>
      <c r="BR160" s="176">
        <v>3.0000000000000001E-3</v>
      </c>
      <c r="BS160" s="176">
        <v>0.03</v>
      </c>
      <c r="BT160" s="174" t="s">
        <v>322</v>
      </c>
      <c r="BU160" s="187">
        <v>3.8999999999999998E-3</v>
      </c>
      <c r="BV160" s="187">
        <f t="shared" si="79"/>
        <v>3.8999999999999999E-6</v>
      </c>
      <c r="BW160" s="174" t="s">
        <v>372</v>
      </c>
      <c r="BX160" s="176">
        <v>2.9999999999999997E-4</v>
      </c>
      <c r="BY160" s="176">
        <v>0.03</v>
      </c>
      <c r="BZ160" s="174" t="s">
        <v>322</v>
      </c>
      <c r="CA160" s="178">
        <v>3.5579999999999998</v>
      </c>
      <c r="CB160" s="187">
        <f t="shared" si="80"/>
        <v>3.558E-3</v>
      </c>
      <c r="CC160" s="174" t="s">
        <v>371</v>
      </c>
      <c r="CD160" s="176">
        <v>0.5</v>
      </c>
      <c r="CE160" s="176">
        <v>15.4</v>
      </c>
      <c r="CF160" s="174" t="s">
        <v>322</v>
      </c>
      <c r="CG160" s="178">
        <v>0.11600000000000001</v>
      </c>
      <c r="CH160" s="187">
        <f t="shared" si="81"/>
        <v>1.16E-4</v>
      </c>
      <c r="CI160" s="174" t="s">
        <v>372</v>
      </c>
      <c r="CJ160" s="176">
        <v>0.01</v>
      </c>
      <c r="CK160" s="176">
        <v>0.77</v>
      </c>
      <c r="CL160" s="174" t="s">
        <v>322</v>
      </c>
      <c r="CM160" s="40"/>
      <c r="CN160" s="41">
        <v>0.15</v>
      </c>
      <c r="CO160" s="41">
        <v>0.2</v>
      </c>
    </row>
    <row r="161" spans="26:93" s="42" customFormat="1" ht="19" thickBot="1" x14ac:dyDescent="0.3">
      <c r="Z161" s="134"/>
      <c r="AA161" s="134"/>
      <c r="AC161" s="134"/>
      <c r="AD161" s="135"/>
      <c r="AG161" s="136"/>
      <c r="AH161" s="136"/>
      <c r="AJ161" s="134"/>
      <c r="AQ161" s="134"/>
      <c r="AU161" s="134"/>
      <c r="AW161" s="134"/>
      <c r="BA161" s="134"/>
      <c r="BB161" s="134"/>
      <c r="BD161" s="134"/>
      <c r="BE161" s="154"/>
      <c r="BG161" s="235"/>
      <c r="BH161" s="177" t="s">
        <v>375</v>
      </c>
      <c r="BI161" s="174" t="s">
        <v>369</v>
      </c>
      <c r="BJ161" s="188">
        <v>1.8396999999999999</v>
      </c>
      <c r="BK161" s="174" t="s">
        <v>370</v>
      </c>
      <c r="BL161" s="176">
        <v>1.16E-3</v>
      </c>
      <c r="BM161" s="176">
        <v>1.16E-3</v>
      </c>
      <c r="BN161" s="175" t="s">
        <v>320</v>
      </c>
      <c r="BO161" s="187">
        <v>3.3500000000000002E-2</v>
      </c>
      <c r="BP161" s="187">
        <f t="shared" si="78"/>
        <v>3.3500000000000001E-5</v>
      </c>
      <c r="BQ161" s="174" t="s">
        <v>371</v>
      </c>
      <c r="BR161" s="176">
        <v>3.0000000000000001E-3</v>
      </c>
      <c r="BS161" s="176">
        <v>0.03</v>
      </c>
      <c r="BT161" s="174" t="s">
        <v>322</v>
      </c>
      <c r="BU161" s="187">
        <v>3.3E-3</v>
      </c>
      <c r="BV161" s="187">
        <f t="shared" si="79"/>
        <v>3.3000000000000002E-6</v>
      </c>
      <c r="BW161" s="174" t="s">
        <v>372</v>
      </c>
      <c r="BX161" s="176">
        <v>2.9999999999999997E-4</v>
      </c>
      <c r="BY161" s="176">
        <v>0.03</v>
      </c>
      <c r="BZ161" s="174" t="s">
        <v>322</v>
      </c>
      <c r="CA161" s="178">
        <v>3.0815000000000001</v>
      </c>
      <c r="CB161" s="187">
        <f t="shared" si="80"/>
        <v>3.0815E-3</v>
      </c>
      <c r="CC161" s="174" t="s">
        <v>371</v>
      </c>
      <c r="CD161" s="176">
        <v>0.5</v>
      </c>
      <c r="CE161" s="176">
        <v>15.4</v>
      </c>
      <c r="CF161" s="174" t="s">
        <v>322</v>
      </c>
      <c r="CG161" s="178">
        <v>0.10050000000000001</v>
      </c>
      <c r="CH161" s="187">
        <f t="shared" si="81"/>
        <v>1.005E-4</v>
      </c>
      <c r="CI161" s="174" t="s">
        <v>372</v>
      </c>
      <c r="CJ161" s="176">
        <v>0.01</v>
      </c>
      <c r="CK161" s="176">
        <v>0.77</v>
      </c>
      <c r="CL161" s="174" t="s">
        <v>322</v>
      </c>
      <c r="CM161" s="40"/>
      <c r="CN161" s="41">
        <v>0.15</v>
      </c>
      <c r="CO161" s="41">
        <v>0.2</v>
      </c>
    </row>
    <row r="162" spans="26:93" s="42" customFormat="1" ht="19" thickBot="1" x14ac:dyDescent="0.3">
      <c r="Z162" s="134"/>
      <c r="AA162" s="134"/>
      <c r="AC162" s="134"/>
      <c r="AD162" s="135"/>
      <c r="AG162" s="136"/>
      <c r="AH162" s="136"/>
      <c r="AJ162" s="134"/>
      <c r="AQ162" s="134"/>
      <c r="AU162" s="134"/>
      <c r="AW162" s="134"/>
      <c r="BA162" s="134"/>
      <c r="BB162" s="134"/>
      <c r="BD162" s="134"/>
      <c r="BE162" s="154"/>
      <c r="BG162" s="235"/>
      <c r="BH162" s="177" t="s">
        <v>376</v>
      </c>
      <c r="BI162" s="174" t="s">
        <v>369</v>
      </c>
      <c r="BJ162" s="188">
        <v>1.8259000000000001</v>
      </c>
      <c r="BK162" s="174" t="s">
        <v>370</v>
      </c>
      <c r="BL162" s="176">
        <v>7.107999999999999E-2</v>
      </c>
      <c r="BM162" s="176">
        <v>7.107999999999999E-2</v>
      </c>
      <c r="BN162" s="175" t="s">
        <v>320</v>
      </c>
      <c r="BO162" s="187">
        <v>3.3300000000000003E-2</v>
      </c>
      <c r="BP162" s="187">
        <f t="shared" si="78"/>
        <v>3.3300000000000003E-5</v>
      </c>
      <c r="BQ162" s="174" t="s">
        <v>371</v>
      </c>
      <c r="BR162" s="176">
        <v>3.0000000000000001E-3</v>
      </c>
      <c r="BS162" s="176">
        <v>0.03</v>
      </c>
      <c r="BT162" s="174" t="s">
        <v>322</v>
      </c>
      <c r="BU162" s="187">
        <v>3.3E-3</v>
      </c>
      <c r="BV162" s="187">
        <f t="shared" si="79"/>
        <v>3.3000000000000002E-6</v>
      </c>
      <c r="BW162" s="174" t="s">
        <v>372</v>
      </c>
      <c r="BX162" s="176">
        <v>2.9999999999999997E-4</v>
      </c>
      <c r="BY162" s="176">
        <v>0.03</v>
      </c>
      <c r="BZ162" s="174" t="s">
        <v>322</v>
      </c>
      <c r="CA162" s="178">
        <v>3.0607000000000002</v>
      </c>
      <c r="CB162" s="187">
        <f t="shared" si="80"/>
        <v>3.0607000000000004E-3</v>
      </c>
      <c r="CC162" s="174" t="s">
        <v>371</v>
      </c>
      <c r="CD162" s="176">
        <v>0.5</v>
      </c>
      <c r="CE162" s="176">
        <v>15.4</v>
      </c>
      <c r="CF162" s="174" t="s">
        <v>322</v>
      </c>
      <c r="CG162" s="178">
        <v>9.98E-2</v>
      </c>
      <c r="CH162" s="187">
        <f t="shared" si="81"/>
        <v>9.98E-5</v>
      </c>
      <c r="CI162" s="174" t="s">
        <v>372</v>
      </c>
      <c r="CJ162" s="176">
        <v>0.01</v>
      </c>
      <c r="CK162" s="176">
        <v>0.77</v>
      </c>
      <c r="CL162" s="174" t="s">
        <v>322</v>
      </c>
      <c r="CM162" s="40"/>
      <c r="CN162" s="41">
        <v>0.15</v>
      </c>
      <c r="CO162" s="41">
        <v>0.2</v>
      </c>
    </row>
    <row r="163" spans="26:93" s="42" customFormat="1" ht="19" thickBot="1" x14ac:dyDescent="0.3">
      <c r="Z163" s="134"/>
      <c r="AA163" s="134"/>
      <c r="AC163" s="134"/>
      <c r="AD163" s="135"/>
      <c r="AG163" s="136"/>
      <c r="AH163" s="136"/>
      <c r="AJ163" s="134"/>
      <c r="AQ163" s="134"/>
      <c r="AU163" s="134"/>
      <c r="AW163" s="134"/>
      <c r="BA163" s="134"/>
      <c r="BB163" s="134"/>
      <c r="BD163" s="134"/>
      <c r="BE163" s="154"/>
      <c r="BG163" s="235"/>
      <c r="BH163" s="177" t="s">
        <v>377</v>
      </c>
      <c r="BI163" s="174" t="s">
        <v>369</v>
      </c>
      <c r="BJ163" s="188">
        <v>2.0354999999999999</v>
      </c>
      <c r="BK163" s="174" t="s">
        <v>370</v>
      </c>
      <c r="BL163" s="176">
        <v>6.3630000000000006E-2</v>
      </c>
      <c r="BM163" s="176">
        <v>6.3630000000000006E-2</v>
      </c>
      <c r="BN163" s="175" t="s">
        <v>320</v>
      </c>
      <c r="BO163" s="187">
        <v>3.73E-2</v>
      </c>
      <c r="BP163" s="187">
        <f t="shared" si="78"/>
        <v>3.7299999999999999E-5</v>
      </c>
      <c r="BQ163" s="174" t="s">
        <v>371</v>
      </c>
      <c r="BR163" s="176">
        <v>3.0000000000000001E-3</v>
      </c>
      <c r="BS163" s="176">
        <v>0.03</v>
      </c>
      <c r="BT163" s="174" t="s">
        <v>322</v>
      </c>
      <c r="BU163" s="187">
        <v>3.7000000000000002E-3</v>
      </c>
      <c r="BV163" s="187">
        <f t="shared" si="79"/>
        <v>3.7000000000000002E-6</v>
      </c>
      <c r="BW163" s="174" t="s">
        <v>372</v>
      </c>
      <c r="BX163" s="176">
        <v>2.9999999999999997E-4</v>
      </c>
      <c r="BY163" s="176">
        <v>0.03</v>
      </c>
      <c r="BZ163" s="174" t="s">
        <v>322</v>
      </c>
      <c r="CA163" s="178">
        <v>3.4278</v>
      </c>
      <c r="CB163" s="187">
        <f t="shared" si="80"/>
        <v>3.4277999999999999E-3</v>
      </c>
      <c r="CC163" s="174" t="s">
        <v>371</v>
      </c>
      <c r="CD163" s="176">
        <v>0.5</v>
      </c>
      <c r="CE163" s="176">
        <v>15.4</v>
      </c>
      <c r="CF163" s="174" t="s">
        <v>322</v>
      </c>
      <c r="CG163" s="178">
        <v>0.1118</v>
      </c>
      <c r="CH163" s="187">
        <f t="shared" si="81"/>
        <v>1.1179999999999999E-4</v>
      </c>
      <c r="CI163" s="174" t="s">
        <v>372</v>
      </c>
      <c r="CJ163" s="176">
        <v>0.01</v>
      </c>
      <c r="CK163" s="176">
        <v>0.77</v>
      </c>
      <c r="CL163" s="174" t="s">
        <v>322</v>
      </c>
      <c r="CM163" s="40"/>
      <c r="CN163" s="41">
        <v>0.15</v>
      </c>
      <c r="CO163" s="41">
        <v>0.2</v>
      </c>
    </row>
    <row r="164" spans="26:93" s="42" customFormat="1" ht="19" thickBot="1" x14ac:dyDescent="0.3">
      <c r="Z164" s="134"/>
      <c r="AA164" s="134"/>
      <c r="AC164" s="134"/>
      <c r="AD164" s="135"/>
      <c r="AG164" s="136"/>
      <c r="AH164" s="136"/>
      <c r="AJ164" s="134"/>
      <c r="AQ164" s="134"/>
      <c r="AU164" s="134"/>
      <c r="AW164" s="134"/>
      <c r="BA164" s="134"/>
      <c r="BB164" s="134"/>
      <c r="BD164" s="134"/>
      <c r="BE164" s="154"/>
      <c r="BG164" s="235"/>
      <c r="BH164" s="177" t="s">
        <v>378</v>
      </c>
      <c r="BI164" s="174" t="s">
        <v>369</v>
      </c>
      <c r="BJ164" s="188">
        <v>1.9775</v>
      </c>
      <c r="BK164" s="174" t="s">
        <v>370</v>
      </c>
      <c r="BL164" s="176">
        <v>3.7130000000000003E-2</v>
      </c>
      <c r="BM164" s="176">
        <v>3.7130000000000003E-2</v>
      </c>
      <c r="BN164" s="175" t="s">
        <v>320</v>
      </c>
      <c r="BO164" s="187">
        <v>3.5400000000000001E-2</v>
      </c>
      <c r="BP164" s="187">
        <f t="shared" si="78"/>
        <v>3.54E-5</v>
      </c>
      <c r="BQ164" s="174" t="s">
        <v>371</v>
      </c>
      <c r="BR164" s="176">
        <v>3.0000000000000001E-3</v>
      </c>
      <c r="BS164" s="176">
        <v>0.03</v>
      </c>
      <c r="BT164" s="174" t="s">
        <v>322</v>
      </c>
      <c r="BU164" s="187">
        <v>3.5000000000000001E-3</v>
      </c>
      <c r="BV164" s="187">
        <f t="shared" si="79"/>
        <v>3.4999999999999999E-6</v>
      </c>
      <c r="BW164" s="174" t="s">
        <v>372</v>
      </c>
      <c r="BX164" s="176">
        <v>2.9999999999999997E-4</v>
      </c>
      <c r="BY164" s="176">
        <v>0.03</v>
      </c>
      <c r="BZ164" s="174" t="s">
        <v>322</v>
      </c>
      <c r="CA164" s="178">
        <v>3.2595000000000001</v>
      </c>
      <c r="CB164" s="187">
        <f t="shared" si="80"/>
        <v>3.2595000000000002E-3</v>
      </c>
      <c r="CC164" s="174" t="s">
        <v>371</v>
      </c>
      <c r="CD164" s="176">
        <v>0.5</v>
      </c>
      <c r="CE164" s="176">
        <v>15.4</v>
      </c>
      <c r="CF164" s="174" t="s">
        <v>322</v>
      </c>
      <c r="CG164" s="178">
        <v>0.10630000000000001</v>
      </c>
      <c r="CH164" s="187">
        <f t="shared" si="81"/>
        <v>1.0630000000000001E-4</v>
      </c>
      <c r="CI164" s="174" t="s">
        <v>372</v>
      </c>
      <c r="CJ164" s="176">
        <v>0.01</v>
      </c>
      <c r="CK164" s="176">
        <v>0.77</v>
      </c>
      <c r="CL164" s="174" t="s">
        <v>322</v>
      </c>
      <c r="CM164" s="40"/>
      <c r="CN164" s="41">
        <v>0.15</v>
      </c>
      <c r="CO164" s="41">
        <v>0.2</v>
      </c>
    </row>
    <row r="165" spans="26:93" s="42" customFormat="1" ht="19" thickBot="1" x14ac:dyDescent="0.3">
      <c r="Z165" s="134"/>
      <c r="AA165" s="134"/>
      <c r="AC165" s="134"/>
      <c r="AD165" s="135"/>
      <c r="AG165" s="136"/>
      <c r="AH165" s="136"/>
      <c r="AJ165" s="134"/>
      <c r="AQ165" s="134"/>
      <c r="AU165" s="134"/>
      <c r="AW165" s="134"/>
      <c r="BA165" s="134"/>
      <c r="BB165" s="134"/>
      <c r="BD165" s="134"/>
      <c r="BE165" s="154"/>
      <c r="BG165" s="235"/>
      <c r="BH165" s="177" t="s">
        <v>379</v>
      </c>
      <c r="BI165" s="174" t="s">
        <v>369</v>
      </c>
      <c r="BJ165" s="188">
        <v>2.1621000000000001</v>
      </c>
      <c r="BK165" s="174" t="s">
        <v>370</v>
      </c>
      <c r="BL165" s="176">
        <v>3.0299999999999997E-3</v>
      </c>
      <c r="BM165" s="176">
        <v>3.0299999999999997E-3</v>
      </c>
      <c r="BN165" s="175" t="s">
        <v>320</v>
      </c>
      <c r="BO165" s="187">
        <v>3.7900000000000003E-2</v>
      </c>
      <c r="BP165" s="187">
        <f t="shared" si="78"/>
        <v>3.7900000000000006E-5</v>
      </c>
      <c r="BQ165" s="174" t="s">
        <v>371</v>
      </c>
      <c r="BR165" s="176">
        <v>3.0000000000000001E-3</v>
      </c>
      <c r="BS165" s="176">
        <v>0.03</v>
      </c>
      <c r="BT165" s="174" t="s">
        <v>322</v>
      </c>
      <c r="BU165" s="187">
        <v>3.8E-3</v>
      </c>
      <c r="BV165" s="187">
        <f t="shared" si="79"/>
        <v>3.8E-6</v>
      </c>
      <c r="BW165" s="174" t="s">
        <v>372</v>
      </c>
      <c r="BX165" s="176">
        <v>2.9999999999999997E-4</v>
      </c>
      <c r="BY165" s="176">
        <v>0.03</v>
      </c>
      <c r="BZ165" s="174" t="s">
        <v>322</v>
      </c>
      <c r="CA165" s="178">
        <v>3.49</v>
      </c>
      <c r="CB165" s="187">
        <f t="shared" si="80"/>
        <v>3.49E-3</v>
      </c>
      <c r="CC165" s="174" t="s">
        <v>371</v>
      </c>
      <c r="CD165" s="176">
        <v>0.5</v>
      </c>
      <c r="CE165" s="176">
        <v>15.4</v>
      </c>
      <c r="CF165" s="174" t="s">
        <v>322</v>
      </c>
      <c r="CG165" s="178">
        <v>0.1138</v>
      </c>
      <c r="CH165" s="187">
        <f t="shared" si="81"/>
        <v>1.138E-4</v>
      </c>
      <c r="CI165" s="174" t="s">
        <v>372</v>
      </c>
      <c r="CJ165" s="176">
        <v>0.01</v>
      </c>
      <c r="CK165" s="176">
        <v>0.77</v>
      </c>
      <c r="CL165" s="174" t="s">
        <v>322</v>
      </c>
      <c r="CM165" s="40"/>
      <c r="CN165" s="41">
        <v>0.15</v>
      </c>
      <c r="CO165" s="41">
        <v>0.2</v>
      </c>
    </row>
    <row r="166" spans="26:93" s="42" customFormat="1" ht="19" thickBot="1" x14ac:dyDescent="0.3">
      <c r="Z166" s="134"/>
      <c r="AA166" s="134"/>
      <c r="AC166" s="134"/>
      <c r="AD166" s="135"/>
      <c r="AG166" s="136"/>
      <c r="AH166" s="136"/>
      <c r="AJ166" s="134"/>
      <c r="AQ166" s="134"/>
      <c r="AU166" s="134"/>
      <c r="AW166" s="134"/>
      <c r="BA166" s="134"/>
      <c r="BB166" s="134"/>
      <c r="BD166" s="134"/>
      <c r="BE166" s="154"/>
      <c r="BG166" s="235"/>
      <c r="BH166" s="177" t="s">
        <v>380</v>
      </c>
      <c r="BI166" s="174" t="s">
        <v>369</v>
      </c>
      <c r="BJ166" s="188">
        <v>1.8321000000000001</v>
      </c>
      <c r="BK166" s="174" t="s">
        <v>370</v>
      </c>
      <c r="BL166" s="176">
        <v>7.0720000000000005E-2</v>
      </c>
      <c r="BM166" s="176">
        <v>7.0720000000000005E-2</v>
      </c>
      <c r="BN166" s="175" t="s">
        <v>320</v>
      </c>
      <c r="BO166" s="187">
        <v>3.3500000000000002E-2</v>
      </c>
      <c r="BP166" s="187">
        <f t="shared" si="78"/>
        <v>3.3500000000000001E-5</v>
      </c>
      <c r="BQ166" s="174" t="s">
        <v>371</v>
      </c>
      <c r="BR166" s="176">
        <v>3.0000000000000001E-3</v>
      </c>
      <c r="BS166" s="176">
        <v>0.03</v>
      </c>
      <c r="BT166" s="174" t="s">
        <v>322</v>
      </c>
      <c r="BU166" s="187">
        <v>3.3999999999999998E-3</v>
      </c>
      <c r="BV166" s="187">
        <f t="shared" si="79"/>
        <v>3.3999999999999996E-6</v>
      </c>
      <c r="BW166" s="174" t="s">
        <v>372</v>
      </c>
      <c r="BX166" s="176">
        <v>2.9999999999999997E-4</v>
      </c>
      <c r="BY166" s="176">
        <v>0.03</v>
      </c>
      <c r="BZ166" s="174" t="s">
        <v>322</v>
      </c>
      <c r="CA166" s="178">
        <v>3.0825</v>
      </c>
      <c r="CB166" s="187">
        <f t="shared" si="80"/>
        <v>3.0825000000000002E-3</v>
      </c>
      <c r="CC166" s="174" t="s">
        <v>371</v>
      </c>
      <c r="CD166" s="176">
        <v>0.5</v>
      </c>
      <c r="CE166" s="176">
        <v>15.4</v>
      </c>
      <c r="CF166" s="174" t="s">
        <v>322</v>
      </c>
      <c r="CG166" s="178">
        <v>0.10050000000000001</v>
      </c>
      <c r="CH166" s="187">
        <f t="shared" si="81"/>
        <v>1.005E-4</v>
      </c>
      <c r="CI166" s="174" t="s">
        <v>372</v>
      </c>
      <c r="CJ166" s="176">
        <v>0.01</v>
      </c>
      <c r="CK166" s="176">
        <v>0.77</v>
      </c>
      <c r="CL166" s="174" t="s">
        <v>322</v>
      </c>
      <c r="CM166" s="40"/>
      <c r="CN166" s="41">
        <v>0.15</v>
      </c>
      <c r="CO166" s="41">
        <v>0.2</v>
      </c>
    </row>
    <row r="167" spans="26:93" s="42" customFormat="1" ht="19" thickBot="1" x14ac:dyDescent="0.3">
      <c r="Z167" s="134"/>
      <c r="AA167" s="134"/>
      <c r="AC167" s="134"/>
      <c r="AD167" s="135"/>
      <c r="AG167" s="136"/>
      <c r="AH167" s="136"/>
      <c r="AJ167" s="134"/>
      <c r="AQ167" s="134"/>
      <c r="AU167" s="134"/>
      <c r="AW167" s="134"/>
      <c r="BA167" s="134"/>
      <c r="BB167" s="134"/>
      <c r="BD167" s="134"/>
      <c r="BE167" s="154"/>
      <c r="BG167" s="235"/>
      <c r="BH167" s="177" t="s">
        <v>381</v>
      </c>
      <c r="BI167" s="174" t="s">
        <v>369</v>
      </c>
      <c r="BJ167" s="188">
        <v>4.6929999999999996</v>
      </c>
      <c r="BK167" s="174" t="s">
        <v>370</v>
      </c>
      <c r="BL167" s="176">
        <v>2.6000000000000002E-2</v>
      </c>
      <c r="BM167" s="176">
        <v>2.6000000000000002E-2</v>
      </c>
      <c r="BN167" s="175" t="s">
        <v>320</v>
      </c>
      <c r="BO167" s="187">
        <v>9.9199999999999997E-2</v>
      </c>
      <c r="BP167" s="187">
        <f t="shared" si="78"/>
        <v>9.9199999999999999E-5</v>
      </c>
      <c r="BQ167" s="174" t="s">
        <v>371</v>
      </c>
      <c r="BR167" s="176">
        <v>3.0000000000000001E-3</v>
      </c>
      <c r="BS167" s="176">
        <v>0.03</v>
      </c>
      <c r="BT167" s="174" t="s">
        <v>322</v>
      </c>
      <c r="BU167" s="187">
        <v>9.9000000000000008E-3</v>
      </c>
      <c r="BV167" s="187">
        <f t="shared" si="79"/>
        <v>9.9000000000000001E-6</v>
      </c>
      <c r="BW167" s="174" t="s">
        <v>372</v>
      </c>
      <c r="BX167" s="176">
        <v>2.9999999999999997E-4</v>
      </c>
      <c r="BY167" s="176">
        <v>0.03</v>
      </c>
      <c r="BZ167" s="174" t="s">
        <v>322</v>
      </c>
      <c r="CA167" s="178">
        <v>6.1513</v>
      </c>
      <c r="CB167" s="187">
        <f t="shared" si="80"/>
        <v>6.1513000000000002E-3</v>
      </c>
      <c r="CC167" s="174" t="s">
        <v>371</v>
      </c>
      <c r="CD167" s="176">
        <v>0</v>
      </c>
      <c r="CE167" s="176">
        <v>0</v>
      </c>
      <c r="CF167" s="174" t="s">
        <v>322</v>
      </c>
      <c r="CG167" s="178">
        <v>1.9800000000000002E-2</v>
      </c>
      <c r="CH167" s="187">
        <f t="shared" si="81"/>
        <v>1.98E-5</v>
      </c>
      <c r="CI167" s="174" t="s">
        <v>372</v>
      </c>
      <c r="CJ167" s="176">
        <v>0</v>
      </c>
      <c r="CK167" s="176">
        <v>0</v>
      </c>
      <c r="CL167" s="174" t="s">
        <v>322</v>
      </c>
      <c r="CM167" s="40"/>
      <c r="CN167" s="41">
        <v>0.15</v>
      </c>
      <c r="CO167" s="41">
        <v>0.2</v>
      </c>
    </row>
    <row r="168" spans="26:93" s="42" customFormat="1" ht="19" thickBot="1" x14ac:dyDescent="0.3">
      <c r="Z168" s="134"/>
      <c r="AA168" s="134"/>
      <c r="AC168" s="134"/>
      <c r="AD168" s="135"/>
      <c r="AG168" s="136"/>
      <c r="AH168" s="136"/>
      <c r="AJ168" s="134"/>
      <c r="AQ168" s="134"/>
      <c r="AU168" s="134"/>
      <c r="AW168" s="134"/>
      <c r="BA168" s="134"/>
      <c r="BB168" s="134"/>
      <c r="BD168" s="134"/>
      <c r="BE168" s="154"/>
      <c r="BG168" s="235"/>
      <c r="BH168" s="177" t="s">
        <v>382</v>
      </c>
      <c r="BI168" s="174" t="s">
        <v>369</v>
      </c>
      <c r="BJ168" s="188">
        <v>5.5792000000000002</v>
      </c>
      <c r="BK168" s="174" t="s">
        <v>370</v>
      </c>
      <c r="BL168" s="176">
        <v>2.5219999999999999E-2</v>
      </c>
      <c r="BM168" s="176">
        <v>2.5219999999999999E-2</v>
      </c>
      <c r="BN168" s="175" t="s">
        <v>320</v>
      </c>
      <c r="BO168" s="187">
        <v>8.6300000000000002E-2</v>
      </c>
      <c r="BP168" s="187">
        <f t="shared" si="78"/>
        <v>8.6299999999999997E-5</v>
      </c>
      <c r="BQ168" s="174" t="s">
        <v>371</v>
      </c>
      <c r="BR168" s="176">
        <v>3.0000000000000001E-3</v>
      </c>
      <c r="BS168" s="176">
        <v>0.03</v>
      </c>
      <c r="BT168" s="174" t="s">
        <v>322</v>
      </c>
      <c r="BU168" s="187">
        <v>8.6E-3</v>
      </c>
      <c r="BV168" s="187">
        <f t="shared" si="79"/>
        <v>8.6000000000000007E-6</v>
      </c>
      <c r="BW168" s="174" t="s">
        <v>372</v>
      </c>
      <c r="BX168" s="176">
        <v>2.9999999999999997E-4</v>
      </c>
      <c r="BY168" s="176">
        <v>0.03</v>
      </c>
      <c r="BZ168" s="174" t="s">
        <v>322</v>
      </c>
      <c r="CA168" s="178">
        <v>5.3475999999999999</v>
      </c>
      <c r="CB168" s="187">
        <f t="shared" si="80"/>
        <v>5.3476000000000001E-3</v>
      </c>
      <c r="CC168" s="174" t="s">
        <v>371</v>
      </c>
      <c r="CD168" s="176">
        <v>0</v>
      </c>
      <c r="CE168" s="176">
        <v>0</v>
      </c>
      <c r="CF168" s="174" t="s">
        <v>322</v>
      </c>
      <c r="CG168" s="178">
        <v>1.7299999999999999E-2</v>
      </c>
      <c r="CH168" s="187">
        <f t="shared" si="81"/>
        <v>1.73E-5</v>
      </c>
      <c r="CI168" s="174" t="s">
        <v>372</v>
      </c>
      <c r="CJ168" s="176">
        <v>0</v>
      </c>
      <c r="CK168" s="176">
        <v>0</v>
      </c>
      <c r="CL168" s="174" t="s">
        <v>322</v>
      </c>
      <c r="CM168" s="40"/>
      <c r="CN168" s="41">
        <v>0.15</v>
      </c>
      <c r="CO168" s="41">
        <v>0.2</v>
      </c>
    </row>
    <row r="169" spans="26:93" s="42" customFormat="1" ht="19" thickBot="1" x14ac:dyDescent="0.3">
      <c r="Z169" s="134"/>
      <c r="AA169" s="134"/>
      <c r="AC169" s="134"/>
      <c r="AD169" s="135"/>
      <c r="AG169" s="136"/>
      <c r="AH169" s="136"/>
      <c r="AJ169" s="134"/>
      <c r="AQ169" s="134"/>
      <c r="AU169" s="134"/>
      <c r="AW169" s="134"/>
      <c r="BA169" s="134"/>
      <c r="BB169" s="134"/>
      <c r="BD169" s="134"/>
      <c r="BE169" s="154"/>
      <c r="BG169" s="235"/>
      <c r="BH169" s="177" t="s">
        <v>383</v>
      </c>
      <c r="BI169" s="174" t="s">
        <v>369</v>
      </c>
      <c r="BJ169" s="188">
        <v>2.2818000000000001</v>
      </c>
      <c r="BK169" s="174" t="s">
        <v>370</v>
      </c>
      <c r="BL169" s="176">
        <v>2.8499999999999997E-3</v>
      </c>
      <c r="BM169" s="176">
        <v>2.8499999999999997E-3</v>
      </c>
      <c r="BN169" s="175" t="s">
        <v>320</v>
      </c>
      <c r="BO169" s="187">
        <v>4.0599999999999997E-2</v>
      </c>
      <c r="BP169" s="187">
        <f t="shared" si="78"/>
        <v>4.0599999999999998E-5</v>
      </c>
      <c r="BQ169" s="174" t="s">
        <v>371</v>
      </c>
      <c r="BR169" s="176">
        <v>3.0000000000000001E-3</v>
      </c>
      <c r="BS169" s="176">
        <v>0.03</v>
      </c>
      <c r="BT169" s="174" t="s">
        <v>322</v>
      </c>
      <c r="BU169" s="187">
        <v>4.1000000000000003E-3</v>
      </c>
      <c r="BV169" s="187">
        <f t="shared" si="79"/>
        <v>4.1000000000000006E-6</v>
      </c>
      <c r="BW169" s="174" t="s">
        <v>372</v>
      </c>
      <c r="BX169" s="176">
        <v>2.9999999999999997E-4</v>
      </c>
      <c r="BY169" s="176">
        <v>0.03</v>
      </c>
      <c r="BZ169" s="174" t="s">
        <v>322</v>
      </c>
      <c r="CA169" s="178">
        <v>0</v>
      </c>
      <c r="CB169" s="187">
        <f t="shared" si="80"/>
        <v>0</v>
      </c>
      <c r="CC169" s="174" t="s">
        <v>371</v>
      </c>
      <c r="CD169" s="176">
        <v>0</v>
      </c>
      <c r="CE169" s="176">
        <v>0</v>
      </c>
      <c r="CF169" s="174" t="s">
        <v>322</v>
      </c>
      <c r="CG169" s="178">
        <v>0</v>
      </c>
      <c r="CH169" s="187">
        <f t="shared" si="81"/>
        <v>0</v>
      </c>
      <c r="CI169" s="174" t="s">
        <v>372</v>
      </c>
      <c r="CJ169" s="176">
        <v>0</v>
      </c>
      <c r="CK169" s="176">
        <v>0</v>
      </c>
      <c r="CL169" s="174" t="s">
        <v>322</v>
      </c>
      <c r="CM169" s="40"/>
      <c r="CN169" s="41">
        <v>0.15</v>
      </c>
      <c r="CO169" s="41">
        <v>0.2</v>
      </c>
    </row>
    <row r="170" spans="26:93" s="42" customFormat="1" ht="19" thickBot="1" x14ac:dyDescent="0.3">
      <c r="Z170" s="134"/>
      <c r="AA170" s="134"/>
      <c r="AC170" s="134"/>
      <c r="AD170" s="135"/>
      <c r="AG170" s="136"/>
      <c r="AH170" s="136"/>
      <c r="AJ170" s="134"/>
      <c r="AQ170" s="134"/>
      <c r="AU170" s="134"/>
      <c r="AW170" s="134"/>
      <c r="BA170" s="134"/>
      <c r="BB170" s="134"/>
      <c r="BD170" s="134"/>
      <c r="BE170" s="154"/>
      <c r="BG170" s="235"/>
      <c r="BH170" s="177" t="s">
        <v>384</v>
      </c>
      <c r="BI170" s="174" t="s">
        <v>369</v>
      </c>
      <c r="BJ170" s="188">
        <v>1.9420999999999999</v>
      </c>
      <c r="BK170" s="174" t="s">
        <v>370</v>
      </c>
      <c r="BL170" s="176">
        <v>0.10070999999999999</v>
      </c>
      <c r="BM170" s="176">
        <v>0.10070999999999999</v>
      </c>
      <c r="BN170" s="175" t="s">
        <v>320</v>
      </c>
      <c r="BO170" s="187">
        <v>3.5499999999999997E-2</v>
      </c>
      <c r="BP170" s="187">
        <f t="shared" si="78"/>
        <v>3.5499999999999996E-5</v>
      </c>
      <c r="BQ170" s="174" t="s">
        <v>371</v>
      </c>
      <c r="BR170" s="176">
        <v>3.0000000000000001E-3</v>
      </c>
      <c r="BS170" s="176">
        <v>0.03</v>
      </c>
      <c r="BT170" s="174" t="s">
        <v>322</v>
      </c>
      <c r="BU170" s="187">
        <v>3.5999999999999999E-3</v>
      </c>
      <c r="BV170" s="187">
        <f t="shared" si="79"/>
        <v>3.5999999999999998E-6</v>
      </c>
      <c r="BW170" s="174" t="s">
        <v>372</v>
      </c>
      <c r="BX170" s="176">
        <v>2.9999999999999997E-4</v>
      </c>
      <c r="BY170" s="176">
        <v>0.03</v>
      </c>
      <c r="BZ170" s="174" t="s">
        <v>322</v>
      </c>
      <c r="CA170" s="178">
        <v>3.2690000000000001</v>
      </c>
      <c r="CB170" s="187">
        <f t="shared" si="80"/>
        <v>3.2690000000000002E-3</v>
      </c>
      <c r="CC170" s="174" t="s">
        <v>371</v>
      </c>
      <c r="CD170" s="176">
        <v>0.5</v>
      </c>
      <c r="CE170" s="176">
        <v>15.4</v>
      </c>
      <c r="CF170" s="174" t="s">
        <v>322</v>
      </c>
      <c r="CG170" s="178">
        <v>0.1066</v>
      </c>
      <c r="CH170" s="187">
        <f t="shared" si="81"/>
        <v>1.066E-4</v>
      </c>
      <c r="CI170" s="174" t="s">
        <v>372</v>
      </c>
      <c r="CJ170" s="176">
        <v>0.01</v>
      </c>
      <c r="CK170" s="176">
        <v>0.77</v>
      </c>
      <c r="CL170" s="174" t="s">
        <v>322</v>
      </c>
      <c r="CM170" s="40"/>
      <c r="CN170" s="41">
        <v>0.15</v>
      </c>
      <c r="CO170" s="41">
        <v>0.2</v>
      </c>
    </row>
    <row r="171" spans="26:93" s="42" customFormat="1" ht="19" thickBot="1" x14ac:dyDescent="0.3">
      <c r="Z171" s="134"/>
      <c r="AA171" s="134"/>
      <c r="AC171" s="134"/>
      <c r="AD171" s="135"/>
      <c r="AG171" s="136"/>
      <c r="AH171" s="136"/>
      <c r="AJ171" s="134"/>
      <c r="AQ171" s="134"/>
      <c r="AU171" s="134"/>
      <c r="AW171" s="134"/>
      <c r="BA171" s="134"/>
      <c r="BB171" s="134"/>
      <c r="BD171" s="134"/>
      <c r="BE171" s="154"/>
      <c r="BG171" s="235"/>
      <c r="BH171" s="177" t="s">
        <v>385</v>
      </c>
      <c r="BI171" s="174" t="s">
        <v>369</v>
      </c>
      <c r="BJ171" s="188">
        <v>2.101</v>
      </c>
      <c r="BK171" s="174" t="s">
        <v>370</v>
      </c>
      <c r="BL171" s="176">
        <v>6.6460000000000005E-2</v>
      </c>
      <c r="BM171" s="176">
        <v>6.6460000000000005E-2</v>
      </c>
      <c r="BN171" s="175" t="s">
        <v>320</v>
      </c>
      <c r="BO171" s="187">
        <v>3.73E-2</v>
      </c>
      <c r="BP171" s="187">
        <f t="shared" si="78"/>
        <v>3.7299999999999999E-5</v>
      </c>
      <c r="BQ171" s="174" t="s">
        <v>371</v>
      </c>
      <c r="BR171" s="176">
        <v>3.0000000000000001E-3</v>
      </c>
      <c r="BS171" s="176">
        <v>0.03</v>
      </c>
      <c r="BT171" s="174" t="s">
        <v>322</v>
      </c>
      <c r="BU171" s="187">
        <v>3.7000000000000002E-3</v>
      </c>
      <c r="BV171" s="187">
        <f t="shared" si="79"/>
        <v>3.7000000000000002E-6</v>
      </c>
      <c r="BW171" s="174" t="s">
        <v>372</v>
      </c>
      <c r="BX171" s="176">
        <v>2.9999999999999997E-4</v>
      </c>
      <c r="BY171" s="176">
        <v>0.03</v>
      </c>
      <c r="BZ171" s="174" t="s">
        <v>322</v>
      </c>
      <c r="CA171" s="178">
        <v>3.4272999999999998</v>
      </c>
      <c r="CB171" s="187">
        <f t="shared" si="80"/>
        <v>3.4272999999999999E-3</v>
      </c>
      <c r="CC171" s="174" t="s">
        <v>371</v>
      </c>
      <c r="CD171" s="176">
        <v>0.5</v>
      </c>
      <c r="CE171" s="176">
        <v>15.4</v>
      </c>
      <c r="CF171" s="174" t="s">
        <v>322</v>
      </c>
      <c r="CG171" s="178">
        <v>0.1118</v>
      </c>
      <c r="CH171" s="187">
        <f t="shared" si="81"/>
        <v>1.1179999999999999E-4</v>
      </c>
      <c r="CI171" s="174" t="s">
        <v>372</v>
      </c>
      <c r="CJ171" s="176">
        <v>0.01</v>
      </c>
      <c r="CK171" s="176">
        <v>0.77</v>
      </c>
      <c r="CL171" s="174" t="s">
        <v>322</v>
      </c>
      <c r="CM171" s="40"/>
      <c r="CN171" s="41">
        <v>0.15</v>
      </c>
      <c r="CO171" s="41">
        <v>0.2</v>
      </c>
    </row>
    <row r="172" spans="26:93" s="42" customFormat="1" ht="19" thickBot="1" x14ac:dyDescent="0.3">
      <c r="Z172" s="134"/>
      <c r="AA172" s="134"/>
      <c r="AC172" s="134"/>
      <c r="AD172" s="135"/>
      <c r="AG172" s="136"/>
      <c r="AH172" s="136"/>
      <c r="AJ172" s="134"/>
      <c r="AQ172" s="134"/>
      <c r="AU172" s="134"/>
      <c r="AW172" s="134"/>
      <c r="BA172" s="134"/>
      <c r="BB172" s="134"/>
      <c r="BD172" s="134"/>
      <c r="BE172" s="154"/>
      <c r="BG172" s="235"/>
      <c r="BH172" s="177" t="s">
        <v>386</v>
      </c>
      <c r="BI172" s="174" t="s">
        <v>369</v>
      </c>
      <c r="BJ172" s="188">
        <v>2.1795</v>
      </c>
      <c r="BK172" s="174" t="s">
        <v>370</v>
      </c>
      <c r="BL172" s="176">
        <v>4.79E-3</v>
      </c>
      <c r="BM172" s="176">
        <v>4.79E-3</v>
      </c>
      <c r="BN172" s="175" t="s">
        <v>320</v>
      </c>
      <c r="BO172" s="187">
        <v>3.85E-2</v>
      </c>
      <c r="BP172" s="187">
        <f>BO172/1000</f>
        <v>3.8500000000000001E-5</v>
      </c>
      <c r="BQ172" s="174" t="s">
        <v>371</v>
      </c>
      <c r="BR172" s="176">
        <v>3.0000000000000001E-3</v>
      </c>
      <c r="BS172" s="176">
        <v>0.03</v>
      </c>
      <c r="BT172" s="174" t="s">
        <v>322</v>
      </c>
      <c r="BU172" s="187">
        <v>3.8E-3</v>
      </c>
      <c r="BV172" s="187">
        <f>BU172/1000</f>
        <v>3.8E-6</v>
      </c>
      <c r="BW172" s="174" t="s">
        <v>372</v>
      </c>
      <c r="BX172" s="176">
        <v>2.9999999999999997E-4</v>
      </c>
      <c r="BY172" s="176">
        <v>0.03</v>
      </c>
      <c r="BZ172" s="174" t="s">
        <v>322</v>
      </c>
      <c r="CA172" s="178">
        <v>3.5390999999999999</v>
      </c>
      <c r="CB172" s="187">
        <f>CA172/1000</f>
        <v>3.5390999999999999E-3</v>
      </c>
      <c r="CC172" s="174" t="s">
        <v>371</v>
      </c>
      <c r="CD172" s="176">
        <v>0.5</v>
      </c>
      <c r="CE172" s="176">
        <v>15.4</v>
      </c>
      <c r="CF172" s="174" t="s">
        <v>322</v>
      </c>
      <c r="CG172" s="178">
        <v>0.1154</v>
      </c>
      <c r="CH172" s="187">
        <f>CG172/1000</f>
        <v>1.154E-4</v>
      </c>
      <c r="CI172" s="174" t="s">
        <v>372</v>
      </c>
      <c r="CJ172" s="176">
        <v>0.01</v>
      </c>
      <c r="CK172" s="176">
        <v>0.77</v>
      </c>
      <c r="CL172" s="174" t="s">
        <v>322</v>
      </c>
      <c r="CM172" s="40"/>
      <c r="CN172" s="41">
        <v>0.15</v>
      </c>
      <c r="CO172" s="41">
        <v>0.2</v>
      </c>
    </row>
    <row r="173" spans="26:93" s="42" customFormat="1" ht="16.5" customHeight="1" thickBot="1" x14ac:dyDescent="0.3">
      <c r="Z173" s="134"/>
      <c r="AA173" s="134"/>
      <c r="AC173" s="134"/>
      <c r="AD173" s="135"/>
      <c r="AG173" s="136"/>
      <c r="AH173" s="136"/>
      <c r="AJ173" s="134"/>
      <c r="AQ173" s="134"/>
      <c r="AU173" s="134"/>
      <c r="AW173" s="134"/>
      <c r="BA173" s="134"/>
      <c r="BB173" s="134"/>
      <c r="BD173" s="134"/>
      <c r="BE173" s="154"/>
      <c r="BG173" s="235"/>
      <c r="BH173" s="177" t="s">
        <v>387</v>
      </c>
      <c r="BI173" s="178" t="s">
        <v>272</v>
      </c>
      <c r="BJ173" s="188">
        <f>(3.13757879682717*99.5%)</f>
        <v>3.1218909028430342</v>
      </c>
      <c r="BK173" s="188" t="s">
        <v>388</v>
      </c>
      <c r="BL173" s="176">
        <v>0.02</v>
      </c>
      <c r="BM173" s="176">
        <v>0.5</v>
      </c>
      <c r="BN173" s="175" t="s">
        <v>389</v>
      </c>
      <c r="BO173" s="187">
        <v>0</v>
      </c>
      <c r="BP173" s="187">
        <f>BO173/1000</f>
        <v>0</v>
      </c>
      <c r="BQ173" s="174" t="s">
        <v>371</v>
      </c>
      <c r="BR173" s="176">
        <v>0</v>
      </c>
      <c r="BS173" s="176">
        <v>0</v>
      </c>
      <c r="BT173" s="174"/>
      <c r="BU173" s="187">
        <v>0</v>
      </c>
      <c r="BV173" s="187">
        <f>BU173/1000</f>
        <v>0</v>
      </c>
      <c r="BW173" s="174" t="s">
        <v>372</v>
      </c>
      <c r="BX173" s="176">
        <v>0</v>
      </c>
      <c r="BY173" s="176">
        <v>0</v>
      </c>
      <c r="BZ173" s="174"/>
      <c r="CA173" s="178">
        <v>0</v>
      </c>
      <c r="CB173" s="187">
        <f>CA173/1000</f>
        <v>0</v>
      </c>
      <c r="CC173" s="174" t="s">
        <v>371</v>
      </c>
      <c r="CD173" s="176">
        <v>0</v>
      </c>
      <c r="CE173" s="176">
        <v>0</v>
      </c>
      <c r="CF173" s="174"/>
      <c r="CG173" s="178">
        <v>0</v>
      </c>
      <c r="CH173" s="187">
        <f>CG173/1000</f>
        <v>0</v>
      </c>
      <c r="CI173" s="174" t="s">
        <v>372</v>
      </c>
      <c r="CJ173" s="176">
        <v>0</v>
      </c>
      <c r="CK173" s="176">
        <v>0</v>
      </c>
      <c r="CL173" s="174"/>
      <c r="CM173" s="40"/>
      <c r="CN173" s="41">
        <v>0.15</v>
      </c>
      <c r="CO173" s="41">
        <v>0.2</v>
      </c>
    </row>
    <row r="174" spans="26:93" s="42" customFormat="1" ht="19" thickBot="1" x14ac:dyDescent="0.3">
      <c r="Z174" s="134"/>
      <c r="AA174" s="134"/>
      <c r="AC174" s="134"/>
      <c r="AD174" s="135"/>
      <c r="AG174" s="136"/>
      <c r="AH174" s="136"/>
      <c r="AJ174" s="134"/>
      <c r="AQ174" s="134"/>
      <c r="AU174" s="134"/>
      <c r="AW174" s="134"/>
      <c r="BA174" s="134"/>
      <c r="BB174" s="134"/>
      <c r="BD174" s="134"/>
      <c r="BE174" s="154"/>
      <c r="BG174" s="235"/>
      <c r="BH174" s="473" t="s">
        <v>241</v>
      </c>
      <c r="BI174" s="174" t="s">
        <v>272</v>
      </c>
      <c r="BJ174" s="188">
        <v>3.38</v>
      </c>
      <c r="BK174" s="174" t="s">
        <v>390</v>
      </c>
      <c r="BL174" s="176">
        <v>0.1</v>
      </c>
      <c r="BM174" s="176">
        <v>0.2</v>
      </c>
      <c r="BN174" s="175" t="s">
        <v>391</v>
      </c>
      <c r="BO174" s="187">
        <v>0</v>
      </c>
      <c r="BP174" s="187">
        <f t="shared" si="78"/>
        <v>0</v>
      </c>
      <c r="BQ174" s="174" t="s">
        <v>371</v>
      </c>
      <c r="BR174" s="176">
        <v>0</v>
      </c>
      <c r="BS174" s="176">
        <v>0</v>
      </c>
      <c r="BT174" s="174"/>
      <c r="BU174" s="187">
        <v>0</v>
      </c>
      <c r="BV174" s="187">
        <f t="shared" si="79"/>
        <v>0</v>
      </c>
      <c r="BW174" s="174" t="s">
        <v>372</v>
      </c>
      <c r="BX174" s="176">
        <v>0</v>
      </c>
      <c r="BY174" s="176">
        <v>0</v>
      </c>
      <c r="BZ174" s="174"/>
      <c r="CA174" s="178">
        <v>0</v>
      </c>
      <c r="CB174" s="187">
        <f t="shared" si="80"/>
        <v>0</v>
      </c>
      <c r="CC174" s="174" t="s">
        <v>371</v>
      </c>
      <c r="CD174" s="176">
        <v>0</v>
      </c>
      <c r="CE174" s="176">
        <v>0</v>
      </c>
      <c r="CF174" s="174"/>
      <c r="CG174" s="178">
        <v>0</v>
      </c>
      <c r="CH174" s="187">
        <f t="shared" si="81"/>
        <v>0</v>
      </c>
      <c r="CI174" s="174" t="s">
        <v>372</v>
      </c>
      <c r="CJ174" s="176">
        <v>0</v>
      </c>
      <c r="CK174" s="176">
        <v>0</v>
      </c>
      <c r="CL174" s="174"/>
      <c r="CM174" s="40"/>
      <c r="CN174" s="41">
        <v>0.15</v>
      </c>
      <c r="CO174" s="41">
        <v>0.2</v>
      </c>
    </row>
    <row r="175" spans="26:93" s="42" customFormat="1" ht="14" thickBot="1" x14ac:dyDescent="0.3">
      <c r="Z175" s="134"/>
      <c r="AA175" s="134"/>
      <c r="AC175" s="134"/>
      <c r="AD175" s="135"/>
      <c r="AG175" s="136"/>
      <c r="AH175" s="136"/>
      <c r="AJ175" s="134"/>
      <c r="AQ175" s="134"/>
      <c r="AU175" s="134"/>
      <c r="AW175" s="134"/>
      <c r="BA175" s="134"/>
      <c r="BB175" s="134"/>
      <c r="BD175" s="134"/>
      <c r="BG175" s="235"/>
      <c r="BH175" s="36"/>
      <c r="BI175" s="37"/>
      <c r="BJ175" s="37"/>
      <c r="BK175" s="37"/>
      <c r="BL175" s="38"/>
      <c r="BM175" s="38"/>
      <c r="BN175" s="38"/>
      <c r="BO175" s="144"/>
      <c r="BP175" s="144"/>
      <c r="BQ175" s="144"/>
      <c r="BR175" s="144"/>
      <c r="BS175" s="144"/>
      <c r="BT175" s="144"/>
      <c r="BU175" s="37"/>
      <c r="BV175" s="144"/>
      <c r="BW175" s="144"/>
      <c r="BX175" s="37"/>
      <c r="BY175" s="37"/>
      <c r="BZ175" s="37"/>
      <c r="CA175" s="39"/>
      <c r="CB175" s="144"/>
      <c r="CC175" s="144"/>
      <c r="CD175" s="39"/>
      <c r="CE175" s="39"/>
      <c r="CF175" s="39"/>
      <c r="CG175" s="39"/>
      <c r="CH175" s="144"/>
      <c r="CI175" s="144"/>
      <c r="CJ175" s="39"/>
      <c r="CK175" s="39"/>
      <c r="CL175" s="39"/>
      <c r="CM175" s="40"/>
      <c r="CN175" s="41"/>
      <c r="CO175" s="41"/>
    </row>
    <row r="176" spans="26:93" s="42" customFormat="1" ht="27" customHeight="1" x14ac:dyDescent="0.25">
      <c r="Z176" s="134"/>
      <c r="AA176" s="134"/>
      <c r="AC176" s="134"/>
      <c r="AD176" s="135"/>
      <c r="AG176" s="136"/>
      <c r="AH176" s="136"/>
      <c r="AJ176" s="134"/>
      <c r="AQ176" s="134"/>
      <c r="AU176" s="134"/>
      <c r="AW176" s="134"/>
      <c r="BA176" s="134"/>
      <c r="BB176" s="134"/>
      <c r="BD176" s="134"/>
      <c r="BG176" s="235"/>
      <c r="BH176" s="582" t="s">
        <v>392</v>
      </c>
      <c r="BI176" s="170"/>
      <c r="BJ176" s="582" t="s">
        <v>393</v>
      </c>
      <c r="BK176" s="170"/>
      <c r="BL176" s="582" t="s">
        <v>302</v>
      </c>
      <c r="BM176" s="582" t="s">
        <v>302</v>
      </c>
      <c r="BN176" s="582" t="s">
        <v>303</v>
      </c>
      <c r="BO176" s="170"/>
      <c r="BP176" s="582" t="s">
        <v>393</v>
      </c>
      <c r="BQ176" s="170"/>
      <c r="BR176" s="582" t="s">
        <v>302</v>
      </c>
      <c r="BS176" s="582" t="s">
        <v>302</v>
      </c>
      <c r="BT176" s="582" t="s">
        <v>303</v>
      </c>
      <c r="BU176" s="37"/>
      <c r="BV176" s="144"/>
      <c r="BW176" s="144"/>
      <c r="BX176" s="37"/>
      <c r="BY176" s="37"/>
      <c r="BZ176" s="37"/>
      <c r="CA176" s="39"/>
      <c r="CB176" s="144"/>
      <c r="CC176" s="144"/>
      <c r="CD176" s="39"/>
      <c r="CE176" s="39"/>
      <c r="CF176" s="39"/>
      <c r="CG176" s="39"/>
      <c r="CH176" s="144"/>
      <c r="CI176" s="144"/>
      <c r="CJ176" s="39"/>
      <c r="CK176" s="39"/>
      <c r="CL176" s="39"/>
      <c r="CM176" s="40"/>
      <c r="CN176" s="41"/>
      <c r="CO176" s="41"/>
    </row>
    <row r="177" spans="26:93" s="42" customFormat="1" ht="53.25" customHeight="1" thickBot="1" x14ac:dyDescent="0.3">
      <c r="Z177" s="134"/>
      <c r="AA177" s="134"/>
      <c r="AC177" s="134"/>
      <c r="AD177" s="135"/>
      <c r="AG177" s="136"/>
      <c r="AH177" s="136"/>
      <c r="AJ177" s="134"/>
      <c r="AQ177" s="134"/>
      <c r="AU177" s="134"/>
      <c r="AW177" s="134"/>
      <c r="BA177" s="134"/>
      <c r="BB177" s="134"/>
      <c r="BD177" s="134"/>
      <c r="BG177" s="235"/>
      <c r="BH177" s="583"/>
      <c r="BI177" s="171" t="s">
        <v>308</v>
      </c>
      <c r="BJ177" s="583"/>
      <c r="BK177" s="171" t="s">
        <v>309</v>
      </c>
      <c r="BL177" s="583"/>
      <c r="BM177" s="583"/>
      <c r="BN177" s="583"/>
      <c r="BO177" s="171" t="s">
        <v>308</v>
      </c>
      <c r="BP177" s="583"/>
      <c r="BQ177" s="171" t="s">
        <v>309</v>
      </c>
      <c r="BR177" s="583"/>
      <c r="BS177" s="583"/>
      <c r="BT177" s="583"/>
      <c r="BU177" s="37"/>
      <c r="BV177" s="144"/>
      <c r="BW177" s="144"/>
      <c r="BX177" s="37"/>
      <c r="BY177" s="37"/>
      <c r="BZ177" s="37"/>
      <c r="CA177" s="39"/>
      <c r="CB177" s="144"/>
      <c r="CC177" s="144"/>
      <c r="CD177" s="39"/>
      <c r="CE177" s="39"/>
      <c r="CF177" s="39"/>
      <c r="CG177" s="39"/>
      <c r="CH177" s="144"/>
      <c r="CI177" s="144"/>
      <c r="CJ177" s="39"/>
      <c r="CK177" s="39"/>
      <c r="CL177" s="39"/>
      <c r="CM177" s="40"/>
      <c r="CN177" s="41"/>
      <c r="CO177" s="41"/>
    </row>
    <row r="178" spans="26:93" s="42" customFormat="1" ht="18" thickBot="1" x14ac:dyDescent="0.3">
      <c r="Z178" s="134"/>
      <c r="AA178" s="134"/>
      <c r="AC178" s="134"/>
      <c r="AD178" s="135"/>
      <c r="AG178" s="136"/>
      <c r="AH178" s="136"/>
      <c r="AJ178" s="134"/>
      <c r="AQ178" s="134"/>
      <c r="AU178" s="134"/>
      <c r="AW178" s="134"/>
      <c r="BA178" s="134"/>
      <c r="BB178" s="134"/>
      <c r="BD178" s="134"/>
      <c r="BG178" s="235"/>
      <c r="BH178" s="177" t="s">
        <v>394</v>
      </c>
      <c r="BI178" s="174" t="s">
        <v>272</v>
      </c>
      <c r="BJ178" s="188">
        <v>4660</v>
      </c>
      <c r="BK178" s="174" t="s">
        <v>395</v>
      </c>
      <c r="BL178" s="176">
        <v>0.01</v>
      </c>
      <c r="BM178" s="176">
        <v>0.5</v>
      </c>
      <c r="BN178" s="175" t="s">
        <v>396</v>
      </c>
      <c r="BO178" s="174" t="s">
        <v>272</v>
      </c>
      <c r="BP178" s="188">
        <v>4750</v>
      </c>
      <c r="BQ178" s="174" t="s">
        <v>395</v>
      </c>
      <c r="BR178" s="176">
        <v>0.01</v>
      </c>
      <c r="BS178" s="176">
        <v>0.5</v>
      </c>
      <c r="BT178" s="175" t="s">
        <v>397</v>
      </c>
      <c r="BU178" s="36"/>
      <c r="BV178" s="36"/>
      <c r="BW178" s="36"/>
      <c r="BX178" s="36"/>
      <c r="BY178" s="36"/>
      <c r="BZ178" s="36"/>
      <c r="CA178" s="36"/>
      <c r="CB178" s="36"/>
      <c r="CC178" s="36"/>
      <c r="CD178" s="39"/>
      <c r="CE178" s="39"/>
      <c r="CF178" s="39"/>
      <c r="CG178" s="39"/>
      <c r="CH178" s="37"/>
      <c r="CI178" s="37"/>
      <c r="CJ178" s="39"/>
      <c r="CK178" s="39"/>
      <c r="CL178" s="39"/>
      <c r="CM178" s="40"/>
      <c r="CN178" s="41">
        <v>0.01</v>
      </c>
      <c r="CO178" s="41">
        <f>BM178</f>
        <v>0.5</v>
      </c>
    </row>
    <row r="179" spans="26:93" s="42" customFormat="1" ht="18" thickBot="1" x14ac:dyDescent="0.3">
      <c r="Z179" s="134"/>
      <c r="AA179" s="134"/>
      <c r="AC179" s="134"/>
      <c r="AD179" s="135"/>
      <c r="AG179" s="136"/>
      <c r="AH179" s="136"/>
      <c r="AJ179" s="134"/>
      <c r="AQ179" s="134"/>
      <c r="AU179" s="134"/>
      <c r="AW179" s="134"/>
      <c r="BA179" s="134"/>
      <c r="BB179" s="134"/>
      <c r="BD179" s="134"/>
      <c r="BG179" s="235"/>
      <c r="BH179" s="177" t="s">
        <v>398</v>
      </c>
      <c r="BI179" s="174" t="s">
        <v>272</v>
      </c>
      <c r="BJ179" s="188">
        <v>10200</v>
      </c>
      <c r="BK179" s="174" t="s">
        <v>395</v>
      </c>
      <c r="BL179" s="176">
        <v>0.01</v>
      </c>
      <c r="BM179" s="176">
        <v>0.5</v>
      </c>
      <c r="BN179" s="175" t="s">
        <v>396</v>
      </c>
      <c r="BO179" s="174" t="s">
        <v>272</v>
      </c>
      <c r="BP179" s="188">
        <v>10900</v>
      </c>
      <c r="BQ179" s="174" t="s">
        <v>395</v>
      </c>
      <c r="BR179" s="176">
        <v>0.01</v>
      </c>
      <c r="BS179" s="176">
        <v>0.5</v>
      </c>
      <c r="BT179" s="175" t="s">
        <v>397</v>
      </c>
      <c r="BU179" s="36"/>
      <c r="BV179" s="36"/>
      <c r="BW179" s="36"/>
      <c r="BX179" s="36"/>
      <c r="BY179" s="36"/>
      <c r="BZ179" s="36"/>
      <c r="CA179" s="36"/>
      <c r="CB179" s="36"/>
      <c r="CC179" s="36"/>
      <c r="CD179" s="144"/>
      <c r="CE179" s="144"/>
      <c r="CF179" s="144"/>
      <c r="CG179" s="39"/>
      <c r="CH179" s="144"/>
      <c r="CI179" s="144"/>
      <c r="CJ179" s="39"/>
      <c r="CK179" s="39"/>
      <c r="CL179" s="144"/>
      <c r="CM179" s="40"/>
      <c r="CN179" s="41">
        <v>0.01</v>
      </c>
      <c r="CO179" s="41">
        <f t="shared" ref="CO179:CO242" si="82">BM179</f>
        <v>0.5</v>
      </c>
    </row>
    <row r="180" spans="26:93" s="42" customFormat="1" ht="18" thickBot="1" x14ac:dyDescent="0.3">
      <c r="Z180" s="134"/>
      <c r="AA180" s="134"/>
      <c r="AC180" s="134"/>
      <c r="AD180" s="135"/>
      <c r="AG180" s="136"/>
      <c r="AH180" s="136"/>
      <c r="AJ180" s="134"/>
      <c r="AQ180" s="134"/>
      <c r="AU180" s="134"/>
      <c r="AW180" s="134"/>
      <c r="BA180" s="134"/>
      <c r="BB180" s="134"/>
      <c r="BD180" s="134"/>
      <c r="BG180" s="235"/>
      <c r="BH180" s="177" t="s">
        <v>399</v>
      </c>
      <c r="BI180" s="174" t="s">
        <v>272</v>
      </c>
      <c r="BJ180" s="188">
        <v>1760</v>
      </c>
      <c r="BK180" s="174" t="s">
        <v>395</v>
      </c>
      <c r="BL180" s="176">
        <v>0.01</v>
      </c>
      <c r="BM180" s="176">
        <v>0.5</v>
      </c>
      <c r="BN180" s="175" t="s">
        <v>396</v>
      </c>
      <c r="BO180" s="174" t="s">
        <v>272</v>
      </c>
      <c r="BP180" s="188">
        <v>1810</v>
      </c>
      <c r="BQ180" s="174" t="s">
        <v>395</v>
      </c>
      <c r="BR180" s="176">
        <v>0.01</v>
      </c>
      <c r="BS180" s="176">
        <v>0.5</v>
      </c>
      <c r="BT180" s="175" t="s">
        <v>397</v>
      </c>
      <c r="BU180" s="36"/>
      <c r="BV180" s="36"/>
      <c r="BW180" s="36"/>
      <c r="BX180" s="36"/>
      <c r="BY180" s="36"/>
      <c r="BZ180" s="36"/>
      <c r="CA180" s="36"/>
      <c r="CB180" s="36"/>
      <c r="CC180" s="36"/>
      <c r="CD180" s="144"/>
      <c r="CE180" s="144"/>
      <c r="CF180" s="144"/>
      <c r="CG180" s="39"/>
      <c r="CH180" s="144"/>
      <c r="CI180" s="144"/>
      <c r="CJ180" s="39"/>
      <c r="CK180" s="39"/>
      <c r="CL180" s="144"/>
      <c r="CM180" s="40"/>
      <c r="CN180" s="41">
        <v>0.01</v>
      </c>
      <c r="CO180" s="41">
        <f t="shared" si="82"/>
        <v>0.5</v>
      </c>
    </row>
    <row r="181" spans="26:93" s="42" customFormat="1" ht="18" thickBot="1" x14ac:dyDescent="0.3">
      <c r="Z181" s="134"/>
      <c r="AA181" s="134"/>
      <c r="AC181" s="134"/>
      <c r="AD181" s="135"/>
      <c r="AG181" s="136"/>
      <c r="AH181" s="136"/>
      <c r="AJ181" s="134"/>
      <c r="AQ181" s="134"/>
      <c r="AU181" s="134"/>
      <c r="AW181" s="134"/>
      <c r="BA181" s="134"/>
      <c r="BB181" s="134"/>
      <c r="BD181" s="134"/>
      <c r="BG181" s="235"/>
      <c r="BH181" s="177" t="s">
        <v>400</v>
      </c>
      <c r="BI181" s="174" t="s">
        <v>272</v>
      </c>
      <c r="BJ181" s="188">
        <v>782</v>
      </c>
      <c r="BK181" s="174" t="s">
        <v>395</v>
      </c>
      <c r="BL181" s="176">
        <v>0.01</v>
      </c>
      <c r="BM181" s="176">
        <v>0.5</v>
      </c>
      <c r="BN181" s="175" t="s">
        <v>396</v>
      </c>
      <c r="BO181" s="174"/>
      <c r="BP181" s="188"/>
      <c r="BQ181" s="174"/>
      <c r="BR181" s="176"/>
      <c r="BS181" s="176"/>
      <c r="BT181" s="175"/>
      <c r="BU181" s="36"/>
      <c r="BV181" s="36"/>
      <c r="BW181" s="36"/>
      <c r="BX181" s="36"/>
      <c r="BY181" s="36"/>
      <c r="BZ181" s="36"/>
      <c r="CA181" s="36"/>
      <c r="CB181" s="36"/>
      <c r="CC181" s="36"/>
      <c r="CD181" s="144"/>
      <c r="CE181" s="144"/>
      <c r="CF181" s="144"/>
      <c r="CG181" s="39"/>
      <c r="CH181" s="144"/>
      <c r="CI181" s="144"/>
      <c r="CJ181" s="39"/>
      <c r="CK181" s="39"/>
      <c r="CL181" s="144"/>
      <c r="CM181" s="40"/>
      <c r="CN181" s="41"/>
      <c r="CO181" s="41">
        <f t="shared" si="82"/>
        <v>0.5</v>
      </c>
    </row>
    <row r="182" spans="26:93" s="42" customFormat="1" ht="18" thickBot="1" x14ac:dyDescent="0.3">
      <c r="Z182" s="134"/>
      <c r="AA182" s="134"/>
      <c r="AC182" s="134"/>
      <c r="AD182" s="135"/>
      <c r="AG182" s="136"/>
      <c r="AH182" s="136"/>
      <c r="AJ182" s="134"/>
      <c r="AQ182" s="134"/>
      <c r="AU182" s="134"/>
      <c r="AW182" s="134"/>
      <c r="BA182" s="134"/>
      <c r="BB182" s="134"/>
      <c r="BD182" s="134"/>
      <c r="BG182" s="235"/>
      <c r="BH182" s="177" t="s">
        <v>401</v>
      </c>
      <c r="BI182" s="174" t="s">
        <v>272</v>
      </c>
      <c r="BJ182" s="188">
        <v>12400</v>
      </c>
      <c r="BK182" s="174" t="s">
        <v>395</v>
      </c>
      <c r="BL182" s="176">
        <v>0.01</v>
      </c>
      <c r="BM182" s="176">
        <v>0.5</v>
      </c>
      <c r="BN182" s="175" t="s">
        <v>396</v>
      </c>
      <c r="BO182" s="174" t="s">
        <v>272</v>
      </c>
      <c r="BP182" s="188">
        <v>14800</v>
      </c>
      <c r="BQ182" s="174" t="s">
        <v>395</v>
      </c>
      <c r="BR182" s="176">
        <v>0.01</v>
      </c>
      <c r="BS182" s="176">
        <v>0.5</v>
      </c>
      <c r="BT182" s="175" t="s">
        <v>397</v>
      </c>
      <c r="BU182" s="36"/>
      <c r="BV182" s="36"/>
      <c r="BW182" s="36"/>
      <c r="BX182" s="36"/>
      <c r="BY182" s="36"/>
      <c r="BZ182" s="36"/>
      <c r="CA182" s="36"/>
      <c r="CB182" s="36"/>
      <c r="CC182" s="36"/>
      <c r="CD182" s="144"/>
      <c r="CE182" s="144"/>
      <c r="CF182" s="144"/>
      <c r="CG182" s="39"/>
      <c r="CH182" s="144"/>
      <c r="CI182" s="144"/>
      <c r="CJ182" s="39"/>
      <c r="CK182" s="39"/>
      <c r="CL182" s="144"/>
      <c r="CM182" s="40"/>
      <c r="CN182" s="41">
        <v>0.01</v>
      </c>
      <c r="CO182" s="41">
        <f t="shared" si="82"/>
        <v>0.5</v>
      </c>
    </row>
    <row r="183" spans="26:93" s="42" customFormat="1" ht="18" thickBot="1" x14ac:dyDescent="0.3">
      <c r="Z183" s="134"/>
      <c r="AA183" s="134"/>
      <c r="AC183" s="134"/>
      <c r="AD183" s="135"/>
      <c r="AG183" s="136"/>
      <c r="AH183" s="136"/>
      <c r="AJ183" s="134"/>
      <c r="AQ183" s="134"/>
      <c r="AU183" s="134"/>
      <c r="AW183" s="134"/>
      <c r="BA183" s="134"/>
      <c r="BB183" s="134"/>
      <c r="BD183" s="134"/>
      <c r="BG183" s="235"/>
      <c r="BH183" s="177" t="s">
        <v>402</v>
      </c>
      <c r="BI183" s="174" t="s">
        <v>272</v>
      </c>
      <c r="BJ183" s="188">
        <v>677</v>
      </c>
      <c r="BK183" s="174" t="s">
        <v>395</v>
      </c>
      <c r="BL183" s="176">
        <v>0.01</v>
      </c>
      <c r="BM183" s="176">
        <v>0.5</v>
      </c>
      <c r="BN183" s="175" t="s">
        <v>396</v>
      </c>
      <c r="BO183" s="174" t="s">
        <v>272</v>
      </c>
      <c r="BP183" s="188">
        <v>675</v>
      </c>
      <c r="BQ183" s="174" t="s">
        <v>395</v>
      </c>
      <c r="BR183" s="176">
        <v>0.01</v>
      </c>
      <c r="BS183" s="176">
        <v>0.5</v>
      </c>
      <c r="BT183" s="175" t="s">
        <v>397</v>
      </c>
      <c r="BU183" s="36"/>
      <c r="BV183" s="36"/>
      <c r="BW183" s="36"/>
      <c r="BX183" s="36"/>
      <c r="BY183" s="36"/>
      <c r="BZ183" s="36"/>
      <c r="CA183" s="36"/>
      <c r="CB183" s="36"/>
      <c r="CC183" s="36"/>
      <c r="CD183" s="144"/>
      <c r="CE183" s="144"/>
      <c r="CF183" s="144"/>
      <c r="CG183" s="39"/>
      <c r="CH183" s="144"/>
      <c r="CI183" s="144"/>
      <c r="CJ183" s="39"/>
      <c r="CK183" s="39"/>
      <c r="CL183" s="144"/>
      <c r="CM183" s="40"/>
      <c r="CN183" s="41">
        <v>0.01</v>
      </c>
      <c r="CO183" s="41">
        <f t="shared" si="82"/>
        <v>0.5</v>
      </c>
    </row>
    <row r="184" spans="26:93" s="42" customFormat="1" ht="18" thickBot="1" x14ac:dyDescent="0.3">
      <c r="Z184" s="134"/>
      <c r="AA184" s="134"/>
      <c r="AC184" s="134"/>
      <c r="AD184" s="135"/>
      <c r="AG184" s="136"/>
      <c r="AH184" s="136"/>
      <c r="AJ184" s="134"/>
      <c r="AQ184" s="134"/>
      <c r="AU184" s="134"/>
      <c r="AW184" s="134"/>
      <c r="BA184" s="134"/>
      <c r="BB184" s="134"/>
      <c r="BD184" s="134"/>
      <c r="BG184" s="235"/>
      <c r="BH184" s="177" t="s">
        <v>403</v>
      </c>
      <c r="BI184" s="174" t="s">
        <v>272</v>
      </c>
      <c r="BJ184" s="188">
        <v>3170</v>
      </c>
      <c r="BK184" s="174" t="s">
        <v>395</v>
      </c>
      <c r="BL184" s="176">
        <v>0.01</v>
      </c>
      <c r="BM184" s="176">
        <v>0.5</v>
      </c>
      <c r="BN184" s="175" t="s">
        <v>396</v>
      </c>
      <c r="BO184" s="174"/>
      <c r="BP184" s="188"/>
      <c r="BQ184" s="174"/>
      <c r="BR184" s="176"/>
      <c r="BS184" s="176"/>
      <c r="BT184" s="175"/>
      <c r="BU184" s="36"/>
      <c r="BV184" s="36"/>
      <c r="BW184" s="36"/>
      <c r="BX184" s="36"/>
      <c r="BY184" s="36"/>
      <c r="BZ184" s="36"/>
      <c r="CA184" s="36"/>
      <c r="CB184" s="36"/>
      <c r="CC184" s="36"/>
      <c r="CD184" s="144"/>
      <c r="CE184" s="144"/>
      <c r="CF184" s="144"/>
      <c r="CG184" s="39"/>
      <c r="CH184" s="144"/>
      <c r="CI184" s="144"/>
      <c r="CJ184" s="39"/>
      <c r="CK184" s="39"/>
      <c r="CL184" s="144"/>
      <c r="CM184" s="40"/>
      <c r="CN184" s="41">
        <v>0.01</v>
      </c>
      <c r="CO184" s="41">
        <f t="shared" si="82"/>
        <v>0.5</v>
      </c>
    </row>
    <row r="185" spans="26:93" s="42" customFormat="1" ht="18" thickBot="1" x14ac:dyDescent="0.3">
      <c r="Z185" s="134"/>
      <c r="AA185" s="134"/>
      <c r="AC185" s="134"/>
      <c r="AD185" s="135"/>
      <c r="AG185" s="136"/>
      <c r="AH185" s="136"/>
      <c r="AJ185" s="134"/>
      <c r="AQ185" s="134"/>
      <c r="AU185" s="134"/>
      <c r="AW185" s="134"/>
      <c r="BA185" s="134"/>
      <c r="BB185" s="134"/>
      <c r="BD185" s="134"/>
      <c r="BG185" s="235"/>
      <c r="BH185" s="177" t="s">
        <v>404</v>
      </c>
      <c r="BI185" s="174" t="s">
        <v>272</v>
      </c>
      <c r="BJ185" s="188">
        <v>1120</v>
      </c>
      <c r="BK185" s="174" t="s">
        <v>395</v>
      </c>
      <c r="BL185" s="176">
        <v>0.01</v>
      </c>
      <c r="BM185" s="176">
        <v>0.5</v>
      </c>
      <c r="BN185" s="175" t="s">
        <v>396</v>
      </c>
      <c r="BO185" s="174" t="s">
        <v>272</v>
      </c>
      <c r="BP185" s="188">
        <v>1100</v>
      </c>
      <c r="BQ185" s="174" t="s">
        <v>395</v>
      </c>
      <c r="BR185" s="176">
        <v>0.01</v>
      </c>
      <c r="BS185" s="176">
        <v>0.5</v>
      </c>
      <c r="BT185" s="175" t="s">
        <v>397</v>
      </c>
      <c r="BU185" s="36"/>
      <c r="BV185" s="36"/>
      <c r="BW185" s="36"/>
      <c r="BX185" s="36"/>
      <c r="BY185" s="36"/>
      <c r="BZ185" s="36"/>
      <c r="CA185" s="36"/>
      <c r="CB185" s="36"/>
      <c r="CC185" s="36"/>
      <c r="CD185" s="144"/>
      <c r="CE185" s="144"/>
      <c r="CF185" s="144"/>
      <c r="CG185" s="39"/>
      <c r="CH185" s="144"/>
      <c r="CI185" s="144"/>
      <c r="CJ185" s="39"/>
      <c r="CK185" s="39"/>
      <c r="CL185" s="144"/>
      <c r="CM185" s="40"/>
      <c r="CN185" s="41">
        <v>0.01</v>
      </c>
      <c r="CO185" s="41">
        <f t="shared" si="82"/>
        <v>0.5</v>
      </c>
    </row>
    <row r="186" spans="26:93" s="42" customFormat="1" ht="18" thickBot="1" x14ac:dyDescent="0.3">
      <c r="Z186" s="134"/>
      <c r="AA186" s="134"/>
      <c r="AC186" s="134"/>
      <c r="AD186" s="135"/>
      <c r="AG186" s="136"/>
      <c r="AH186" s="136"/>
      <c r="AJ186" s="134"/>
      <c r="AQ186" s="134"/>
      <c r="AU186" s="134"/>
      <c r="AW186" s="134"/>
      <c r="BA186" s="134"/>
      <c r="BB186" s="134"/>
      <c r="BD186" s="134"/>
      <c r="BG186" s="235"/>
      <c r="BH186" s="177" t="s">
        <v>405</v>
      </c>
      <c r="BI186" s="174" t="s">
        <v>272</v>
      </c>
      <c r="BJ186" s="188">
        <v>1300</v>
      </c>
      <c r="BK186" s="174" t="s">
        <v>395</v>
      </c>
      <c r="BL186" s="176">
        <v>0.01</v>
      </c>
      <c r="BM186" s="176">
        <v>0.5</v>
      </c>
      <c r="BN186" s="175" t="s">
        <v>396</v>
      </c>
      <c r="BO186" s="174" t="s">
        <v>272</v>
      </c>
      <c r="BP186" s="188">
        <v>1430</v>
      </c>
      <c r="BQ186" s="174" t="s">
        <v>395</v>
      </c>
      <c r="BR186" s="176">
        <v>0.01</v>
      </c>
      <c r="BS186" s="176">
        <v>0.5</v>
      </c>
      <c r="BT186" s="175" t="s">
        <v>397</v>
      </c>
      <c r="BU186" s="36"/>
      <c r="BV186" s="36"/>
      <c r="BW186" s="36"/>
      <c r="BX186" s="36"/>
      <c r="BY186" s="36"/>
      <c r="BZ186" s="36"/>
      <c r="CA186" s="36"/>
      <c r="CB186" s="36"/>
      <c r="CC186" s="36"/>
      <c r="CD186" s="144"/>
      <c r="CE186" s="144"/>
      <c r="CF186" s="144"/>
      <c r="CG186" s="39"/>
      <c r="CH186" s="144"/>
      <c r="CI186" s="144"/>
      <c r="CJ186" s="39"/>
      <c r="CK186" s="39"/>
      <c r="CL186" s="144"/>
      <c r="CM186" s="40"/>
      <c r="CN186" s="41">
        <v>0.01</v>
      </c>
      <c r="CO186" s="41">
        <f t="shared" si="82"/>
        <v>0.5</v>
      </c>
    </row>
    <row r="187" spans="26:93" s="42" customFormat="1" ht="18" thickBot="1" x14ac:dyDescent="0.3">
      <c r="Z187" s="134"/>
      <c r="AA187" s="134"/>
      <c r="AC187" s="134"/>
      <c r="AD187" s="135"/>
      <c r="AG187" s="136"/>
      <c r="AH187" s="136"/>
      <c r="AJ187" s="134"/>
      <c r="AQ187" s="134"/>
      <c r="AU187" s="134"/>
      <c r="AW187" s="134"/>
      <c r="BA187" s="134"/>
      <c r="BB187" s="134"/>
      <c r="BD187" s="134"/>
      <c r="BG187" s="235"/>
      <c r="BH187" s="177" t="s">
        <v>406</v>
      </c>
      <c r="BI187" s="174" t="s">
        <v>272</v>
      </c>
      <c r="BJ187" s="188">
        <v>328</v>
      </c>
      <c r="BK187" s="174" t="s">
        <v>395</v>
      </c>
      <c r="BL187" s="176">
        <v>0.01</v>
      </c>
      <c r="BM187" s="176">
        <v>0.5</v>
      </c>
      <c r="BN187" s="175" t="s">
        <v>396</v>
      </c>
      <c r="BO187" s="174" t="s">
        <v>272</v>
      </c>
      <c r="BP187" s="188">
        <v>353</v>
      </c>
      <c r="BQ187" s="174" t="s">
        <v>395</v>
      </c>
      <c r="BR187" s="176">
        <v>0.01</v>
      </c>
      <c r="BS187" s="176">
        <v>0.5</v>
      </c>
      <c r="BT187" s="175" t="s">
        <v>397</v>
      </c>
      <c r="BU187" s="36"/>
      <c r="BV187" s="36"/>
      <c r="BW187" s="36"/>
      <c r="BX187" s="36"/>
      <c r="BY187" s="36"/>
      <c r="BZ187" s="36"/>
      <c r="CA187" s="36"/>
      <c r="CB187" s="36"/>
      <c r="CC187" s="36"/>
      <c r="CD187" s="144"/>
      <c r="CE187" s="144"/>
      <c r="CF187" s="144"/>
      <c r="CG187" s="39"/>
      <c r="CH187" s="144"/>
      <c r="CI187" s="144"/>
      <c r="CJ187" s="39"/>
      <c r="CK187" s="39"/>
      <c r="CL187" s="144"/>
      <c r="CM187" s="40"/>
      <c r="CN187" s="41">
        <v>0.01</v>
      </c>
      <c r="CO187" s="41">
        <f t="shared" si="82"/>
        <v>0.5</v>
      </c>
    </row>
    <row r="188" spans="26:93" s="42" customFormat="1" ht="18" thickBot="1" x14ac:dyDescent="0.3">
      <c r="Z188" s="134"/>
      <c r="AA188" s="134"/>
      <c r="AC188" s="134"/>
      <c r="AD188" s="135"/>
      <c r="AG188" s="136"/>
      <c r="AH188" s="136"/>
      <c r="AJ188" s="134"/>
      <c r="AQ188" s="134"/>
      <c r="AU188" s="134"/>
      <c r="AW188" s="134"/>
      <c r="BA188" s="134"/>
      <c r="BB188" s="134"/>
      <c r="BD188" s="134"/>
      <c r="BG188" s="235"/>
      <c r="BH188" s="177" t="s">
        <v>407</v>
      </c>
      <c r="BI188" s="174" t="s">
        <v>272</v>
      </c>
      <c r="BJ188" s="188">
        <v>4800</v>
      </c>
      <c r="BK188" s="174" t="s">
        <v>395</v>
      </c>
      <c r="BL188" s="176">
        <v>0.01</v>
      </c>
      <c r="BM188" s="176">
        <v>0.5</v>
      </c>
      <c r="BN188" s="175" t="s">
        <v>396</v>
      </c>
      <c r="BO188" s="174" t="s">
        <v>272</v>
      </c>
      <c r="BP188" s="188">
        <v>4470</v>
      </c>
      <c r="BQ188" s="174" t="s">
        <v>395</v>
      </c>
      <c r="BR188" s="176">
        <v>0.01</v>
      </c>
      <c r="BS188" s="176">
        <v>0.5</v>
      </c>
      <c r="BT188" s="175" t="s">
        <v>397</v>
      </c>
      <c r="BU188" s="36"/>
      <c r="BV188" s="36"/>
      <c r="BW188" s="36"/>
      <c r="BX188" s="36"/>
      <c r="BY188" s="36"/>
      <c r="BZ188" s="36"/>
      <c r="CA188" s="36"/>
      <c r="CB188" s="36"/>
      <c r="CC188" s="36"/>
      <c r="CD188" s="144"/>
      <c r="CE188" s="144"/>
      <c r="CF188" s="144"/>
      <c r="CG188" s="39"/>
      <c r="CH188" s="144"/>
      <c r="CI188" s="144"/>
      <c r="CJ188" s="39"/>
      <c r="CK188" s="39"/>
      <c r="CL188" s="144"/>
      <c r="CM188" s="40"/>
      <c r="CN188" s="41">
        <v>0.01</v>
      </c>
      <c r="CO188" s="41">
        <f t="shared" si="82"/>
        <v>0.5</v>
      </c>
    </row>
    <row r="189" spans="26:93" s="42" customFormat="1" ht="18" thickBot="1" x14ac:dyDescent="0.3">
      <c r="Z189" s="134"/>
      <c r="AA189" s="134"/>
      <c r="AC189" s="134"/>
      <c r="AD189" s="135"/>
      <c r="AG189" s="136"/>
      <c r="AH189" s="136"/>
      <c r="AJ189" s="134"/>
      <c r="AQ189" s="134"/>
      <c r="AU189" s="134"/>
      <c r="AW189" s="134"/>
      <c r="BA189" s="134"/>
      <c r="BB189" s="134"/>
      <c r="BD189" s="134"/>
      <c r="BG189" s="235"/>
      <c r="BH189" s="177" t="s">
        <v>408</v>
      </c>
      <c r="BI189" s="174" t="s">
        <v>272</v>
      </c>
      <c r="BJ189" s="188">
        <v>3350</v>
      </c>
      <c r="BK189" s="174" t="s">
        <v>395</v>
      </c>
      <c r="BL189" s="176">
        <v>0.01</v>
      </c>
      <c r="BM189" s="176">
        <v>0.5</v>
      </c>
      <c r="BN189" s="175" t="s">
        <v>396</v>
      </c>
      <c r="BO189" s="174"/>
      <c r="BP189" s="188"/>
      <c r="BQ189" s="174"/>
      <c r="BR189" s="176"/>
      <c r="BS189" s="176"/>
      <c r="BT189" s="175"/>
      <c r="BU189" s="36"/>
      <c r="BV189" s="36"/>
      <c r="BW189" s="36"/>
      <c r="BX189" s="36"/>
      <c r="BY189" s="36"/>
      <c r="BZ189" s="36"/>
      <c r="CA189" s="36"/>
      <c r="CB189" s="36"/>
      <c r="CC189" s="36"/>
      <c r="CD189" s="144"/>
      <c r="CE189" s="144"/>
      <c r="CF189" s="144"/>
      <c r="CG189" s="39"/>
      <c r="CH189" s="144"/>
      <c r="CI189" s="144"/>
      <c r="CJ189" s="39"/>
      <c r="CK189" s="39"/>
      <c r="CL189" s="144"/>
      <c r="CM189" s="40"/>
      <c r="CN189" s="41"/>
      <c r="CO189" s="41">
        <f t="shared" si="82"/>
        <v>0.5</v>
      </c>
    </row>
    <row r="190" spans="26:93" s="42" customFormat="1" ht="54.5" thickBot="1" x14ac:dyDescent="0.3">
      <c r="Z190" s="134"/>
      <c r="AA190" s="134"/>
      <c r="AC190" s="134"/>
      <c r="AD190" s="135"/>
      <c r="AG190" s="136"/>
      <c r="AH190" s="136"/>
      <c r="AJ190" s="134"/>
      <c r="AQ190" s="134"/>
      <c r="AU190" s="134"/>
      <c r="AW190" s="134"/>
      <c r="BA190" s="134"/>
      <c r="BB190" s="134"/>
      <c r="BD190" s="134"/>
      <c r="BG190" s="235"/>
      <c r="BH190" s="473" t="s">
        <v>245</v>
      </c>
      <c r="BI190" s="174" t="s">
        <v>272</v>
      </c>
      <c r="BJ190" s="188">
        <f>(BJ186*4%)+(BJ184*44%)+(BJ188*52%)</f>
        <v>3942.8</v>
      </c>
      <c r="BK190" s="174" t="s">
        <v>395</v>
      </c>
      <c r="BL190" s="176">
        <v>0.01</v>
      </c>
      <c r="BM190" s="176">
        <v>0.5</v>
      </c>
      <c r="BN190" s="175" t="s">
        <v>409</v>
      </c>
      <c r="BO190" s="174" t="s">
        <v>272</v>
      </c>
      <c r="BP190" s="188">
        <v>3922</v>
      </c>
      <c r="BQ190" s="174" t="s">
        <v>395</v>
      </c>
      <c r="BR190" s="176">
        <v>0.01</v>
      </c>
      <c r="BS190" s="176">
        <v>0.5</v>
      </c>
      <c r="BT190" s="145" t="s">
        <v>410</v>
      </c>
      <c r="BU190" s="36"/>
      <c r="BV190" s="36"/>
      <c r="BW190" s="36"/>
      <c r="BX190" s="36"/>
      <c r="BY190" s="36"/>
      <c r="BZ190" s="36"/>
      <c r="CA190" s="36"/>
      <c r="CB190" s="36"/>
      <c r="CC190" s="36"/>
      <c r="CD190" s="144"/>
      <c r="CE190" s="144"/>
      <c r="CF190" s="144"/>
      <c r="CG190" s="39"/>
      <c r="CH190" s="144"/>
      <c r="CI190" s="144"/>
      <c r="CJ190" s="39"/>
      <c r="CK190" s="39"/>
      <c r="CL190" s="144"/>
      <c r="CM190" s="40"/>
      <c r="CN190" s="41">
        <v>0.01</v>
      </c>
      <c r="CO190" s="41">
        <f t="shared" si="82"/>
        <v>0.5</v>
      </c>
    </row>
    <row r="191" spans="26:93" s="42" customFormat="1" ht="41" thickBot="1" x14ac:dyDescent="0.3">
      <c r="Z191" s="134"/>
      <c r="AA191" s="134"/>
      <c r="AC191" s="134"/>
      <c r="AD191" s="135"/>
      <c r="AG191" s="136"/>
      <c r="AH191" s="136"/>
      <c r="AJ191" s="134"/>
      <c r="AQ191" s="134"/>
      <c r="AU191" s="134"/>
      <c r="AW191" s="134"/>
      <c r="BA191" s="134"/>
      <c r="BB191" s="134"/>
      <c r="BD191" s="134"/>
      <c r="BG191" s="235"/>
      <c r="BH191" s="177" t="s">
        <v>411</v>
      </c>
      <c r="BI191" s="174" t="s">
        <v>272</v>
      </c>
      <c r="BJ191" s="188">
        <f>(BJ186*52%)+(BJ184*25%)+(BJ183*23%)</f>
        <v>1624.21</v>
      </c>
      <c r="BK191" s="174" t="s">
        <v>395</v>
      </c>
      <c r="BL191" s="176">
        <v>0.01</v>
      </c>
      <c r="BM191" s="176">
        <v>0.5</v>
      </c>
      <c r="BN191" s="175" t="s">
        <v>412</v>
      </c>
      <c r="BO191" s="174" t="s">
        <v>272</v>
      </c>
      <c r="BP191" s="188">
        <v>1774</v>
      </c>
      <c r="BQ191" s="174" t="s">
        <v>395</v>
      </c>
      <c r="BR191" s="176">
        <v>0.01</v>
      </c>
      <c r="BS191" s="176">
        <v>0.5</v>
      </c>
      <c r="BT191" s="175" t="s">
        <v>397</v>
      </c>
      <c r="BU191" s="36"/>
      <c r="BV191" s="36"/>
      <c r="BW191" s="36"/>
      <c r="BX191" s="36"/>
      <c r="BY191" s="36"/>
      <c r="BZ191" s="36"/>
      <c r="CA191" s="36"/>
      <c r="CB191" s="36"/>
      <c r="CC191" s="36"/>
      <c r="CD191" s="144"/>
      <c r="CE191" s="144"/>
      <c r="CF191" s="144"/>
      <c r="CG191" s="39"/>
      <c r="CH191" s="144"/>
      <c r="CI191" s="144"/>
      <c r="CJ191" s="39"/>
      <c r="CK191" s="39"/>
      <c r="CL191" s="144"/>
      <c r="CM191" s="40"/>
      <c r="CN191" s="41">
        <v>0.01</v>
      </c>
      <c r="CO191" s="41">
        <f t="shared" si="82"/>
        <v>0.5</v>
      </c>
    </row>
    <row r="192" spans="26:93" s="42" customFormat="1" ht="41" thickBot="1" x14ac:dyDescent="0.3">
      <c r="Z192" s="134"/>
      <c r="AA192" s="134"/>
      <c r="AC192" s="134"/>
      <c r="AD192" s="135"/>
      <c r="AG192" s="136"/>
      <c r="AH192" s="136"/>
      <c r="AJ192" s="134"/>
      <c r="AQ192" s="134"/>
      <c r="AU192" s="134"/>
      <c r="AW192" s="134"/>
      <c r="BA192" s="134"/>
      <c r="BB192" s="134"/>
      <c r="BD192" s="134"/>
      <c r="BG192" s="235"/>
      <c r="BH192" s="177" t="s">
        <v>413</v>
      </c>
      <c r="BI192" s="174" t="s">
        <v>272</v>
      </c>
      <c r="BJ192" s="188">
        <f>(BJ184*50%)+(BJ183*50%)</f>
        <v>1923.5</v>
      </c>
      <c r="BK192" s="174" t="s">
        <v>395</v>
      </c>
      <c r="BL192" s="176">
        <v>0.01</v>
      </c>
      <c r="BM192" s="176">
        <v>0.5</v>
      </c>
      <c r="BN192" s="175" t="s">
        <v>414</v>
      </c>
      <c r="BO192" s="174" t="s">
        <v>272</v>
      </c>
      <c r="BP192" s="188">
        <v>2088</v>
      </c>
      <c r="BQ192" s="174" t="s">
        <v>395</v>
      </c>
      <c r="BR192" s="176">
        <v>0.01</v>
      </c>
      <c r="BS192" s="176">
        <v>0.5</v>
      </c>
      <c r="BT192" s="175" t="s">
        <v>397</v>
      </c>
      <c r="BU192" s="36"/>
      <c r="BV192" s="36"/>
      <c r="BW192" s="36"/>
      <c r="BX192" s="36"/>
      <c r="BY192" s="36"/>
      <c r="BZ192" s="36"/>
      <c r="CA192" s="36"/>
      <c r="CB192" s="36"/>
      <c r="CC192" s="36"/>
      <c r="CD192" s="144"/>
      <c r="CE192" s="144"/>
      <c r="CF192" s="144"/>
      <c r="CG192" s="39"/>
      <c r="CH192" s="144"/>
      <c r="CI192" s="144"/>
      <c r="CJ192" s="39"/>
      <c r="CK192" s="39"/>
      <c r="CL192" s="144"/>
      <c r="CM192" s="40"/>
      <c r="CN192" s="41">
        <v>0.01</v>
      </c>
      <c r="CO192" s="41">
        <f t="shared" si="82"/>
        <v>0.5</v>
      </c>
    </row>
    <row r="193" spans="26:93" s="42" customFormat="1" ht="41" thickBot="1" x14ac:dyDescent="0.3">
      <c r="Z193" s="134"/>
      <c r="AA193" s="134"/>
      <c r="AC193" s="134"/>
      <c r="AD193" s="135"/>
      <c r="AG193" s="136"/>
      <c r="AH193" s="136"/>
      <c r="AJ193" s="134"/>
      <c r="AQ193" s="134"/>
      <c r="AU193" s="134"/>
      <c r="AW193" s="134"/>
      <c r="BA193" s="134"/>
      <c r="BB193" s="134"/>
      <c r="BD193" s="134"/>
      <c r="BG193" s="235"/>
      <c r="BH193" s="177" t="s">
        <v>415</v>
      </c>
      <c r="BI193" s="174" t="s">
        <v>272</v>
      </c>
      <c r="BJ193" s="188">
        <f>(BJ184*65.1%)+(BJ186*31.5%)+(BJ197*3.4%)</f>
        <v>2473.2039999999997</v>
      </c>
      <c r="BK193" s="174" t="s">
        <v>395</v>
      </c>
      <c r="BL193" s="176">
        <v>0.01</v>
      </c>
      <c r="BM193" s="176">
        <v>0.5</v>
      </c>
      <c r="BN193" s="175" t="s">
        <v>416</v>
      </c>
      <c r="BO193" s="174" t="s">
        <v>272</v>
      </c>
      <c r="BP193" s="188">
        <v>2729</v>
      </c>
      <c r="BQ193" s="174" t="s">
        <v>395</v>
      </c>
      <c r="BR193" s="176">
        <v>0.01</v>
      </c>
      <c r="BS193" s="176">
        <v>0.5</v>
      </c>
      <c r="BT193" s="175" t="s">
        <v>397</v>
      </c>
      <c r="BU193" s="36"/>
      <c r="BV193" s="36"/>
      <c r="BW193" s="36"/>
      <c r="BX193" s="36"/>
      <c r="BY193" s="36"/>
      <c r="BZ193" s="36"/>
      <c r="CA193" s="36"/>
      <c r="CB193" s="36"/>
      <c r="CC193" s="36"/>
      <c r="CD193" s="144"/>
      <c r="CE193" s="144"/>
      <c r="CF193" s="144"/>
      <c r="CG193" s="39"/>
      <c r="CH193" s="144"/>
      <c r="CI193" s="144"/>
      <c r="CJ193" s="39"/>
      <c r="CK193" s="39"/>
      <c r="CL193" s="144"/>
      <c r="CM193" s="40"/>
      <c r="CN193" s="41">
        <v>0.01</v>
      </c>
      <c r="CO193" s="41">
        <f t="shared" si="82"/>
        <v>0.5</v>
      </c>
    </row>
    <row r="194" spans="26:93" s="42" customFormat="1" ht="18" thickBot="1" x14ac:dyDescent="0.3">
      <c r="Z194" s="134"/>
      <c r="AA194" s="134"/>
      <c r="AC194" s="134"/>
      <c r="AD194" s="135"/>
      <c r="AG194" s="136"/>
      <c r="AH194" s="136"/>
      <c r="AJ194" s="134"/>
      <c r="AQ194" s="134"/>
      <c r="AU194" s="134"/>
      <c r="AW194" s="134"/>
      <c r="BA194" s="134"/>
      <c r="BB194" s="134"/>
      <c r="BD194" s="134"/>
      <c r="BG194" s="235"/>
      <c r="BH194" s="177" t="s">
        <v>417</v>
      </c>
      <c r="BI194" s="174" t="s">
        <v>272</v>
      </c>
      <c r="BJ194" s="188">
        <v>6630</v>
      </c>
      <c r="BK194" s="174" t="s">
        <v>395</v>
      </c>
      <c r="BL194" s="176">
        <v>0.01</v>
      </c>
      <c r="BM194" s="176">
        <v>0.5</v>
      </c>
      <c r="BN194" s="175" t="s">
        <v>396</v>
      </c>
      <c r="BO194" s="174" t="s">
        <v>272</v>
      </c>
      <c r="BP194" s="188">
        <v>7390</v>
      </c>
      <c r="BQ194" s="174" t="s">
        <v>395</v>
      </c>
      <c r="BR194" s="176">
        <v>0.01</v>
      </c>
      <c r="BS194" s="176">
        <v>0.5</v>
      </c>
      <c r="BT194" s="175" t="s">
        <v>397</v>
      </c>
      <c r="BU194" s="36"/>
      <c r="BV194" s="36"/>
      <c r="BW194" s="36"/>
      <c r="BX194" s="36"/>
      <c r="BY194" s="36"/>
      <c r="BZ194" s="36"/>
      <c r="CA194" s="36"/>
      <c r="CB194" s="36"/>
      <c r="CC194" s="36"/>
      <c r="CD194" s="144"/>
      <c r="CE194" s="144"/>
      <c r="CF194" s="144"/>
      <c r="CG194" s="39"/>
      <c r="CH194" s="144"/>
      <c r="CI194" s="144"/>
      <c r="CJ194" s="39"/>
      <c r="CK194" s="39"/>
      <c r="CL194" s="144"/>
      <c r="CM194" s="40"/>
      <c r="CN194" s="41">
        <v>0.01</v>
      </c>
      <c r="CO194" s="41">
        <f t="shared" si="82"/>
        <v>0.5</v>
      </c>
    </row>
    <row r="195" spans="26:93" s="42" customFormat="1" ht="18" thickBot="1" x14ac:dyDescent="0.3">
      <c r="Z195" s="134"/>
      <c r="AA195" s="134"/>
      <c r="AC195" s="134"/>
      <c r="AD195" s="135"/>
      <c r="AG195" s="136"/>
      <c r="AH195" s="136"/>
      <c r="AJ195" s="134"/>
      <c r="AQ195" s="134"/>
      <c r="AU195" s="134"/>
      <c r="AW195" s="134"/>
      <c r="BA195" s="134"/>
      <c r="BB195" s="134"/>
      <c r="BD195" s="134"/>
      <c r="BG195" s="235"/>
      <c r="BH195" s="177" t="s">
        <v>418</v>
      </c>
      <c r="BI195" s="174" t="s">
        <v>272</v>
      </c>
      <c r="BJ195" s="188">
        <v>182</v>
      </c>
      <c r="BK195" s="174" t="s">
        <v>395</v>
      </c>
      <c r="BL195" s="176">
        <v>0.01</v>
      </c>
      <c r="BM195" s="176">
        <v>0.5</v>
      </c>
      <c r="BN195" s="175" t="s">
        <v>396</v>
      </c>
      <c r="BO195" s="174"/>
      <c r="BP195" s="188"/>
      <c r="BQ195" s="174"/>
      <c r="BR195" s="176"/>
      <c r="BS195" s="176"/>
      <c r="BT195" s="175"/>
      <c r="BU195" s="36"/>
      <c r="BV195" s="36"/>
      <c r="BW195" s="36"/>
      <c r="BX195" s="36"/>
      <c r="BY195" s="36"/>
      <c r="BZ195" s="36"/>
      <c r="CA195" s="36"/>
      <c r="CB195" s="36"/>
      <c r="CC195" s="36"/>
      <c r="CD195" s="144"/>
      <c r="CE195" s="144"/>
      <c r="CF195" s="144"/>
      <c r="CG195" s="39"/>
      <c r="CH195" s="144"/>
      <c r="CI195" s="144"/>
      <c r="CJ195" s="39"/>
      <c r="CK195" s="39"/>
      <c r="CL195" s="144"/>
      <c r="CM195" s="40"/>
      <c r="CN195" s="41"/>
      <c r="CO195" s="41">
        <f t="shared" si="82"/>
        <v>0.5</v>
      </c>
    </row>
    <row r="196" spans="26:93" s="42" customFormat="1" ht="27.5" thickBot="1" x14ac:dyDescent="0.3">
      <c r="Z196" s="134"/>
      <c r="AA196" s="134"/>
      <c r="AC196" s="134"/>
      <c r="AD196" s="135"/>
      <c r="AG196" s="136"/>
      <c r="AH196" s="136"/>
      <c r="AJ196" s="134"/>
      <c r="AQ196" s="134"/>
      <c r="AU196" s="134"/>
      <c r="AW196" s="134"/>
      <c r="BA196" s="134"/>
      <c r="BB196" s="134"/>
      <c r="BD196" s="134"/>
      <c r="BG196" s="235"/>
      <c r="BH196" s="177" t="s">
        <v>419</v>
      </c>
      <c r="BI196" s="174" t="s">
        <v>272</v>
      </c>
      <c r="BJ196" s="188">
        <v>3</v>
      </c>
      <c r="BK196" s="174" t="s">
        <v>395</v>
      </c>
      <c r="BL196" s="176">
        <v>0.01</v>
      </c>
      <c r="BM196" s="176">
        <v>0.5</v>
      </c>
      <c r="BN196" s="145" t="s">
        <v>420</v>
      </c>
      <c r="BO196" s="174" t="s">
        <v>272</v>
      </c>
      <c r="BP196" s="188">
        <v>3</v>
      </c>
      <c r="BQ196" s="174" t="s">
        <v>395</v>
      </c>
      <c r="BR196" s="176">
        <v>0.01</v>
      </c>
      <c r="BS196" s="176">
        <v>0.5</v>
      </c>
      <c r="BT196" s="175" t="s">
        <v>397</v>
      </c>
      <c r="BU196" s="36"/>
      <c r="BV196" s="36"/>
      <c r="BW196" s="36"/>
      <c r="BX196" s="36"/>
      <c r="BY196" s="36"/>
      <c r="BZ196" s="36"/>
      <c r="CA196" s="36"/>
      <c r="CB196" s="36"/>
      <c r="CC196" s="36"/>
      <c r="CD196" s="144"/>
      <c r="CE196" s="144"/>
      <c r="CF196" s="144"/>
      <c r="CG196" s="39"/>
      <c r="CH196" s="144"/>
      <c r="CI196" s="144"/>
      <c r="CJ196" s="39"/>
      <c r="CK196" s="39"/>
      <c r="CL196" s="144"/>
      <c r="CM196" s="40"/>
      <c r="CN196" s="41">
        <v>0.01</v>
      </c>
      <c r="CO196" s="41">
        <f t="shared" si="82"/>
        <v>0.5</v>
      </c>
    </row>
    <row r="197" spans="26:93" s="42" customFormat="1" ht="27.5" thickBot="1" x14ac:dyDescent="0.3">
      <c r="Z197" s="134"/>
      <c r="AA197" s="134"/>
      <c r="AC197" s="134"/>
      <c r="AD197" s="135"/>
      <c r="AG197" s="136"/>
      <c r="AH197" s="136"/>
      <c r="AJ197" s="134"/>
      <c r="AQ197" s="134"/>
      <c r="AU197" s="134"/>
      <c r="AW197" s="134"/>
      <c r="BA197" s="134"/>
      <c r="BB197" s="134"/>
      <c r="BD197" s="134"/>
      <c r="BG197" s="235"/>
      <c r="BH197" s="177" t="s">
        <v>421</v>
      </c>
      <c r="BI197" s="174" t="s">
        <v>272</v>
      </c>
      <c r="BJ197" s="188">
        <v>1</v>
      </c>
      <c r="BK197" s="174" t="s">
        <v>395</v>
      </c>
      <c r="BL197" s="176">
        <v>0.01</v>
      </c>
      <c r="BM197" s="176">
        <v>0.5</v>
      </c>
      <c r="BN197" s="175" t="s">
        <v>420</v>
      </c>
      <c r="BO197" s="174" t="s">
        <v>272</v>
      </c>
      <c r="BP197" s="188">
        <v>3</v>
      </c>
      <c r="BQ197" s="174" t="s">
        <v>395</v>
      </c>
      <c r="BR197" s="176">
        <v>0.01</v>
      </c>
      <c r="BS197" s="176">
        <v>0.5</v>
      </c>
      <c r="BT197" s="175" t="s">
        <v>397</v>
      </c>
      <c r="BU197" s="36"/>
      <c r="BV197" s="36"/>
      <c r="BW197" s="36"/>
      <c r="BX197" s="36"/>
      <c r="BY197" s="36"/>
      <c r="BZ197" s="36"/>
      <c r="CA197" s="36"/>
      <c r="CB197" s="36"/>
      <c r="CC197" s="36"/>
      <c r="CD197" s="144"/>
      <c r="CE197" s="144"/>
      <c r="CF197" s="144"/>
      <c r="CG197" s="39"/>
      <c r="CH197" s="144"/>
      <c r="CI197" s="144"/>
      <c r="CJ197" s="39"/>
      <c r="CK197" s="39"/>
      <c r="CL197" s="144"/>
      <c r="CM197" s="40"/>
      <c r="CN197" s="41">
        <v>0.01</v>
      </c>
      <c r="CO197" s="41">
        <f t="shared" si="82"/>
        <v>0.5</v>
      </c>
    </row>
    <row r="198" spans="26:93" s="42" customFormat="1" ht="18" thickBot="1" x14ac:dyDescent="0.3">
      <c r="Z198" s="134"/>
      <c r="AA198" s="134"/>
      <c r="AC198" s="134"/>
      <c r="AD198" s="135"/>
      <c r="AG198" s="136"/>
      <c r="AH198" s="136"/>
      <c r="AJ198" s="134"/>
      <c r="AQ198" s="134"/>
      <c r="AU198" s="134"/>
      <c r="AW198" s="134"/>
      <c r="BA198" s="134"/>
      <c r="BB198" s="134"/>
      <c r="BD198" s="134"/>
      <c r="BG198" s="235"/>
      <c r="BH198" s="177" t="s">
        <v>422</v>
      </c>
      <c r="BI198" s="174" t="s">
        <v>272</v>
      </c>
      <c r="BJ198" s="188">
        <v>6290</v>
      </c>
      <c r="BK198" s="174" t="s">
        <v>395</v>
      </c>
      <c r="BL198" s="176">
        <v>0.01</v>
      </c>
      <c r="BM198" s="176">
        <v>0.5</v>
      </c>
      <c r="BN198" s="175" t="s">
        <v>396</v>
      </c>
      <c r="BO198" s="174" t="s">
        <v>272</v>
      </c>
      <c r="BP198" s="188">
        <v>7140</v>
      </c>
      <c r="BQ198" s="174" t="s">
        <v>395</v>
      </c>
      <c r="BR198" s="176">
        <v>0.01</v>
      </c>
      <c r="BS198" s="176">
        <v>0.5</v>
      </c>
      <c r="BT198" s="175" t="s">
        <v>397</v>
      </c>
      <c r="BU198" s="36"/>
      <c r="BV198" s="36"/>
      <c r="BW198" s="36"/>
      <c r="BX198" s="36"/>
      <c r="BY198" s="36"/>
      <c r="BZ198" s="36"/>
      <c r="CA198" s="36"/>
      <c r="CB198" s="36"/>
      <c r="CC198" s="36"/>
      <c r="CD198" s="144"/>
      <c r="CE198" s="144"/>
      <c r="CF198" s="144"/>
      <c r="CG198" s="39"/>
      <c r="CH198" s="144"/>
      <c r="CI198" s="144"/>
      <c r="CJ198" s="39"/>
      <c r="CK198" s="39"/>
      <c r="CL198" s="144"/>
      <c r="CM198" s="40"/>
      <c r="CN198" s="41">
        <v>0.01</v>
      </c>
      <c r="CO198" s="41">
        <f t="shared" si="82"/>
        <v>0.5</v>
      </c>
    </row>
    <row r="199" spans="26:93" s="42" customFormat="1" ht="14" thickBot="1" x14ac:dyDescent="0.3">
      <c r="Z199" s="134"/>
      <c r="AA199" s="134"/>
      <c r="AC199" s="134"/>
      <c r="AD199" s="135"/>
      <c r="AG199" s="136"/>
      <c r="AH199" s="136"/>
      <c r="AJ199" s="134"/>
      <c r="AQ199" s="134"/>
      <c r="AU199" s="134"/>
      <c r="AW199" s="134"/>
      <c r="BA199" s="134"/>
      <c r="BB199" s="134"/>
      <c r="BD199" s="134"/>
      <c r="BG199" s="235"/>
      <c r="BH199" s="177"/>
      <c r="BI199" s="174"/>
      <c r="BJ199" s="188"/>
      <c r="BK199" s="174"/>
      <c r="BL199" s="176"/>
      <c r="BM199" s="176"/>
      <c r="BN199" s="175"/>
      <c r="BO199" s="174"/>
      <c r="BP199" s="188"/>
      <c r="BQ199" s="174"/>
      <c r="BR199" s="176"/>
      <c r="BS199" s="176"/>
      <c r="BT199" s="175"/>
      <c r="BU199" s="36"/>
      <c r="BV199" s="36"/>
      <c r="BW199" s="36"/>
      <c r="BX199" s="36"/>
      <c r="BY199" s="36"/>
      <c r="BZ199" s="36"/>
      <c r="CA199" s="36"/>
      <c r="CB199" s="36"/>
      <c r="CC199" s="36"/>
      <c r="CD199" s="144"/>
      <c r="CE199" s="144"/>
      <c r="CF199" s="144"/>
      <c r="CG199" s="39"/>
      <c r="CH199" s="144"/>
      <c r="CI199" s="144"/>
      <c r="CJ199" s="39"/>
      <c r="CK199" s="39"/>
      <c r="CL199" s="144"/>
      <c r="CM199" s="40"/>
      <c r="CN199" s="41">
        <v>0.01</v>
      </c>
      <c r="CO199" s="41">
        <f t="shared" si="82"/>
        <v>0</v>
      </c>
    </row>
    <row r="200" spans="26:93" s="42" customFormat="1" x14ac:dyDescent="0.25">
      <c r="Z200" s="134"/>
      <c r="AA200" s="134"/>
      <c r="AC200" s="134"/>
      <c r="AD200" s="135"/>
      <c r="AG200" s="136"/>
      <c r="AH200" s="136"/>
      <c r="AJ200" s="134"/>
      <c r="AQ200" s="134"/>
      <c r="AU200" s="134"/>
      <c r="AW200" s="134"/>
      <c r="BA200" s="134"/>
      <c r="BB200" s="134"/>
      <c r="BD200" s="134"/>
      <c r="BG200" s="235"/>
      <c r="BH200" s="36"/>
      <c r="BI200" s="37"/>
      <c r="BJ200" s="37"/>
      <c r="BK200" s="37"/>
      <c r="BL200" s="38"/>
      <c r="BM200" s="38"/>
      <c r="BN200" s="38"/>
      <c r="BO200" s="144"/>
      <c r="BP200" s="144"/>
      <c r="BQ200" s="144"/>
      <c r="BR200" s="144"/>
      <c r="BS200" s="144"/>
      <c r="BT200" s="144"/>
      <c r="BU200" s="37"/>
      <c r="BV200" s="144"/>
      <c r="BW200" s="144"/>
      <c r="BX200" s="37"/>
      <c r="BY200" s="37"/>
      <c r="BZ200" s="37"/>
      <c r="CA200" s="144"/>
      <c r="CB200" s="144"/>
      <c r="CC200" s="144"/>
      <c r="CD200" s="144"/>
      <c r="CE200" s="144"/>
      <c r="CF200" s="144"/>
      <c r="CG200" s="39"/>
      <c r="CH200" s="144"/>
      <c r="CI200" s="144"/>
      <c r="CJ200" s="39"/>
      <c r="CK200" s="39"/>
      <c r="CL200" s="144"/>
      <c r="CM200" s="40"/>
      <c r="CN200" s="41"/>
      <c r="CO200" s="41">
        <f t="shared" si="82"/>
        <v>0</v>
      </c>
    </row>
    <row r="201" spans="26:93" s="42" customFormat="1" ht="14" thickBot="1" x14ac:dyDescent="0.3">
      <c r="Z201" s="134"/>
      <c r="AA201" s="134"/>
      <c r="AC201" s="134"/>
      <c r="AD201" s="135"/>
      <c r="AG201" s="136"/>
      <c r="AH201" s="136"/>
      <c r="AJ201" s="134"/>
      <c r="AQ201" s="134"/>
      <c r="AU201" s="134"/>
      <c r="AW201" s="134"/>
      <c r="BA201" s="134"/>
      <c r="BB201" s="134"/>
      <c r="BD201" s="134"/>
      <c r="BG201" s="235"/>
      <c r="BH201" s="36"/>
      <c r="BI201" s="37"/>
      <c r="BJ201" s="37"/>
      <c r="BK201" s="37"/>
      <c r="BL201" s="38"/>
      <c r="BM201" s="38"/>
      <c r="BN201" s="38"/>
      <c r="BO201" s="37"/>
      <c r="BP201" s="37"/>
      <c r="BQ201" s="37"/>
      <c r="BR201" s="37"/>
      <c r="BS201" s="37"/>
      <c r="BT201" s="37"/>
      <c r="BU201" s="37"/>
      <c r="BV201" s="37"/>
      <c r="BW201" s="37"/>
      <c r="BX201" s="37"/>
      <c r="BY201" s="37"/>
      <c r="BZ201" s="37"/>
      <c r="CA201" s="39"/>
      <c r="CB201" s="37"/>
      <c r="CC201" s="37"/>
      <c r="CD201" s="39"/>
      <c r="CE201" s="39"/>
      <c r="CF201" s="39"/>
      <c r="CG201" s="39"/>
      <c r="CH201" s="37"/>
      <c r="CI201" s="37"/>
      <c r="CJ201" s="39"/>
      <c r="CK201" s="39"/>
      <c r="CL201" s="39"/>
      <c r="CM201" s="40"/>
      <c r="CN201" s="41"/>
      <c r="CO201" s="41">
        <f t="shared" si="82"/>
        <v>0</v>
      </c>
    </row>
    <row r="202" spans="26:93" s="42" customFormat="1" ht="33.75" customHeight="1" x14ac:dyDescent="0.25">
      <c r="Z202" s="134"/>
      <c r="AA202" s="134"/>
      <c r="AC202" s="134"/>
      <c r="AD202" s="135"/>
      <c r="AG202" s="136"/>
      <c r="AH202" s="136"/>
      <c r="AJ202" s="134"/>
      <c r="AQ202" s="134"/>
      <c r="AU202" s="134"/>
      <c r="AW202" s="134"/>
      <c r="BA202" s="134"/>
      <c r="BB202" s="134"/>
      <c r="BD202" s="134"/>
      <c r="BG202" s="235"/>
      <c r="BH202" s="582" t="s">
        <v>423</v>
      </c>
      <c r="BI202" s="170"/>
      <c r="BJ202" s="582" t="s">
        <v>393</v>
      </c>
      <c r="BK202" s="170"/>
      <c r="BL202" s="582" t="s">
        <v>302</v>
      </c>
      <c r="BM202" s="582" t="s">
        <v>302</v>
      </c>
      <c r="BN202" s="582" t="s">
        <v>303</v>
      </c>
      <c r="BO202" s="170"/>
      <c r="BP202" s="582" t="s">
        <v>393</v>
      </c>
      <c r="BQ202" s="170"/>
      <c r="BR202" s="582" t="s">
        <v>302</v>
      </c>
      <c r="BS202" s="582" t="s">
        <v>302</v>
      </c>
      <c r="BT202" s="582" t="s">
        <v>303</v>
      </c>
      <c r="BU202" s="37"/>
      <c r="BV202" s="37"/>
      <c r="BW202" s="37"/>
      <c r="BX202" s="37"/>
      <c r="BY202" s="37"/>
      <c r="BZ202" s="37"/>
      <c r="CA202" s="39"/>
      <c r="CB202" s="37"/>
      <c r="CC202" s="37"/>
      <c r="CD202" s="39"/>
      <c r="CE202" s="39"/>
      <c r="CF202" s="39"/>
      <c r="CG202" s="39"/>
      <c r="CH202" s="37"/>
      <c r="CI202" s="37"/>
      <c r="CJ202" s="39"/>
      <c r="CK202" s="39"/>
      <c r="CL202" s="39"/>
      <c r="CM202" s="40"/>
      <c r="CN202" s="41"/>
      <c r="CO202" s="41" t="str">
        <f t="shared" si="82"/>
        <v>Incertidumbre (+/- %)</v>
      </c>
    </row>
    <row r="203" spans="26:93" s="42" customFormat="1" ht="37.5" customHeight="1" thickBot="1" x14ac:dyDescent="0.3">
      <c r="Z203" s="134"/>
      <c r="AA203" s="134"/>
      <c r="AC203" s="134"/>
      <c r="AD203" s="135"/>
      <c r="AG203" s="136"/>
      <c r="AH203" s="136"/>
      <c r="AJ203" s="134"/>
      <c r="AQ203" s="134"/>
      <c r="AU203" s="134"/>
      <c r="AW203" s="134"/>
      <c r="BA203" s="134"/>
      <c r="BB203" s="134"/>
      <c r="BD203" s="134"/>
      <c r="BG203" s="235"/>
      <c r="BH203" s="583"/>
      <c r="BI203" s="171" t="s">
        <v>308</v>
      </c>
      <c r="BJ203" s="583"/>
      <c r="BK203" s="171" t="s">
        <v>309</v>
      </c>
      <c r="BL203" s="583"/>
      <c r="BM203" s="583"/>
      <c r="BN203" s="583"/>
      <c r="BO203" s="171" t="s">
        <v>308</v>
      </c>
      <c r="BP203" s="583"/>
      <c r="BQ203" s="171" t="s">
        <v>309</v>
      </c>
      <c r="BR203" s="583"/>
      <c r="BS203" s="583"/>
      <c r="BT203" s="583"/>
      <c r="BU203" s="37"/>
      <c r="BV203" s="37"/>
      <c r="BW203" s="37"/>
      <c r="BX203" s="37"/>
      <c r="BY203" s="37"/>
      <c r="BZ203" s="37"/>
      <c r="CA203" s="39"/>
      <c r="CB203" s="37"/>
      <c r="CC203" s="37"/>
      <c r="CD203" s="39"/>
      <c r="CE203" s="39"/>
      <c r="CF203" s="39"/>
      <c r="CG203" s="39"/>
      <c r="CH203" s="37"/>
      <c r="CI203" s="37"/>
      <c r="CJ203" s="39"/>
      <c r="CK203" s="39"/>
      <c r="CL203" s="39"/>
      <c r="CM203" s="40"/>
      <c r="CN203" s="41"/>
      <c r="CO203" s="41">
        <f t="shared" si="82"/>
        <v>0</v>
      </c>
    </row>
    <row r="204" spans="26:93" s="42" customFormat="1" ht="18" thickBot="1" x14ac:dyDescent="0.3">
      <c r="Z204" s="134"/>
      <c r="AA204" s="134"/>
      <c r="AC204" s="134"/>
      <c r="AD204" s="135"/>
      <c r="AG204" s="136"/>
      <c r="AH204" s="136"/>
      <c r="AJ204" s="134"/>
      <c r="AQ204" s="134"/>
      <c r="AU204" s="134"/>
      <c r="AW204" s="134"/>
      <c r="BA204" s="134"/>
      <c r="BB204" s="134"/>
      <c r="BD204" s="134"/>
      <c r="BG204" s="235"/>
      <c r="BH204" s="473" t="s">
        <v>247</v>
      </c>
      <c r="BI204" s="174" t="s">
        <v>272</v>
      </c>
      <c r="BJ204" s="188">
        <v>1</v>
      </c>
      <c r="BK204" s="174" t="s">
        <v>395</v>
      </c>
      <c r="BL204" s="176">
        <v>0.01</v>
      </c>
      <c r="BM204" s="176">
        <v>0.5</v>
      </c>
      <c r="BN204" s="175" t="s">
        <v>396</v>
      </c>
      <c r="BO204" s="174" t="s">
        <v>272</v>
      </c>
      <c r="BP204" s="188">
        <v>1</v>
      </c>
      <c r="BQ204" s="174" t="s">
        <v>395</v>
      </c>
      <c r="BR204" s="176">
        <v>0.01</v>
      </c>
      <c r="BS204" s="176">
        <v>0.5</v>
      </c>
      <c r="BT204" s="175" t="s">
        <v>397</v>
      </c>
      <c r="BU204" s="37"/>
      <c r="BV204" s="37"/>
      <c r="BW204" s="37"/>
      <c r="BX204" s="37"/>
      <c r="BY204" s="37"/>
      <c r="BZ204" s="37"/>
      <c r="CA204" s="39"/>
      <c r="CB204" s="37"/>
      <c r="CC204" s="37"/>
      <c r="CD204" s="39"/>
      <c r="CE204" s="39"/>
      <c r="CF204" s="39"/>
      <c r="CG204" s="39"/>
      <c r="CH204" s="37"/>
      <c r="CI204" s="37"/>
      <c r="CJ204" s="39"/>
      <c r="CK204" s="39"/>
      <c r="CL204" s="39"/>
      <c r="CM204" s="40"/>
      <c r="CN204" s="41">
        <v>0.01</v>
      </c>
      <c r="CO204" s="41">
        <f t="shared" si="82"/>
        <v>0.5</v>
      </c>
    </row>
    <row r="205" spans="26:93" s="42" customFormat="1" ht="18" thickBot="1" x14ac:dyDescent="0.3">
      <c r="Z205" s="134"/>
      <c r="AA205" s="134"/>
      <c r="AC205" s="134"/>
      <c r="AD205" s="135"/>
      <c r="AG205" s="136"/>
      <c r="AH205" s="136"/>
      <c r="AJ205" s="134"/>
      <c r="AQ205" s="134"/>
      <c r="AU205" s="134"/>
      <c r="AW205" s="134"/>
      <c r="BA205" s="134"/>
      <c r="BB205" s="134"/>
      <c r="BD205" s="134"/>
      <c r="BG205" s="235"/>
      <c r="BH205" s="473" t="s">
        <v>249</v>
      </c>
      <c r="BI205" s="174" t="s">
        <v>272</v>
      </c>
      <c r="BJ205" s="188">
        <v>79</v>
      </c>
      <c r="BK205" s="174" t="s">
        <v>395</v>
      </c>
      <c r="BL205" s="176">
        <v>0.01</v>
      </c>
      <c r="BM205" s="176">
        <v>0.5</v>
      </c>
      <c r="BN205" s="175" t="s">
        <v>396</v>
      </c>
      <c r="BO205" s="174" t="s">
        <v>272</v>
      </c>
      <c r="BP205" s="188">
        <v>77</v>
      </c>
      <c r="BQ205" s="174" t="s">
        <v>395</v>
      </c>
      <c r="BR205" s="176">
        <v>0.01</v>
      </c>
      <c r="BS205" s="176">
        <v>0.5</v>
      </c>
      <c r="BT205" s="175" t="s">
        <v>397</v>
      </c>
      <c r="BU205" s="37"/>
      <c r="BV205" s="37"/>
      <c r="BW205" s="37"/>
      <c r="BX205" s="37"/>
      <c r="BY205" s="37"/>
      <c r="BZ205" s="37"/>
      <c r="CA205" s="37"/>
      <c r="CB205" s="37"/>
      <c r="CC205" s="37"/>
      <c r="CD205" s="37"/>
      <c r="CE205" s="37"/>
      <c r="CF205" s="37"/>
      <c r="CG205" s="37"/>
      <c r="CH205" s="37"/>
      <c r="CI205" s="37"/>
      <c r="CJ205" s="37"/>
      <c r="CK205" s="37"/>
      <c r="CL205" s="37"/>
      <c r="CM205" s="40"/>
      <c r="CN205" s="41">
        <v>0.01</v>
      </c>
      <c r="CO205" s="41">
        <f t="shared" si="82"/>
        <v>0.5</v>
      </c>
    </row>
    <row r="206" spans="26:93" s="42" customFormat="1" ht="14" x14ac:dyDescent="0.25">
      <c r="Z206" s="134"/>
      <c r="AA206" s="134"/>
      <c r="AC206" s="134"/>
      <c r="AD206" s="135"/>
      <c r="AG206" s="136"/>
      <c r="AH206" s="136"/>
      <c r="AJ206" s="134"/>
      <c r="AQ206" s="134"/>
      <c r="AU206" s="134"/>
      <c r="AW206" s="134"/>
      <c r="BA206" s="134"/>
      <c r="BB206" s="134"/>
      <c r="BD206" s="134"/>
      <c r="BG206" s="235"/>
      <c r="BH206" s="36"/>
      <c r="BI206" s="37"/>
      <c r="BJ206" s="37"/>
      <c r="BK206" s="37"/>
      <c r="BL206" s="38"/>
      <c r="BM206" s="38"/>
      <c r="BN206" s="38"/>
      <c r="BO206" s="37"/>
      <c r="BP206" s="37"/>
      <c r="BQ206" s="37"/>
      <c r="BR206" s="37"/>
      <c r="BS206" s="37"/>
      <c r="BT206" s="37"/>
      <c r="BU206" s="39"/>
      <c r="BV206" s="37"/>
      <c r="BW206" s="37"/>
      <c r="BX206" s="39"/>
      <c r="BY206" s="39"/>
      <c r="BZ206" s="39"/>
      <c r="CA206" s="37"/>
      <c r="CB206" s="37"/>
      <c r="CC206" s="37"/>
      <c r="CD206" s="37"/>
      <c r="CE206" s="37"/>
      <c r="CF206" s="37"/>
      <c r="CG206" s="37"/>
      <c r="CH206" s="37"/>
      <c r="CI206" s="37"/>
      <c r="CJ206" s="37"/>
      <c r="CK206" s="37"/>
      <c r="CL206" s="37"/>
      <c r="CM206" s="146"/>
      <c r="CN206" s="41"/>
      <c r="CO206" s="41">
        <f t="shared" si="82"/>
        <v>0</v>
      </c>
    </row>
    <row r="207" spans="26:93" s="42" customFormat="1" ht="14.5" thickBot="1" x14ac:dyDescent="0.3">
      <c r="Z207" s="134"/>
      <c r="AA207" s="134"/>
      <c r="AC207" s="134"/>
      <c r="AD207" s="135"/>
      <c r="AG207" s="136"/>
      <c r="AH207" s="136"/>
      <c r="AJ207" s="134"/>
      <c r="AQ207" s="134"/>
      <c r="AU207" s="134"/>
      <c r="AW207" s="134"/>
      <c r="BA207" s="134"/>
      <c r="BB207" s="134"/>
      <c r="BD207" s="134"/>
      <c r="BG207" s="235"/>
      <c r="BH207" s="36"/>
      <c r="BI207" s="37"/>
      <c r="BJ207" s="37"/>
      <c r="BK207" s="37"/>
      <c r="BL207" s="38"/>
      <c r="BM207" s="38"/>
      <c r="BN207" s="38"/>
      <c r="BO207" s="37"/>
      <c r="BP207" s="37"/>
      <c r="BQ207" s="37"/>
      <c r="BR207" s="37"/>
      <c r="BS207" s="37"/>
      <c r="BT207" s="37"/>
      <c r="BU207" s="39"/>
      <c r="BV207" s="37"/>
      <c r="BW207" s="37"/>
      <c r="BX207" s="39"/>
      <c r="BY207" s="39"/>
      <c r="BZ207" s="39"/>
      <c r="CA207" s="37"/>
      <c r="CB207" s="37"/>
      <c r="CC207" s="37"/>
      <c r="CD207" s="37"/>
      <c r="CE207" s="37"/>
      <c r="CF207" s="37"/>
      <c r="CG207" s="37"/>
      <c r="CH207" s="37"/>
      <c r="CI207" s="37"/>
      <c r="CJ207" s="37"/>
      <c r="CK207" s="37"/>
      <c r="CL207" s="37"/>
      <c r="CM207" s="146"/>
      <c r="CN207" s="41"/>
      <c r="CO207" s="41">
        <f t="shared" si="82"/>
        <v>0</v>
      </c>
    </row>
    <row r="208" spans="26:93" s="42" customFormat="1" ht="14" x14ac:dyDescent="0.25">
      <c r="Z208" s="134"/>
      <c r="AA208" s="134"/>
      <c r="AC208" s="134"/>
      <c r="AD208" s="135"/>
      <c r="AG208" s="136"/>
      <c r="AH208" s="136"/>
      <c r="AJ208" s="134"/>
      <c r="AQ208" s="134"/>
      <c r="AU208" s="134"/>
      <c r="AW208" s="134"/>
      <c r="BA208" s="134"/>
      <c r="BB208" s="134"/>
      <c r="BD208" s="134"/>
      <c r="BG208" s="235"/>
      <c r="BH208" s="582" t="s">
        <v>424</v>
      </c>
      <c r="BI208" s="170"/>
      <c r="BJ208" s="582" t="s">
        <v>425</v>
      </c>
      <c r="BK208" s="170"/>
      <c r="BL208" s="582" t="s">
        <v>302</v>
      </c>
      <c r="BM208" s="582" t="s">
        <v>302</v>
      </c>
      <c r="BN208" s="582" t="s">
        <v>303</v>
      </c>
      <c r="BO208" s="37"/>
      <c r="BP208" s="37"/>
      <c r="BQ208" s="37"/>
      <c r="BR208" s="37"/>
      <c r="BS208" s="37"/>
      <c r="BT208" s="37"/>
      <c r="BU208" s="39"/>
      <c r="BV208" s="37"/>
      <c r="BW208" s="37"/>
      <c r="BX208" s="39"/>
      <c r="BY208" s="39"/>
      <c r="BZ208" s="39"/>
      <c r="CA208" s="66"/>
      <c r="CB208" s="37"/>
      <c r="CC208" s="37"/>
      <c r="CD208" s="66"/>
      <c r="CE208" s="66"/>
      <c r="CF208" s="66"/>
      <c r="CG208" s="66"/>
      <c r="CH208" s="37"/>
      <c r="CI208" s="37"/>
      <c r="CJ208" s="66"/>
      <c r="CK208" s="66"/>
      <c r="CL208" s="66"/>
      <c r="CM208" s="146"/>
      <c r="CN208" s="41"/>
      <c r="CO208" s="41" t="str">
        <f t="shared" si="82"/>
        <v>Incertidumbre (+/- %)</v>
      </c>
    </row>
    <row r="209" spans="26:93" s="42" customFormat="1" ht="49.5" customHeight="1" thickBot="1" x14ac:dyDescent="0.3">
      <c r="Z209" s="134"/>
      <c r="AA209" s="134"/>
      <c r="AC209" s="134"/>
      <c r="AD209" s="135"/>
      <c r="AG209" s="136"/>
      <c r="AH209" s="136"/>
      <c r="AJ209" s="134"/>
      <c r="AQ209" s="134"/>
      <c r="AU209" s="134"/>
      <c r="AW209" s="134"/>
      <c r="BA209" s="134"/>
      <c r="BB209" s="134"/>
      <c r="BD209" s="134"/>
      <c r="BG209" s="235"/>
      <c r="BH209" s="583"/>
      <c r="BI209" s="171" t="s">
        <v>308</v>
      </c>
      <c r="BJ209" s="583"/>
      <c r="BK209" s="171" t="s">
        <v>309</v>
      </c>
      <c r="BL209" s="583"/>
      <c r="BM209" s="583"/>
      <c r="BN209" s="583"/>
      <c r="BO209" s="37"/>
      <c r="BP209" s="37"/>
      <c r="BQ209" s="37"/>
      <c r="BR209" s="37"/>
      <c r="BS209" s="37"/>
      <c r="BT209" s="37"/>
      <c r="BU209" s="39"/>
      <c r="BV209" s="37"/>
      <c r="BW209" s="37"/>
      <c r="BX209" s="39"/>
      <c r="BY209" s="39"/>
      <c r="BZ209" s="39"/>
      <c r="CA209" s="66"/>
      <c r="CB209" s="37"/>
      <c r="CC209" s="37"/>
      <c r="CD209" s="66"/>
      <c r="CE209" s="66"/>
      <c r="CF209" s="66"/>
      <c r="CG209" s="66"/>
      <c r="CH209" s="37"/>
      <c r="CI209" s="37"/>
      <c r="CJ209" s="66"/>
      <c r="CK209" s="66"/>
      <c r="CL209" s="66"/>
      <c r="CM209" s="146"/>
      <c r="CN209" s="41"/>
      <c r="CO209" s="41">
        <f t="shared" si="82"/>
        <v>0</v>
      </c>
    </row>
    <row r="210" spans="26:93" s="42" customFormat="1" ht="14" thickBot="1" x14ac:dyDescent="0.3">
      <c r="Z210" s="134"/>
      <c r="AA210" s="134"/>
      <c r="AC210" s="134"/>
      <c r="AD210" s="135"/>
      <c r="AG210" s="136"/>
      <c r="AH210" s="136"/>
      <c r="AJ210" s="134"/>
      <c r="AQ210" s="134"/>
      <c r="AU210" s="134"/>
      <c r="AW210" s="134"/>
      <c r="BA210" s="134"/>
      <c r="BB210" s="134"/>
      <c r="BD210" s="134"/>
      <c r="BG210" s="235"/>
      <c r="BH210" s="177" t="s">
        <v>426</v>
      </c>
      <c r="BI210" s="174" t="s">
        <v>427</v>
      </c>
      <c r="BJ210" s="188">
        <v>1.7829504000000003E-3</v>
      </c>
      <c r="BK210" s="174" t="s">
        <v>428</v>
      </c>
      <c r="BL210" s="176">
        <v>0.01</v>
      </c>
      <c r="BM210" s="176">
        <v>0.5</v>
      </c>
      <c r="BN210" s="175" t="s">
        <v>429</v>
      </c>
      <c r="BO210" s="37"/>
      <c r="BP210" s="37"/>
      <c r="BQ210" s="37"/>
      <c r="BR210" s="37"/>
      <c r="BS210" s="37"/>
      <c r="BT210" s="37"/>
      <c r="BU210" s="39"/>
      <c r="BV210" s="37"/>
      <c r="BW210" s="37"/>
      <c r="BX210" s="39"/>
      <c r="BY210" s="39"/>
      <c r="BZ210" s="39"/>
      <c r="CA210" s="39"/>
      <c r="CB210" s="37"/>
      <c r="CC210" s="37"/>
      <c r="CD210" s="39"/>
      <c r="CE210" s="39"/>
      <c r="CF210" s="39"/>
      <c r="CG210" s="39"/>
      <c r="CH210" s="37"/>
      <c r="CI210" s="37"/>
      <c r="CJ210" s="39"/>
      <c r="CK210" s="39"/>
      <c r="CL210" s="39"/>
      <c r="CM210" s="40"/>
      <c r="CN210" s="41">
        <v>0.15</v>
      </c>
      <c r="CO210" s="41">
        <f t="shared" si="82"/>
        <v>0.5</v>
      </c>
    </row>
    <row r="211" spans="26:93" s="42" customFormat="1" ht="14" thickBot="1" x14ac:dyDescent="0.3">
      <c r="Z211" s="134"/>
      <c r="AA211" s="134"/>
      <c r="AC211" s="134"/>
      <c r="AD211" s="135"/>
      <c r="AG211" s="136"/>
      <c r="AH211" s="136"/>
      <c r="AJ211" s="134"/>
      <c r="AQ211" s="134"/>
      <c r="AU211" s="134"/>
      <c r="AW211" s="134"/>
      <c r="BA211" s="134"/>
      <c r="BB211" s="134"/>
      <c r="BD211" s="134"/>
      <c r="BG211" s="235"/>
      <c r="BH211" s="177" t="s">
        <v>430</v>
      </c>
      <c r="BI211" s="174" t="s">
        <v>272</v>
      </c>
      <c r="BJ211" s="188">
        <v>5.8960000000000013E-4</v>
      </c>
      <c r="BK211" s="174" t="s">
        <v>431</v>
      </c>
      <c r="BL211" s="176">
        <v>0.01</v>
      </c>
      <c r="BM211" s="176">
        <v>0.5</v>
      </c>
      <c r="BN211" s="175" t="s">
        <v>429</v>
      </c>
      <c r="BO211" s="37"/>
      <c r="BP211" s="37"/>
      <c r="BQ211" s="37"/>
      <c r="BR211" s="37"/>
      <c r="BS211" s="37"/>
      <c r="BT211" s="37"/>
      <c r="BU211" s="39"/>
      <c r="BV211" s="37"/>
      <c r="BW211" s="37"/>
      <c r="BX211" s="39"/>
      <c r="BY211" s="39"/>
      <c r="BZ211" s="39"/>
      <c r="CA211" s="39"/>
      <c r="CB211" s="37"/>
      <c r="CC211" s="37"/>
      <c r="CD211" s="39"/>
      <c r="CE211" s="39"/>
      <c r="CF211" s="39"/>
      <c r="CG211" s="39"/>
      <c r="CH211" s="37"/>
      <c r="CI211" s="37"/>
      <c r="CJ211" s="39"/>
      <c r="CK211" s="39"/>
      <c r="CL211" s="39"/>
      <c r="CM211" s="40"/>
      <c r="CN211" s="41">
        <v>0.15</v>
      </c>
      <c r="CO211" s="41">
        <f t="shared" si="82"/>
        <v>0.5</v>
      </c>
    </row>
    <row r="212" spans="26:93" s="42" customFormat="1" x14ac:dyDescent="0.25">
      <c r="Z212" s="134"/>
      <c r="AA212" s="134"/>
      <c r="AC212" s="134"/>
      <c r="AD212" s="135"/>
      <c r="AG212" s="136"/>
      <c r="AH212" s="136"/>
      <c r="AJ212" s="134"/>
      <c r="AQ212" s="134"/>
      <c r="AU212" s="134"/>
      <c r="AW212" s="134"/>
      <c r="BA212" s="134"/>
      <c r="BB212" s="134"/>
      <c r="BD212" s="134"/>
      <c r="BG212" s="235"/>
      <c r="BH212" s="36"/>
      <c r="BI212" s="37"/>
      <c r="BJ212" s="37"/>
      <c r="BK212" s="37"/>
      <c r="BL212" s="38"/>
      <c r="BM212" s="38"/>
      <c r="BN212" s="38"/>
      <c r="BO212" s="37"/>
      <c r="BP212" s="37"/>
      <c r="BQ212" s="37"/>
      <c r="BR212" s="37"/>
      <c r="BS212" s="37"/>
      <c r="BT212" s="37"/>
      <c r="BU212" s="39"/>
      <c r="BV212" s="37"/>
      <c r="BW212" s="37"/>
      <c r="BX212" s="39"/>
      <c r="BY212" s="39"/>
      <c r="BZ212" s="39"/>
      <c r="CA212" s="39"/>
      <c r="CB212" s="37"/>
      <c r="CC212" s="37"/>
      <c r="CD212" s="39"/>
      <c r="CE212" s="39"/>
      <c r="CF212" s="39"/>
      <c r="CG212" s="39"/>
      <c r="CH212" s="37"/>
      <c r="CI212" s="37"/>
      <c r="CJ212" s="39"/>
      <c r="CK212" s="39"/>
      <c r="CL212" s="39"/>
      <c r="CM212" s="40"/>
      <c r="CN212" s="41"/>
      <c r="CO212" s="41">
        <f t="shared" si="82"/>
        <v>0</v>
      </c>
    </row>
    <row r="213" spans="26:93" s="42" customFormat="1" ht="14" thickBot="1" x14ac:dyDescent="0.3">
      <c r="Z213" s="134"/>
      <c r="AA213" s="134"/>
      <c r="AC213" s="134"/>
      <c r="AD213" s="135"/>
      <c r="AG213" s="136"/>
      <c r="AH213" s="136"/>
      <c r="AJ213" s="134"/>
      <c r="AQ213" s="134"/>
      <c r="AU213" s="134"/>
      <c r="AW213" s="134"/>
      <c r="BA213" s="134"/>
      <c r="BB213" s="134"/>
      <c r="BD213" s="134"/>
      <c r="BG213" s="235"/>
      <c r="BH213" s="36"/>
      <c r="BI213" s="37"/>
      <c r="BJ213" s="37"/>
      <c r="BK213" s="37"/>
      <c r="BL213" s="38"/>
      <c r="BM213" s="38"/>
      <c r="BN213" s="38"/>
      <c r="BO213" s="37"/>
      <c r="BP213" s="37"/>
      <c r="BQ213" s="37"/>
      <c r="BR213" s="37"/>
      <c r="BS213" s="37"/>
      <c r="BT213" s="37"/>
      <c r="BU213" s="39"/>
      <c r="BV213" s="37"/>
      <c r="BW213" s="37"/>
      <c r="BX213" s="39"/>
      <c r="BY213" s="39"/>
      <c r="BZ213" s="39"/>
      <c r="CA213" s="39"/>
      <c r="CB213" s="37"/>
      <c r="CC213" s="37"/>
      <c r="CD213" s="39"/>
      <c r="CE213" s="39"/>
      <c r="CF213" s="39"/>
      <c r="CG213" s="39"/>
      <c r="CH213" s="37"/>
      <c r="CI213" s="37"/>
      <c r="CJ213" s="39"/>
      <c r="CK213" s="39"/>
      <c r="CL213" s="39"/>
      <c r="CM213" s="40"/>
      <c r="CN213" s="41"/>
      <c r="CO213" s="41">
        <f t="shared" si="82"/>
        <v>0</v>
      </c>
    </row>
    <row r="214" spans="26:93" s="42" customFormat="1" ht="14" x14ac:dyDescent="0.25">
      <c r="Z214" s="134"/>
      <c r="AA214" s="134"/>
      <c r="AC214" s="134"/>
      <c r="AD214" s="135"/>
      <c r="AG214" s="136"/>
      <c r="AH214" s="136"/>
      <c r="AJ214" s="134"/>
      <c r="AQ214" s="134"/>
      <c r="AU214" s="134"/>
      <c r="AW214" s="134"/>
      <c r="BA214" s="134"/>
      <c r="BB214" s="134"/>
      <c r="BD214" s="134"/>
      <c r="BG214" s="235"/>
      <c r="BH214" s="582" t="s">
        <v>432</v>
      </c>
      <c r="BI214" s="170"/>
      <c r="BJ214" s="582" t="s">
        <v>393</v>
      </c>
      <c r="BK214" s="170"/>
      <c r="BL214" s="582" t="s">
        <v>302</v>
      </c>
      <c r="BM214" s="582" t="s">
        <v>302</v>
      </c>
      <c r="BN214" s="582" t="s">
        <v>303</v>
      </c>
      <c r="BO214" s="37"/>
      <c r="BP214" s="37"/>
      <c r="BQ214" s="37"/>
      <c r="BR214" s="37"/>
      <c r="BS214" s="37"/>
      <c r="BT214" s="37"/>
      <c r="BU214" s="39"/>
      <c r="BV214" s="37"/>
      <c r="BW214" s="37"/>
      <c r="BX214" s="39"/>
      <c r="BY214" s="39"/>
      <c r="BZ214" s="39"/>
      <c r="CA214" s="39"/>
      <c r="CB214" s="37"/>
      <c r="CC214" s="37"/>
      <c r="CD214" s="39"/>
      <c r="CE214" s="39"/>
      <c r="CF214" s="39"/>
      <c r="CG214" s="39"/>
      <c r="CH214" s="37"/>
      <c r="CI214" s="37"/>
      <c r="CJ214" s="39"/>
      <c r="CK214" s="39"/>
      <c r="CL214" s="39"/>
      <c r="CM214" s="40"/>
      <c r="CN214" s="41"/>
      <c r="CO214" s="41" t="str">
        <f t="shared" si="82"/>
        <v>Incertidumbre (+/- %)</v>
      </c>
    </row>
    <row r="215" spans="26:93" s="42" customFormat="1" ht="41.25" customHeight="1" thickBot="1" x14ac:dyDescent="0.3">
      <c r="Z215" s="134"/>
      <c r="AA215" s="134"/>
      <c r="AC215" s="134"/>
      <c r="AD215" s="135"/>
      <c r="AG215" s="136"/>
      <c r="AH215" s="136"/>
      <c r="AJ215" s="134"/>
      <c r="AQ215" s="134"/>
      <c r="AU215" s="134"/>
      <c r="AW215" s="134"/>
      <c r="BA215" s="134"/>
      <c r="BB215" s="134"/>
      <c r="BD215" s="134"/>
      <c r="BG215" s="235"/>
      <c r="BH215" s="583"/>
      <c r="BI215" s="171" t="s">
        <v>308</v>
      </c>
      <c r="BJ215" s="583"/>
      <c r="BK215" s="171" t="s">
        <v>309</v>
      </c>
      <c r="BL215" s="583"/>
      <c r="BM215" s="583"/>
      <c r="BN215" s="583"/>
      <c r="BO215" s="37"/>
      <c r="BP215" s="37"/>
      <c r="BQ215" s="37"/>
      <c r="BR215" s="37"/>
      <c r="BS215" s="37"/>
      <c r="BT215" s="37"/>
      <c r="BU215" s="39"/>
      <c r="BV215" s="37"/>
      <c r="BW215" s="37"/>
      <c r="BX215" s="39"/>
      <c r="BY215" s="39"/>
      <c r="BZ215" s="39"/>
      <c r="CA215" s="39"/>
      <c r="CB215" s="37"/>
      <c r="CC215" s="37"/>
      <c r="CD215" s="39"/>
      <c r="CE215" s="39"/>
      <c r="CF215" s="39"/>
      <c r="CG215" s="39"/>
      <c r="CH215" s="37"/>
      <c r="CI215" s="37"/>
      <c r="CJ215" s="39"/>
      <c r="CK215" s="39"/>
      <c r="CL215" s="39"/>
      <c r="CM215" s="40"/>
      <c r="CN215" s="41"/>
      <c r="CO215" s="41">
        <f t="shared" si="82"/>
        <v>0</v>
      </c>
    </row>
    <row r="216" spans="26:93" s="42" customFormat="1" ht="18" thickBot="1" x14ac:dyDescent="0.3">
      <c r="Z216" s="134"/>
      <c r="AA216" s="134"/>
      <c r="AC216" s="134"/>
      <c r="AD216" s="135"/>
      <c r="AG216" s="136"/>
      <c r="AH216" s="136"/>
      <c r="AJ216" s="134"/>
      <c r="AQ216" s="134"/>
      <c r="AU216" s="134"/>
      <c r="AW216" s="134"/>
      <c r="BA216" s="134"/>
      <c r="BB216" s="134"/>
      <c r="BD216" s="134"/>
      <c r="BG216" s="235"/>
      <c r="BH216" s="177" t="s">
        <v>247</v>
      </c>
      <c r="BI216" s="174" t="s">
        <v>272</v>
      </c>
      <c r="BJ216" s="188">
        <v>1</v>
      </c>
      <c r="BK216" s="174" t="s">
        <v>395</v>
      </c>
      <c r="BL216" s="176">
        <v>0.01</v>
      </c>
      <c r="BM216" s="176">
        <v>0.5</v>
      </c>
      <c r="BN216" s="175" t="s">
        <v>396</v>
      </c>
      <c r="BO216" s="37"/>
      <c r="BP216" s="37"/>
      <c r="BQ216" s="37"/>
      <c r="BR216" s="37"/>
      <c r="BS216" s="37"/>
      <c r="BT216" s="37"/>
      <c r="BU216" s="39"/>
      <c r="BV216" s="37"/>
      <c r="BW216" s="37"/>
      <c r="BX216" s="39"/>
      <c r="BY216" s="39"/>
      <c r="BZ216" s="39"/>
      <c r="CA216" s="39"/>
      <c r="CB216" s="37"/>
      <c r="CC216" s="37"/>
      <c r="CD216" s="39"/>
      <c r="CE216" s="39"/>
      <c r="CF216" s="39"/>
      <c r="CG216" s="39"/>
      <c r="CH216" s="37"/>
      <c r="CI216" s="37"/>
      <c r="CJ216" s="39"/>
      <c r="CK216" s="39"/>
      <c r="CL216" s="39"/>
      <c r="CM216" s="40"/>
      <c r="CN216" s="41">
        <v>0.01</v>
      </c>
      <c r="CO216" s="41">
        <f t="shared" si="82"/>
        <v>0.5</v>
      </c>
    </row>
    <row r="217" spans="26:93" s="42" customFormat="1" x14ac:dyDescent="0.25">
      <c r="Z217" s="134"/>
      <c r="AA217" s="134"/>
      <c r="AC217" s="134"/>
      <c r="AD217" s="135"/>
      <c r="AG217" s="136"/>
      <c r="AH217" s="136"/>
      <c r="AJ217" s="134"/>
      <c r="AQ217" s="134"/>
      <c r="AU217" s="134"/>
      <c r="AW217" s="134"/>
      <c r="BA217" s="134"/>
      <c r="BB217" s="134"/>
      <c r="BD217" s="134"/>
      <c r="BG217" s="235"/>
      <c r="BH217" s="189"/>
      <c r="BI217" s="157"/>
      <c r="BJ217" s="157"/>
      <c r="BK217" s="157"/>
      <c r="BL217" s="190"/>
      <c r="BM217" s="190"/>
      <c r="BN217" s="190"/>
      <c r="BO217" s="37"/>
      <c r="BP217" s="37"/>
      <c r="BQ217" s="37"/>
      <c r="BR217" s="37"/>
      <c r="BS217" s="37"/>
      <c r="BT217" s="37"/>
      <c r="BU217" s="39"/>
      <c r="BV217" s="37"/>
      <c r="BW217" s="37"/>
      <c r="BX217" s="39"/>
      <c r="BY217" s="39"/>
      <c r="BZ217" s="39"/>
      <c r="CA217" s="39"/>
      <c r="CB217" s="37"/>
      <c r="CC217" s="37"/>
      <c r="CD217" s="39"/>
      <c r="CE217" s="39"/>
      <c r="CF217" s="39"/>
      <c r="CG217" s="39"/>
      <c r="CH217" s="37"/>
      <c r="CI217" s="37"/>
      <c r="CJ217" s="39"/>
      <c r="CK217" s="39"/>
      <c r="CL217" s="39"/>
      <c r="CM217" s="40"/>
      <c r="CN217" s="41"/>
      <c r="CO217" s="41">
        <f t="shared" si="82"/>
        <v>0</v>
      </c>
    </row>
    <row r="218" spans="26:93" s="42" customFormat="1" ht="14" thickBot="1" x14ac:dyDescent="0.3">
      <c r="Z218" s="134"/>
      <c r="AA218" s="134"/>
      <c r="AC218" s="134"/>
      <c r="AD218" s="135"/>
      <c r="AG218" s="136"/>
      <c r="AH218" s="136"/>
      <c r="AJ218" s="134"/>
      <c r="AQ218" s="134"/>
      <c r="AU218" s="134"/>
      <c r="AW218" s="134"/>
      <c r="BA218" s="134"/>
      <c r="BB218" s="134"/>
      <c r="BD218" s="134"/>
      <c r="BG218" s="235"/>
      <c r="BH218" s="189"/>
      <c r="BI218" s="157"/>
      <c r="BJ218" s="157"/>
      <c r="BK218" s="157"/>
      <c r="BL218" s="190"/>
      <c r="BM218" s="190"/>
      <c r="BN218" s="190"/>
      <c r="BO218" s="37"/>
      <c r="BP218" s="37"/>
      <c r="BQ218" s="37"/>
      <c r="BR218" s="37"/>
      <c r="BS218" s="37"/>
      <c r="BT218" s="37"/>
      <c r="BU218" s="39"/>
      <c r="BV218" s="37"/>
      <c r="BW218" s="37"/>
      <c r="BX218" s="39"/>
      <c r="BY218" s="39"/>
      <c r="BZ218" s="39"/>
      <c r="CA218" s="39"/>
      <c r="CB218" s="37"/>
      <c r="CC218" s="37"/>
      <c r="CD218" s="39"/>
      <c r="CE218" s="39"/>
      <c r="CF218" s="39"/>
      <c r="CG218" s="39"/>
      <c r="CH218" s="37"/>
      <c r="CI218" s="37"/>
      <c r="CJ218" s="39"/>
      <c r="CK218" s="39"/>
      <c r="CL218" s="39"/>
      <c r="CM218" s="40"/>
      <c r="CN218" s="41"/>
      <c r="CO218" s="41">
        <f t="shared" si="82"/>
        <v>0</v>
      </c>
    </row>
    <row r="219" spans="26:93" s="42" customFormat="1" ht="14" x14ac:dyDescent="0.25">
      <c r="Z219" s="134"/>
      <c r="AA219" s="134"/>
      <c r="AC219" s="134"/>
      <c r="AD219" s="135"/>
      <c r="AG219" s="136"/>
      <c r="AH219" s="136"/>
      <c r="AJ219" s="134"/>
      <c r="AQ219" s="134"/>
      <c r="AU219" s="134"/>
      <c r="AW219" s="134"/>
      <c r="BA219" s="134"/>
      <c r="BB219" s="134"/>
      <c r="BD219" s="134"/>
      <c r="BG219" s="235"/>
      <c r="BH219" s="582" t="s">
        <v>433</v>
      </c>
      <c r="BI219" s="170"/>
      <c r="BJ219" s="582" t="s">
        <v>393</v>
      </c>
      <c r="BK219" s="170"/>
      <c r="BL219" s="582" t="s">
        <v>302</v>
      </c>
      <c r="BM219" s="582" t="s">
        <v>302</v>
      </c>
      <c r="BN219" s="582" t="s">
        <v>303</v>
      </c>
      <c r="BO219" s="170"/>
      <c r="BP219" s="582" t="s">
        <v>393</v>
      </c>
      <c r="BQ219" s="170"/>
      <c r="BR219" s="582" t="s">
        <v>302</v>
      </c>
      <c r="BS219" s="582" t="s">
        <v>302</v>
      </c>
      <c r="BT219" s="582" t="s">
        <v>303</v>
      </c>
      <c r="BU219" s="39"/>
      <c r="BV219" s="37"/>
      <c r="BW219" s="37"/>
      <c r="BX219" s="39"/>
      <c r="BY219" s="39"/>
      <c r="BZ219" s="39"/>
      <c r="CA219" s="39"/>
      <c r="CB219" s="37"/>
      <c r="CC219" s="37"/>
      <c r="CD219" s="39"/>
      <c r="CE219" s="39"/>
      <c r="CF219" s="39"/>
      <c r="CG219" s="39"/>
      <c r="CH219" s="37"/>
      <c r="CI219" s="37"/>
      <c r="CJ219" s="39"/>
      <c r="CK219" s="39"/>
      <c r="CL219" s="39"/>
      <c r="CM219" s="40"/>
      <c r="CN219" s="41"/>
      <c r="CO219" s="41" t="str">
        <f t="shared" si="82"/>
        <v>Incertidumbre (+/- %)</v>
      </c>
    </row>
    <row r="220" spans="26:93" s="42" customFormat="1" ht="14.5" thickBot="1" x14ac:dyDescent="0.3">
      <c r="Z220" s="134"/>
      <c r="AA220" s="134"/>
      <c r="AC220" s="134"/>
      <c r="AD220" s="135"/>
      <c r="AG220" s="136"/>
      <c r="AH220" s="136"/>
      <c r="AJ220" s="134"/>
      <c r="AQ220" s="134"/>
      <c r="AU220" s="134"/>
      <c r="AW220" s="134"/>
      <c r="BA220" s="134"/>
      <c r="BB220" s="134"/>
      <c r="BD220" s="134"/>
      <c r="BG220" s="235"/>
      <c r="BH220" s="583"/>
      <c r="BI220" s="171" t="s">
        <v>308</v>
      </c>
      <c r="BJ220" s="583"/>
      <c r="BK220" s="171" t="s">
        <v>309</v>
      </c>
      <c r="BL220" s="583"/>
      <c r="BM220" s="583"/>
      <c r="BN220" s="583"/>
      <c r="BO220" s="171" t="s">
        <v>308</v>
      </c>
      <c r="BP220" s="583"/>
      <c r="BQ220" s="171" t="s">
        <v>309</v>
      </c>
      <c r="BR220" s="583"/>
      <c r="BS220" s="583"/>
      <c r="BT220" s="583"/>
      <c r="BU220" s="39"/>
      <c r="BV220" s="37"/>
      <c r="BW220" s="37"/>
      <c r="BX220" s="39"/>
      <c r="BY220" s="39"/>
      <c r="BZ220" s="39"/>
      <c r="CA220" s="39"/>
      <c r="CB220" s="37"/>
      <c r="CC220" s="37"/>
      <c r="CD220" s="39"/>
      <c r="CE220" s="39"/>
      <c r="CF220" s="39"/>
      <c r="CG220" s="39"/>
      <c r="CH220" s="37"/>
      <c r="CI220" s="37"/>
      <c r="CJ220" s="39"/>
      <c r="CK220" s="39"/>
      <c r="CL220" s="39"/>
      <c r="CM220" s="40"/>
      <c r="CN220" s="41"/>
      <c r="CO220" s="41">
        <f t="shared" si="82"/>
        <v>0</v>
      </c>
    </row>
    <row r="221" spans="26:93" s="42" customFormat="1" ht="18" thickBot="1" x14ac:dyDescent="0.3">
      <c r="Z221" s="134"/>
      <c r="AA221" s="134"/>
      <c r="AC221" s="134"/>
      <c r="AD221" s="135"/>
      <c r="AG221" s="136"/>
      <c r="AH221" s="136"/>
      <c r="AJ221" s="134"/>
      <c r="AQ221" s="134"/>
      <c r="AU221" s="134"/>
      <c r="AW221" s="134"/>
      <c r="BA221" s="134"/>
      <c r="BB221" s="134"/>
      <c r="BD221" s="134"/>
      <c r="BG221" s="235"/>
      <c r="BH221" s="473" t="s">
        <v>251</v>
      </c>
      <c r="BI221" s="174" t="s">
        <v>272</v>
      </c>
      <c r="BJ221" s="188">
        <f>BI466</f>
        <v>23500</v>
      </c>
      <c r="BK221" s="174" t="s">
        <v>395</v>
      </c>
      <c r="BL221" s="176">
        <v>0.01</v>
      </c>
      <c r="BM221" s="176">
        <v>0.5</v>
      </c>
      <c r="BN221" s="175" t="s">
        <v>396</v>
      </c>
      <c r="BO221" s="174" t="s">
        <v>272</v>
      </c>
      <c r="BP221" s="188">
        <v>22800</v>
      </c>
      <c r="BQ221" s="174" t="s">
        <v>395</v>
      </c>
      <c r="BR221" s="176">
        <v>0.01</v>
      </c>
      <c r="BS221" s="176">
        <v>0.5</v>
      </c>
      <c r="BT221" s="175" t="s">
        <v>397</v>
      </c>
      <c r="BU221" s="39"/>
      <c r="BV221" s="37"/>
      <c r="BW221" s="37"/>
      <c r="BX221" s="39"/>
      <c r="BY221" s="39"/>
      <c r="BZ221" s="39"/>
      <c r="CA221" s="39"/>
      <c r="CB221" s="37"/>
      <c r="CC221" s="37"/>
      <c r="CD221" s="39"/>
      <c r="CE221" s="39"/>
      <c r="CF221" s="39"/>
      <c r="CG221" s="39"/>
      <c r="CH221" s="37"/>
      <c r="CI221" s="37"/>
      <c r="CJ221" s="39"/>
      <c r="CK221" s="39"/>
      <c r="CL221" s="39"/>
      <c r="CM221" s="40"/>
      <c r="CN221" s="41">
        <v>0.01</v>
      </c>
      <c r="CO221" s="41">
        <f t="shared" si="82"/>
        <v>0.5</v>
      </c>
    </row>
    <row r="222" spans="26:93" s="42" customFormat="1" x14ac:dyDescent="0.25">
      <c r="Z222" s="134"/>
      <c r="AA222" s="134"/>
      <c r="AC222" s="134"/>
      <c r="AD222" s="135"/>
      <c r="AG222" s="136"/>
      <c r="AH222" s="136"/>
      <c r="AJ222" s="134"/>
      <c r="AQ222" s="134"/>
      <c r="AU222" s="134"/>
      <c r="AW222" s="134"/>
      <c r="BA222" s="134"/>
      <c r="BB222" s="134"/>
      <c r="BD222" s="134"/>
      <c r="BG222" s="235"/>
      <c r="BH222" s="189"/>
      <c r="BI222" s="157"/>
      <c r="BJ222" s="157"/>
      <c r="BK222" s="157"/>
      <c r="BL222" s="190"/>
      <c r="BM222" s="190"/>
      <c r="BN222" s="190"/>
      <c r="BO222" s="37"/>
      <c r="BP222" s="37"/>
      <c r="BQ222" s="37"/>
      <c r="BR222" s="37"/>
      <c r="BS222" s="37"/>
      <c r="BT222" s="37"/>
      <c r="BU222" s="39"/>
      <c r="BV222" s="37"/>
      <c r="BW222" s="37"/>
      <c r="BX222" s="39"/>
      <c r="BY222" s="39"/>
      <c r="BZ222" s="39"/>
      <c r="CA222" s="39"/>
      <c r="CB222" s="37"/>
      <c r="CC222" s="37"/>
      <c r="CD222" s="39"/>
      <c r="CE222" s="39"/>
      <c r="CF222" s="39"/>
      <c r="CG222" s="39"/>
      <c r="CH222" s="37"/>
      <c r="CI222" s="37"/>
      <c r="CJ222" s="39"/>
      <c r="CK222" s="39"/>
      <c r="CL222" s="39"/>
      <c r="CM222" s="40"/>
      <c r="CN222" s="41"/>
      <c r="CO222" s="41">
        <f t="shared" si="82"/>
        <v>0</v>
      </c>
    </row>
    <row r="223" spans="26:93" s="42" customFormat="1" x14ac:dyDescent="0.25">
      <c r="Z223" s="134"/>
      <c r="AA223" s="134"/>
      <c r="AC223" s="134"/>
      <c r="AD223" s="135"/>
      <c r="AG223" s="136"/>
      <c r="AH223" s="136"/>
      <c r="AJ223" s="134"/>
      <c r="AQ223" s="134"/>
      <c r="AU223" s="134"/>
      <c r="AW223" s="134"/>
      <c r="BA223" s="134"/>
      <c r="BB223" s="134"/>
      <c r="BD223" s="134"/>
      <c r="BG223" s="235"/>
      <c r="BH223" s="189"/>
      <c r="BI223" s="157"/>
      <c r="BJ223" s="157"/>
      <c r="BK223" s="157"/>
      <c r="BL223" s="190"/>
      <c r="BM223" s="190"/>
      <c r="BN223" s="190"/>
      <c r="BO223" s="37"/>
      <c r="BP223" s="37"/>
      <c r="BQ223" s="37"/>
      <c r="BR223" s="37"/>
      <c r="BS223" s="37"/>
      <c r="BT223" s="37"/>
      <c r="BU223" s="39"/>
      <c r="BV223" s="37"/>
      <c r="BW223" s="37"/>
      <c r="BX223" s="39"/>
      <c r="BY223" s="39"/>
      <c r="BZ223" s="39"/>
      <c r="CA223" s="39"/>
      <c r="CB223" s="37"/>
      <c r="CC223" s="37"/>
      <c r="CD223" s="39"/>
      <c r="CE223" s="39"/>
      <c r="CF223" s="39"/>
      <c r="CG223" s="39"/>
      <c r="CH223" s="37"/>
      <c r="CI223" s="37"/>
      <c r="CJ223" s="39"/>
      <c r="CK223" s="39"/>
      <c r="CL223" s="39"/>
      <c r="CM223" s="40"/>
      <c r="CN223" s="41"/>
      <c r="CO223" s="41">
        <f t="shared" si="82"/>
        <v>0</v>
      </c>
    </row>
    <row r="224" spans="26:93" s="42" customFormat="1" x14ac:dyDescent="0.25">
      <c r="Z224" s="134"/>
      <c r="AA224" s="134"/>
      <c r="AC224" s="134"/>
      <c r="AD224" s="135"/>
      <c r="AG224" s="136"/>
      <c r="AH224" s="136"/>
      <c r="AJ224" s="134"/>
      <c r="AQ224" s="134"/>
      <c r="AU224" s="134"/>
      <c r="AW224" s="134"/>
      <c r="BA224" s="134"/>
      <c r="BB224" s="134"/>
      <c r="BD224" s="134"/>
      <c r="BG224" s="235"/>
      <c r="BH224" s="189"/>
      <c r="BI224" s="157"/>
      <c r="BJ224" s="157"/>
      <c r="BK224" s="157"/>
      <c r="BL224" s="190"/>
      <c r="BM224" s="190"/>
      <c r="BN224" s="190"/>
      <c r="BO224" s="37"/>
      <c r="BP224" s="37"/>
      <c r="BQ224" s="37"/>
      <c r="BR224" s="37"/>
      <c r="BS224" s="37"/>
      <c r="BT224" s="37"/>
      <c r="BU224" s="39"/>
      <c r="BV224" s="37"/>
      <c r="BW224" s="37"/>
      <c r="BX224" s="39"/>
      <c r="BY224" s="39"/>
      <c r="BZ224" s="39"/>
      <c r="CA224" s="39"/>
      <c r="CB224" s="37"/>
      <c r="CC224" s="37"/>
      <c r="CD224" s="39"/>
      <c r="CE224" s="39"/>
      <c r="CF224" s="39"/>
      <c r="CG224" s="39"/>
      <c r="CH224" s="37"/>
      <c r="CI224" s="37"/>
      <c r="CJ224" s="39"/>
      <c r="CK224" s="39"/>
      <c r="CL224" s="39"/>
      <c r="CM224" s="40"/>
      <c r="CN224" s="41"/>
      <c r="CO224" s="41">
        <f t="shared" si="82"/>
        <v>0</v>
      </c>
    </row>
    <row r="225" spans="26:93" s="42" customFormat="1" ht="14" thickBot="1" x14ac:dyDescent="0.3">
      <c r="Z225" s="134"/>
      <c r="AA225" s="134"/>
      <c r="AC225" s="134"/>
      <c r="AD225" s="135"/>
      <c r="AG225" s="136"/>
      <c r="AH225" s="136"/>
      <c r="AJ225" s="134"/>
      <c r="AQ225" s="134"/>
      <c r="AU225" s="134"/>
      <c r="AW225" s="134"/>
      <c r="BA225" s="134"/>
      <c r="BB225" s="134"/>
      <c r="BD225" s="134"/>
      <c r="BG225" s="235"/>
      <c r="BH225" s="36"/>
      <c r="BI225" s="37"/>
      <c r="BJ225" s="37"/>
      <c r="BK225" s="37"/>
      <c r="BL225" s="38"/>
      <c r="BM225" s="38"/>
      <c r="BN225" s="38"/>
      <c r="BO225" s="37"/>
      <c r="BP225" s="37"/>
      <c r="BQ225" s="37"/>
      <c r="BR225" s="37"/>
      <c r="BS225" s="37"/>
      <c r="BT225" s="37"/>
      <c r="BU225" s="39"/>
      <c r="BV225" s="37"/>
      <c r="BW225" s="37"/>
      <c r="BX225" s="39"/>
      <c r="BY225" s="39"/>
      <c r="BZ225" s="39"/>
      <c r="CA225" s="39"/>
      <c r="CB225" s="37"/>
      <c r="CC225" s="37"/>
      <c r="CD225" s="39"/>
      <c r="CE225" s="39"/>
      <c r="CF225" s="39"/>
      <c r="CG225" s="39"/>
      <c r="CH225" s="37"/>
      <c r="CI225" s="37"/>
      <c r="CJ225" s="39"/>
      <c r="CK225" s="39"/>
      <c r="CL225" s="39"/>
      <c r="CM225" s="40"/>
      <c r="CN225" s="41"/>
      <c r="CO225" s="41">
        <f t="shared" si="82"/>
        <v>0</v>
      </c>
    </row>
    <row r="226" spans="26:93" s="42" customFormat="1" ht="27" customHeight="1" x14ac:dyDescent="0.25">
      <c r="Z226" s="134"/>
      <c r="AA226" s="134"/>
      <c r="AC226" s="134"/>
      <c r="AD226" s="135"/>
      <c r="AG226" s="136"/>
      <c r="AH226" s="136"/>
      <c r="AJ226" s="134"/>
      <c r="AQ226" s="134"/>
      <c r="AU226" s="134"/>
      <c r="AW226" s="134"/>
      <c r="BA226" s="134"/>
      <c r="BB226" s="134"/>
      <c r="BD226" s="134"/>
      <c r="BG226" s="235"/>
      <c r="BH226" s="582" t="s">
        <v>434</v>
      </c>
      <c r="BI226" s="470"/>
      <c r="BJ226" s="582" t="s">
        <v>393</v>
      </c>
      <c r="BK226" s="170"/>
      <c r="BL226" s="582" t="s">
        <v>302</v>
      </c>
      <c r="BM226" s="582" t="s">
        <v>302</v>
      </c>
      <c r="BN226" s="582" t="s">
        <v>303</v>
      </c>
      <c r="BO226" s="37"/>
      <c r="BP226" s="37"/>
      <c r="BQ226" s="37"/>
      <c r="BR226" s="37"/>
      <c r="BS226" s="37"/>
      <c r="BT226" s="37"/>
      <c r="BU226" s="39"/>
      <c r="BV226" s="37"/>
      <c r="BW226" s="37"/>
      <c r="BX226" s="39"/>
      <c r="BY226" s="39"/>
      <c r="BZ226" s="39"/>
      <c r="CA226" s="39"/>
      <c r="CB226" s="37"/>
      <c r="CC226" s="37"/>
      <c r="CD226" s="39"/>
      <c r="CE226" s="39"/>
      <c r="CF226" s="39"/>
      <c r="CG226" s="39"/>
      <c r="CH226" s="37"/>
      <c r="CI226" s="37"/>
      <c r="CJ226" s="39"/>
      <c r="CK226" s="39"/>
      <c r="CL226" s="39"/>
      <c r="CM226" s="40"/>
      <c r="CN226" s="41"/>
      <c r="CO226" s="41" t="str">
        <f t="shared" si="82"/>
        <v>Incertidumbre (+/- %)</v>
      </c>
    </row>
    <row r="227" spans="26:93" s="42" customFormat="1" ht="34.5" customHeight="1" thickBot="1" x14ac:dyDescent="0.3">
      <c r="Z227" s="134"/>
      <c r="AA227" s="134"/>
      <c r="AC227" s="134"/>
      <c r="AD227" s="135"/>
      <c r="AG227" s="136"/>
      <c r="AH227" s="136"/>
      <c r="AJ227" s="134"/>
      <c r="AQ227" s="134"/>
      <c r="AU227" s="134"/>
      <c r="AW227" s="134"/>
      <c r="BA227" s="134"/>
      <c r="BB227" s="134"/>
      <c r="BC227" s="30"/>
      <c r="BD227" s="32"/>
      <c r="BE227" s="30"/>
      <c r="BF227" s="30"/>
      <c r="BG227" s="235"/>
      <c r="BH227" s="583"/>
      <c r="BI227" s="471" t="s">
        <v>308</v>
      </c>
      <c r="BJ227" s="583"/>
      <c r="BK227" s="171" t="s">
        <v>309</v>
      </c>
      <c r="BL227" s="583"/>
      <c r="BM227" s="583"/>
      <c r="BN227" s="583"/>
      <c r="BO227" s="37"/>
      <c r="BP227" s="37"/>
      <c r="BQ227" s="37"/>
      <c r="BR227" s="37"/>
      <c r="BS227" s="37"/>
      <c r="BT227" s="37"/>
      <c r="BU227" s="39"/>
      <c r="BV227" s="37"/>
      <c r="BW227" s="37"/>
      <c r="BX227" s="39"/>
      <c r="BY227" s="39"/>
      <c r="BZ227" s="39"/>
      <c r="CA227" s="39"/>
      <c r="CB227" s="37"/>
      <c r="CC227" s="37"/>
      <c r="CD227" s="39"/>
      <c r="CE227" s="39"/>
      <c r="CF227" s="39"/>
      <c r="CG227" s="39"/>
      <c r="CH227" s="37"/>
      <c r="CI227" s="37"/>
      <c r="CJ227" s="39"/>
      <c r="CK227" s="39"/>
      <c r="CL227" s="39"/>
      <c r="CM227" s="40"/>
      <c r="CN227" s="41"/>
      <c r="CO227" s="41">
        <f t="shared" si="82"/>
        <v>0</v>
      </c>
    </row>
    <row r="228" spans="26:93" s="42" customFormat="1" ht="41" thickBot="1" x14ac:dyDescent="0.3">
      <c r="Z228" s="134"/>
      <c r="AA228" s="134"/>
      <c r="AC228" s="134"/>
      <c r="AD228" s="135"/>
      <c r="AG228" s="136"/>
      <c r="AH228" s="136"/>
      <c r="AJ228" s="134"/>
      <c r="AQ228" s="134"/>
      <c r="AU228" s="134"/>
      <c r="AW228" s="134"/>
      <c r="BA228" s="134"/>
      <c r="BB228" s="134"/>
      <c r="BC228" s="30">
        <f>(10+0.9)*(0.67)</f>
        <v>7.3030000000000008</v>
      </c>
      <c r="BD228" s="30">
        <f>25*(0.67)</f>
        <v>16.75</v>
      </c>
      <c r="BE228" s="30">
        <f>(18+2.5)*(0.67)</f>
        <v>13.735000000000001</v>
      </c>
      <c r="BF228" s="30">
        <f>(25+4)*(0.67)</f>
        <v>19.43</v>
      </c>
      <c r="BG228" s="242" t="s">
        <v>435</v>
      </c>
      <c r="BH228" s="177" t="s">
        <v>436</v>
      </c>
      <c r="BI228" s="191" t="s">
        <v>325</v>
      </c>
      <c r="BJ228" s="188">
        <f>BF228</f>
        <v>19.43</v>
      </c>
      <c r="BK228" s="177" t="s">
        <v>437</v>
      </c>
      <c r="BL228" s="176">
        <v>0.5</v>
      </c>
      <c r="BM228" s="176">
        <v>3</v>
      </c>
      <c r="BN228" s="175" t="s">
        <v>438</v>
      </c>
      <c r="BO228" s="37"/>
      <c r="BP228" s="36"/>
      <c r="BQ228" s="36"/>
      <c r="BR228" s="37"/>
      <c r="BS228" s="37"/>
      <c r="BT228" s="37"/>
      <c r="BU228" s="39"/>
      <c r="BV228" s="37"/>
      <c r="BW228" s="188">
        <v>312.39</v>
      </c>
      <c r="BX228" s="177" t="s">
        <v>439</v>
      </c>
      <c r="BY228" s="39"/>
      <c r="BZ228" s="39"/>
      <c r="CA228" s="39"/>
      <c r="CB228" s="37"/>
      <c r="CC228" s="37"/>
      <c r="CD228" s="39"/>
      <c r="CE228" s="39"/>
      <c r="CF228" s="39"/>
      <c r="CG228" s="39"/>
      <c r="CH228" s="37"/>
      <c r="CI228" s="37"/>
      <c r="CJ228" s="39"/>
      <c r="CK228" s="39"/>
      <c r="CL228" s="39"/>
      <c r="CM228" s="40"/>
      <c r="CN228" s="41">
        <v>0.05</v>
      </c>
      <c r="CO228" s="41">
        <f t="shared" si="82"/>
        <v>3</v>
      </c>
    </row>
    <row r="229" spans="26:93" s="42" customFormat="1" ht="41" thickBot="1" x14ac:dyDescent="0.3">
      <c r="Z229" s="134"/>
      <c r="AA229" s="134"/>
      <c r="AC229" s="134"/>
      <c r="AD229" s="135"/>
      <c r="AG229" s="136"/>
      <c r="AH229" s="136"/>
      <c r="AJ229" s="134"/>
      <c r="AQ229" s="134"/>
      <c r="AU229" s="134"/>
      <c r="AW229" s="134"/>
      <c r="BA229" s="134"/>
      <c r="BB229" s="134"/>
      <c r="BC229" s="30">
        <f>(0.31+0)*(0.67)</f>
        <v>0.20770000000000002</v>
      </c>
      <c r="BD229" s="30">
        <f>25*(0.67)</f>
        <v>16.75</v>
      </c>
      <c r="BE229" s="30">
        <f>(1.2+0.1)*(0.67)</f>
        <v>0.87100000000000011</v>
      </c>
      <c r="BF229" s="30">
        <f>(2+0.2)*(0.67)</f>
        <v>1.4740000000000002</v>
      </c>
      <c r="BG229" s="242" t="s">
        <v>435</v>
      </c>
      <c r="BH229" s="177" t="s">
        <v>440</v>
      </c>
      <c r="BI229" s="191" t="s">
        <v>325</v>
      </c>
      <c r="BJ229" s="188">
        <f>BF229</f>
        <v>1.4740000000000002</v>
      </c>
      <c r="BK229" s="177" t="s">
        <v>437</v>
      </c>
      <c r="BL229" s="176">
        <v>0.5</v>
      </c>
      <c r="BM229" s="176">
        <v>3</v>
      </c>
      <c r="BN229" s="175" t="s">
        <v>441</v>
      </c>
      <c r="BO229" s="37"/>
      <c r="BP229" s="36"/>
      <c r="BQ229" s="36"/>
      <c r="BR229" s="37"/>
      <c r="BS229" s="37"/>
      <c r="BT229" s="37"/>
      <c r="BU229" s="39"/>
      <c r="BV229" s="37"/>
      <c r="BW229" s="188">
        <v>20.94</v>
      </c>
      <c r="BX229" s="177" t="s">
        <v>439</v>
      </c>
      <c r="BY229" s="39"/>
      <c r="BZ229" s="39"/>
      <c r="CA229" s="39"/>
      <c r="CB229" s="37"/>
      <c r="CC229" s="37"/>
      <c r="CD229" s="39"/>
      <c r="CE229" s="39"/>
      <c r="CF229" s="39"/>
      <c r="CG229" s="39"/>
      <c r="CH229" s="37"/>
      <c r="CI229" s="37"/>
      <c r="CJ229" s="39"/>
      <c r="CK229" s="39"/>
      <c r="CL229" s="39"/>
      <c r="CM229" s="40"/>
      <c r="CN229" s="41">
        <v>0.05</v>
      </c>
      <c r="CO229" s="41">
        <f t="shared" si="82"/>
        <v>3</v>
      </c>
    </row>
    <row r="230" spans="26:93" s="42" customFormat="1" ht="54.5" thickBot="1" x14ac:dyDescent="0.3">
      <c r="Z230" s="134"/>
      <c r="AA230" s="134"/>
      <c r="AC230" s="134"/>
      <c r="AD230" s="135"/>
      <c r="AG230" s="136"/>
      <c r="AH230" s="136"/>
      <c r="AJ230" s="134"/>
      <c r="AQ230" s="134"/>
      <c r="AU230" s="134"/>
      <c r="AW230" s="134"/>
      <c r="BA230" s="134"/>
      <c r="BB230" s="134"/>
      <c r="BC230" s="30"/>
      <c r="BD230" s="32"/>
      <c r="BE230" s="30"/>
      <c r="BF230" s="30"/>
      <c r="BG230" s="242" t="s">
        <v>442</v>
      </c>
      <c r="BH230" s="473" t="s">
        <v>253</v>
      </c>
      <c r="BI230" s="191" t="s">
        <v>254</v>
      </c>
      <c r="BJ230" s="188">
        <v>22.265000000000001</v>
      </c>
      <c r="BK230" s="177" t="s">
        <v>443</v>
      </c>
      <c r="BL230" s="176">
        <v>0.9</v>
      </c>
      <c r="BM230" s="176">
        <v>1.06</v>
      </c>
      <c r="BN230" s="175" t="s">
        <v>444</v>
      </c>
      <c r="BO230" s="37"/>
      <c r="BP230" s="36"/>
      <c r="BQ230" s="36"/>
      <c r="BR230" s="37"/>
      <c r="BS230" s="37"/>
      <c r="BT230" s="37"/>
      <c r="BU230" s="39"/>
      <c r="BV230" s="37"/>
      <c r="BW230" s="188">
        <v>20.94</v>
      </c>
      <c r="BX230" s="177" t="s">
        <v>439</v>
      </c>
      <c r="BY230" s="39"/>
      <c r="BZ230" s="39"/>
      <c r="CA230" s="39"/>
      <c r="CB230" s="37"/>
      <c r="CC230" s="37"/>
      <c r="CD230" s="39"/>
      <c r="CE230" s="39"/>
      <c r="CF230" s="39"/>
      <c r="CG230" s="39"/>
      <c r="CH230" s="37"/>
      <c r="CI230" s="37"/>
      <c r="CJ230" s="39"/>
      <c r="CK230" s="39"/>
      <c r="CL230" s="39"/>
      <c r="CM230" s="40"/>
      <c r="CN230" s="41">
        <v>0.9</v>
      </c>
      <c r="CO230" s="41">
        <f t="shared" si="82"/>
        <v>1.06</v>
      </c>
    </row>
    <row r="231" spans="26:93" s="42" customFormat="1" ht="18" thickBot="1" x14ac:dyDescent="0.3">
      <c r="Z231" s="134"/>
      <c r="AA231" s="134"/>
      <c r="AC231" s="134"/>
      <c r="AD231" s="135"/>
      <c r="AG231" s="136"/>
      <c r="AH231" s="136"/>
      <c r="AJ231" s="134"/>
      <c r="AQ231" s="134"/>
      <c r="AU231" s="134"/>
      <c r="AW231" s="134"/>
      <c r="BA231" s="134"/>
      <c r="BB231" s="134"/>
      <c r="BC231" s="30"/>
      <c r="BD231" s="32"/>
      <c r="BE231" s="30"/>
      <c r="BF231" s="30"/>
      <c r="BG231" s="242" t="s">
        <v>445</v>
      </c>
      <c r="BH231" s="177" t="s">
        <v>446</v>
      </c>
      <c r="BI231" s="191" t="s">
        <v>325</v>
      </c>
      <c r="BJ231" s="188">
        <v>1E-4</v>
      </c>
      <c r="BK231" s="177" t="s">
        <v>447</v>
      </c>
      <c r="BL231" s="176">
        <v>0.1</v>
      </c>
      <c r="BM231" s="176">
        <v>0.25</v>
      </c>
      <c r="BN231" s="175" t="s">
        <v>429</v>
      </c>
      <c r="BO231" s="192" t="s">
        <v>325</v>
      </c>
      <c r="BP231" s="193">
        <v>560</v>
      </c>
      <c r="BQ231" s="192" t="s">
        <v>448</v>
      </c>
      <c r="BR231" s="194">
        <v>0.1</v>
      </c>
      <c r="BS231" s="194">
        <v>0.25</v>
      </c>
      <c r="BT231" s="175" t="s">
        <v>429</v>
      </c>
      <c r="BU231" s="39"/>
      <c r="BV231" s="37"/>
      <c r="BW231" s="188">
        <v>12.5</v>
      </c>
      <c r="BX231" s="177" t="s">
        <v>439</v>
      </c>
      <c r="BY231" s="39"/>
      <c r="BZ231" s="39"/>
      <c r="CA231" s="39"/>
      <c r="CB231" s="37"/>
      <c r="CC231" s="37"/>
      <c r="CD231" s="39"/>
      <c r="CE231" s="39"/>
      <c r="CF231" s="39"/>
      <c r="CG231" s="39"/>
      <c r="CH231" s="37"/>
      <c r="CI231" s="37"/>
      <c r="CJ231" s="39"/>
      <c r="CK231" s="39"/>
      <c r="CL231" s="39"/>
      <c r="CM231" s="40"/>
      <c r="CN231" s="41">
        <v>0.02</v>
      </c>
      <c r="CO231" s="41">
        <f t="shared" si="82"/>
        <v>0.25</v>
      </c>
    </row>
    <row r="232" spans="26:93" s="42" customFormat="1" ht="14" thickBot="1" x14ac:dyDescent="0.3">
      <c r="Z232" s="134"/>
      <c r="AA232" s="134"/>
      <c r="AC232" s="134"/>
      <c r="AD232" s="135"/>
      <c r="AG232" s="136"/>
      <c r="AH232" s="136"/>
      <c r="AJ232" s="134"/>
      <c r="AQ232" s="134"/>
      <c r="AU232" s="134"/>
      <c r="AW232" s="134"/>
      <c r="BA232" s="134"/>
      <c r="BB232" s="134"/>
      <c r="BC232" s="30"/>
      <c r="BD232" s="32"/>
      <c r="BE232" s="30"/>
      <c r="BF232" s="30"/>
      <c r="BG232" s="242" t="s">
        <v>445</v>
      </c>
      <c r="BH232" s="177" t="s">
        <v>449</v>
      </c>
      <c r="BI232" s="191" t="s">
        <v>325</v>
      </c>
      <c r="BJ232" s="188">
        <v>1000</v>
      </c>
      <c r="BK232" s="177" t="s">
        <v>447</v>
      </c>
      <c r="BL232" s="176">
        <v>0.02</v>
      </c>
      <c r="BM232" s="176">
        <v>0.5</v>
      </c>
      <c r="BN232" s="175" t="s">
        <v>450</v>
      </c>
      <c r="BO232" s="37"/>
      <c r="BP232" s="36"/>
      <c r="BQ232" s="36"/>
      <c r="BR232" s="37"/>
      <c r="BS232" s="37"/>
      <c r="BT232" s="37"/>
      <c r="BU232" s="39"/>
      <c r="BV232" s="37"/>
      <c r="BW232" s="188"/>
      <c r="BX232" s="177"/>
      <c r="BY232" s="39"/>
      <c r="BZ232" s="39"/>
      <c r="CA232" s="39"/>
      <c r="CB232" s="37"/>
      <c r="CC232" s="37"/>
      <c r="CD232" s="39"/>
      <c r="CE232" s="39"/>
      <c r="CF232" s="39"/>
      <c r="CG232" s="39"/>
      <c r="CH232" s="37"/>
      <c r="CI232" s="37"/>
      <c r="CJ232" s="39"/>
      <c r="CK232" s="39"/>
      <c r="CL232" s="39"/>
      <c r="CM232" s="40"/>
      <c r="CN232" s="41">
        <v>0.02</v>
      </c>
      <c r="CO232" s="41">
        <f t="shared" si="82"/>
        <v>0.5</v>
      </c>
    </row>
    <row r="233" spans="26:93" s="42" customFormat="1" ht="18" thickBot="1" x14ac:dyDescent="0.3">
      <c r="Z233" s="134"/>
      <c r="AA233" s="134"/>
      <c r="AC233" s="134"/>
      <c r="AD233" s="135"/>
      <c r="AG233" s="136"/>
      <c r="AH233" s="136"/>
      <c r="AJ233" s="134"/>
      <c r="AQ233" s="134"/>
      <c r="AU233" s="134"/>
      <c r="AW233" s="134"/>
      <c r="BA233" s="134"/>
      <c r="BB233" s="134"/>
      <c r="BC233" s="30"/>
      <c r="BD233" s="32"/>
      <c r="BE233" s="30"/>
      <c r="BF233" s="30"/>
      <c r="BG233" s="242"/>
      <c r="BH233" s="177" t="s">
        <v>451</v>
      </c>
      <c r="BI233" s="191" t="s">
        <v>452</v>
      </c>
      <c r="BJ233" s="188">
        <v>520</v>
      </c>
      <c r="BK233" s="177" t="s">
        <v>453</v>
      </c>
      <c r="BL233" s="176">
        <v>0.01</v>
      </c>
      <c r="BM233" s="176">
        <v>0.35</v>
      </c>
      <c r="BN233" s="175" t="s">
        <v>429</v>
      </c>
      <c r="BO233" s="37"/>
      <c r="BP233" s="36"/>
      <c r="BQ233" s="36"/>
      <c r="BR233" s="37"/>
      <c r="BS233" s="37"/>
      <c r="BT233" s="37"/>
      <c r="BU233" s="39"/>
      <c r="BV233" s="37"/>
      <c r="BW233" s="188"/>
      <c r="BX233" s="177"/>
      <c r="BY233" s="39"/>
      <c r="BZ233" s="39"/>
      <c r="CA233" s="39"/>
      <c r="CB233" s="37"/>
      <c r="CC233" s="37"/>
      <c r="CD233" s="39"/>
      <c r="CE233" s="39"/>
      <c r="CF233" s="39"/>
      <c r="CG233" s="39"/>
      <c r="CH233" s="37"/>
      <c r="CI233" s="37"/>
      <c r="CJ233" s="39"/>
      <c r="CK233" s="39"/>
      <c r="CL233" s="39"/>
      <c r="CM233" s="40"/>
      <c r="CN233" s="41"/>
      <c r="CO233" s="41">
        <f t="shared" si="82"/>
        <v>0.35</v>
      </c>
    </row>
    <row r="234" spans="26:93" s="42" customFormat="1" ht="18" thickBot="1" x14ac:dyDescent="0.3">
      <c r="Z234" s="134"/>
      <c r="AA234" s="134"/>
      <c r="AC234" s="134"/>
      <c r="AD234" s="135"/>
      <c r="AG234" s="136"/>
      <c r="AH234" s="136"/>
      <c r="AJ234" s="134"/>
      <c r="AQ234" s="134"/>
      <c r="AU234" s="134"/>
      <c r="AW234" s="134"/>
      <c r="BA234" s="134"/>
      <c r="BB234" s="134"/>
      <c r="BC234" s="30"/>
      <c r="BD234" s="32"/>
      <c r="BE234" s="30"/>
      <c r="BF234" s="30"/>
      <c r="BG234" s="242" t="s">
        <v>445</v>
      </c>
      <c r="BH234" s="177" t="s">
        <v>454</v>
      </c>
      <c r="BI234" s="191" t="s">
        <v>325</v>
      </c>
      <c r="BJ234" s="188">
        <v>750</v>
      </c>
      <c r="BK234" s="177" t="s">
        <v>448</v>
      </c>
      <c r="BL234" s="176">
        <v>0.02</v>
      </c>
      <c r="BM234" s="176">
        <v>0.15</v>
      </c>
      <c r="BN234" s="175" t="s">
        <v>429</v>
      </c>
      <c r="BO234" s="37"/>
      <c r="BP234" s="36"/>
      <c r="BQ234" s="36"/>
      <c r="BR234" s="37"/>
      <c r="BS234" s="37"/>
      <c r="BT234" s="37"/>
      <c r="BU234" s="39"/>
      <c r="BV234" s="37"/>
      <c r="BW234" s="188">
        <v>790</v>
      </c>
      <c r="BX234" s="177" t="s">
        <v>439</v>
      </c>
      <c r="BY234" s="39"/>
      <c r="BZ234" s="39"/>
      <c r="CA234" s="39"/>
      <c r="CB234" s="37"/>
      <c r="CC234" s="37"/>
      <c r="CD234" s="39"/>
      <c r="CE234" s="39"/>
      <c r="CF234" s="39"/>
      <c r="CG234" s="39"/>
      <c r="CH234" s="37"/>
      <c r="CI234" s="37"/>
      <c r="CJ234" s="39"/>
      <c r="CK234" s="39"/>
      <c r="CL234" s="39"/>
      <c r="CM234" s="40"/>
      <c r="CN234" s="41">
        <v>0.02</v>
      </c>
      <c r="CO234" s="41">
        <f t="shared" si="82"/>
        <v>0.15</v>
      </c>
    </row>
    <row r="235" spans="26:93" s="42" customFormat="1" ht="18" thickBot="1" x14ac:dyDescent="0.3">
      <c r="Z235" s="134"/>
      <c r="AA235" s="134"/>
      <c r="AC235" s="134"/>
      <c r="AD235" s="135"/>
      <c r="AG235" s="136"/>
      <c r="AH235" s="136"/>
      <c r="AJ235" s="134"/>
      <c r="AQ235" s="134"/>
      <c r="AU235" s="134"/>
      <c r="AW235" s="134"/>
      <c r="BA235" s="134"/>
      <c r="BB235" s="134"/>
      <c r="BC235" s="30"/>
      <c r="BD235" s="32"/>
      <c r="BE235" s="30"/>
      <c r="BF235" s="30"/>
      <c r="BG235" s="242" t="s">
        <v>445</v>
      </c>
      <c r="BH235" s="177" t="s">
        <v>455</v>
      </c>
      <c r="BI235" s="191" t="s">
        <v>325</v>
      </c>
      <c r="BJ235" s="188">
        <v>860</v>
      </c>
      <c r="BK235" s="177" t="s">
        <v>448</v>
      </c>
      <c r="BL235" s="176">
        <v>0.02</v>
      </c>
      <c r="BM235" s="176">
        <v>0.15</v>
      </c>
      <c r="BN235" s="175" t="s">
        <v>429</v>
      </c>
      <c r="BO235" s="37"/>
      <c r="BP235" s="36"/>
      <c r="BQ235" s="36"/>
      <c r="BR235" s="37"/>
      <c r="BS235" s="37"/>
      <c r="BT235" s="37"/>
      <c r="BU235" s="39"/>
      <c r="BV235" s="37"/>
      <c r="BW235" s="188">
        <v>910</v>
      </c>
      <c r="BX235" s="177" t="s">
        <v>439</v>
      </c>
      <c r="BY235" s="39"/>
      <c r="BZ235" s="39"/>
      <c r="CA235" s="39"/>
      <c r="CB235" s="37"/>
      <c r="CC235" s="37"/>
      <c r="CD235" s="39"/>
      <c r="CE235" s="39"/>
      <c r="CF235" s="39"/>
      <c r="CG235" s="39"/>
      <c r="CH235" s="37"/>
      <c r="CI235" s="37"/>
      <c r="CJ235" s="39"/>
      <c r="CK235" s="39"/>
      <c r="CL235" s="39"/>
      <c r="CM235" s="40"/>
      <c r="CN235" s="41">
        <v>0.02</v>
      </c>
      <c r="CO235" s="41">
        <f t="shared" si="82"/>
        <v>0.15</v>
      </c>
    </row>
    <row r="236" spans="26:93" s="42" customFormat="1" ht="18" thickBot="1" x14ac:dyDescent="0.3">
      <c r="Z236" s="134"/>
      <c r="AA236" s="134"/>
      <c r="AC236" s="134"/>
      <c r="AD236" s="135"/>
      <c r="AG236" s="136"/>
      <c r="AH236" s="136"/>
      <c r="AJ236" s="134"/>
      <c r="AQ236" s="134"/>
      <c r="AU236" s="134"/>
      <c r="AW236" s="134"/>
      <c r="BA236" s="134"/>
      <c r="BB236" s="134"/>
      <c r="BD236" s="134"/>
      <c r="BG236" s="242"/>
      <c r="BH236" s="177" t="s">
        <v>456</v>
      </c>
      <c r="BI236" s="191" t="s">
        <v>325</v>
      </c>
      <c r="BJ236" s="188">
        <v>439.71</v>
      </c>
      <c r="BK236" s="177" t="s">
        <v>448</v>
      </c>
      <c r="BL236" s="176">
        <v>0.02</v>
      </c>
      <c r="BM236" s="176">
        <v>0.15</v>
      </c>
      <c r="BN236" s="175" t="s">
        <v>429</v>
      </c>
      <c r="BO236" s="37"/>
      <c r="BP236" s="36"/>
      <c r="BQ236" s="36"/>
      <c r="BR236" s="37"/>
      <c r="BS236" s="37"/>
      <c r="BT236" s="37"/>
      <c r="BU236" s="39"/>
      <c r="BV236" s="37"/>
      <c r="BW236" s="188"/>
      <c r="BX236" s="177"/>
      <c r="BY236" s="39"/>
      <c r="BZ236" s="39"/>
      <c r="CA236" s="39"/>
      <c r="CB236" s="37"/>
      <c r="CC236" s="37"/>
      <c r="CD236" s="39"/>
      <c r="CE236" s="39"/>
      <c r="CF236" s="39"/>
      <c r="CG236" s="39"/>
      <c r="CH236" s="37"/>
      <c r="CI236" s="37"/>
      <c r="CJ236" s="39"/>
      <c r="CK236" s="39"/>
      <c r="CL236" s="39"/>
      <c r="CM236" s="40"/>
      <c r="CN236" s="41"/>
      <c r="CO236" s="41">
        <f t="shared" si="82"/>
        <v>0.15</v>
      </c>
    </row>
    <row r="237" spans="26:93" s="42" customFormat="1" ht="18" thickBot="1" x14ac:dyDescent="0.3">
      <c r="Z237" s="134"/>
      <c r="AA237" s="134"/>
      <c r="AC237" s="134"/>
      <c r="AD237" s="135"/>
      <c r="AG237" s="136"/>
      <c r="AH237" s="136"/>
      <c r="AJ237" s="134"/>
      <c r="AQ237" s="134"/>
      <c r="AU237" s="134"/>
      <c r="AW237" s="134"/>
      <c r="BA237" s="134"/>
      <c r="BB237" s="134"/>
      <c r="BD237" s="134"/>
      <c r="BG237" s="242"/>
      <c r="BH237" s="177" t="s">
        <v>457</v>
      </c>
      <c r="BI237" s="191" t="s">
        <v>325</v>
      </c>
      <c r="BJ237" s="188">
        <v>521.97</v>
      </c>
      <c r="BK237" s="177" t="s">
        <v>448</v>
      </c>
      <c r="BL237" s="176">
        <v>0.02</v>
      </c>
      <c r="BM237" s="176">
        <v>0.15</v>
      </c>
      <c r="BN237" s="175" t="s">
        <v>429</v>
      </c>
      <c r="BO237" s="37"/>
      <c r="BP237" s="36"/>
      <c r="BQ237" s="36"/>
      <c r="BR237" s="37"/>
      <c r="BS237" s="37"/>
      <c r="BT237" s="37"/>
      <c r="BU237" s="39"/>
      <c r="BV237" s="37"/>
      <c r="BW237" s="188"/>
      <c r="BX237" s="177"/>
      <c r="BY237" s="39"/>
      <c r="BZ237" s="39"/>
      <c r="CA237" s="39"/>
      <c r="CB237" s="37"/>
      <c r="CC237" s="37"/>
      <c r="CD237" s="39"/>
      <c r="CE237" s="39"/>
      <c r="CF237" s="39"/>
      <c r="CG237" s="39"/>
      <c r="CH237" s="37"/>
      <c r="CI237" s="37"/>
      <c r="CJ237" s="39"/>
      <c r="CK237" s="39"/>
      <c r="CL237" s="39"/>
      <c r="CM237" s="40"/>
      <c r="CN237" s="41"/>
      <c r="CO237" s="41">
        <f t="shared" si="82"/>
        <v>0.15</v>
      </c>
    </row>
    <row r="238" spans="26:93" s="42" customFormat="1" ht="18" thickBot="1" x14ac:dyDescent="0.3">
      <c r="Z238" s="134"/>
      <c r="AA238" s="134"/>
      <c r="AC238" s="134"/>
      <c r="AD238" s="135"/>
      <c r="AG238" s="136"/>
      <c r="AH238" s="136"/>
      <c r="AJ238" s="134"/>
      <c r="AQ238" s="134"/>
      <c r="AU238" s="134"/>
      <c r="AW238" s="134"/>
      <c r="BA238" s="134"/>
      <c r="BB238" s="134"/>
      <c r="BD238" s="134"/>
      <c r="BG238" s="242"/>
      <c r="BH238" s="177" t="s">
        <v>458</v>
      </c>
      <c r="BI238" s="191" t="s">
        <v>325</v>
      </c>
      <c r="BJ238" s="188">
        <v>477.32</v>
      </c>
      <c r="BK238" s="177" t="s">
        <v>448</v>
      </c>
      <c r="BL238" s="176">
        <v>0.02</v>
      </c>
      <c r="BM238" s="176">
        <v>0.15</v>
      </c>
      <c r="BN238" s="175" t="s">
        <v>429</v>
      </c>
      <c r="BO238" s="37"/>
      <c r="BP238" s="36"/>
      <c r="BQ238" s="36"/>
      <c r="BR238" s="37"/>
      <c r="BS238" s="37"/>
      <c r="BT238" s="37"/>
      <c r="BU238" s="39"/>
      <c r="BV238" s="37"/>
      <c r="BW238" s="188"/>
      <c r="BX238" s="177"/>
      <c r="BY238" s="39"/>
      <c r="BZ238" s="39"/>
      <c r="CA238" s="39"/>
      <c r="CB238" s="37"/>
      <c r="CC238" s="37"/>
      <c r="CD238" s="39"/>
      <c r="CE238" s="39"/>
      <c r="CF238" s="39"/>
      <c r="CG238" s="39"/>
      <c r="CH238" s="37"/>
      <c r="CI238" s="37"/>
      <c r="CJ238" s="39"/>
      <c r="CK238" s="39"/>
      <c r="CL238" s="39"/>
      <c r="CM238" s="40"/>
      <c r="CN238" s="41"/>
      <c r="CO238" s="41">
        <f t="shared" si="82"/>
        <v>0.15</v>
      </c>
    </row>
    <row r="239" spans="26:93" s="42" customFormat="1" ht="18" thickBot="1" x14ac:dyDescent="0.3">
      <c r="Z239" s="134"/>
      <c r="AA239" s="134"/>
      <c r="AC239" s="134"/>
      <c r="AD239" s="135"/>
      <c r="AG239" s="136"/>
      <c r="AH239" s="136"/>
      <c r="AJ239" s="134"/>
      <c r="AQ239" s="134"/>
      <c r="AU239" s="134"/>
      <c r="AW239" s="134"/>
      <c r="BA239" s="134"/>
      <c r="BB239" s="134"/>
      <c r="BD239" s="134"/>
      <c r="BG239" s="242"/>
      <c r="BH239" s="177" t="s">
        <v>459</v>
      </c>
      <c r="BI239" s="191" t="s">
        <v>325</v>
      </c>
      <c r="BJ239" s="188">
        <v>379.87</v>
      </c>
      <c r="BK239" s="177" t="s">
        <v>448</v>
      </c>
      <c r="BL239" s="176">
        <v>0.02</v>
      </c>
      <c r="BM239" s="176">
        <v>0.15</v>
      </c>
      <c r="BN239" s="175" t="s">
        <v>429</v>
      </c>
      <c r="BO239" s="37"/>
      <c r="BP239" s="36"/>
      <c r="BQ239" s="36"/>
      <c r="BR239" s="37"/>
      <c r="BS239" s="37"/>
      <c r="BT239" s="37"/>
      <c r="BU239" s="39"/>
      <c r="BV239" s="37"/>
      <c r="BW239" s="188"/>
      <c r="BX239" s="177"/>
      <c r="BY239" s="39"/>
      <c r="BZ239" s="39"/>
      <c r="CA239" s="39"/>
      <c r="CB239" s="37"/>
      <c r="CC239" s="37"/>
      <c r="CD239" s="39"/>
      <c r="CE239" s="39"/>
      <c r="CF239" s="39"/>
      <c r="CG239" s="39"/>
      <c r="CH239" s="37"/>
      <c r="CI239" s="37"/>
      <c r="CJ239" s="39"/>
      <c r="CK239" s="39"/>
      <c r="CL239" s="39"/>
      <c r="CM239" s="40"/>
      <c r="CN239" s="41"/>
      <c r="CO239" s="41">
        <f t="shared" si="82"/>
        <v>0.15</v>
      </c>
    </row>
    <row r="240" spans="26:93" s="42" customFormat="1" ht="18" thickBot="1" x14ac:dyDescent="0.3">
      <c r="Z240" s="134"/>
      <c r="AA240" s="134"/>
      <c r="AC240" s="134"/>
      <c r="AD240" s="135"/>
      <c r="AG240" s="136"/>
      <c r="AH240" s="136"/>
      <c r="AJ240" s="134"/>
      <c r="AQ240" s="134"/>
      <c r="AU240" s="134"/>
      <c r="AW240" s="134"/>
      <c r="BA240" s="134"/>
      <c r="BB240" s="134"/>
      <c r="BD240" s="134"/>
      <c r="BG240" s="242"/>
      <c r="BH240" s="177" t="s">
        <v>460</v>
      </c>
      <c r="BI240" s="191" t="s">
        <v>325</v>
      </c>
      <c r="BJ240" s="188">
        <v>382.86</v>
      </c>
      <c r="BK240" s="177" t="s">
        <v>448</v>
      </c>
      <c r="BL240" s="176">
        <v>0.02</v>
      </c>
      <c r="BM240" s="176">
        <v>0.15</v>
      </c>
      <c r="BN240" s="175" t="s">
        <v>429</v>
      </c>
      <c r="BO240" s="37"/>
      <c r="BP240" s="36"/>
      <c r="BQ240" s="36"/>
      <c r="BR240" s="37"/>
      <c r="BS240" s="37"/>
      <c r="BT240" s="37"/>
      <c r="BU240" s="39"/>
      <c r="BV240" s="37"/>
      <c r="BW240" s="188"/>
      <c r="BX240" s="177"/>
      <c r="BY240" s="39"/>
      <c r="BZ240" s="39"/>
      <c r="CA240" s="39"/>
      <c r="CB240" s="37"/>
      <c r="CC240" s="37"/>
      <c r="CD240" s="39"/>
      <c r="CE240" s="39"/>
      <c r="CF240" s="39"/>
      <c r="CG240" s="39"/>
      <c r="CH240" s="37"/>
      <c r="CI240" s="37"/>
      <c r="CJ240" s="39"/>
      <c r="CK240" s="39"/>
      <c r="CL240" s="39"/>
      <c r="CM240" s="40"/>
      <c r="CN240" s="41"/>
      <c r="CO240" s="41">
        <f t="shared" si="82"/>
        <v>0.15</v>
      </c>
    </row>
    <row r="241" spans="26:93" s="42" customFormat="1" ht="18" thickBot="1" x14ac:dyDescent="0.3">
      <c r="Z241" s="134"/>
      <c r="AA241" s="134"/>
      <c r="AC241" s="134"/>
      <c r="AD241" s="135"/>
      <c r="AG241" s="136"/>
      <c r="AH241" s="136"/>
      <c r="AJ241" s="134"/>
      <c r="AQ241" s="134"/>
      <c r="AU241" s="134"/>
      <c r="AW241" s="134"/>
      <c r="BA241" s="134"/>
      <c r="BB241" s="134"/>
      <c r="BD241" s="134"/>
      <c r="BG241" s="242"/>
      <c r="BH241" s="177" t="s">
        <v>461</v>
      </c>
      <c r="BI241" s="191" t="s">
        <v>325</v>
      </c>
      <c r="BJ241" s="188">
        <v>414.92</v>
      </c>
      <c r="BK241" s="177" t="s">
        <v>448</v>
      </c>
      <c r="BL241" s="176">
        <v>0.02</v>
      </c>
      <c r="BM241" s="176">
        <v>0.15</v>
      </c>
      <c r="BN241" s="175" t="s">
        <v>429</v>
      </c>
      <c r="BO241" s="37"/>
      <c r="BP241" s="36"/>
      <c r="BQ241" s="36"/>
      <c r="BR241" s="37"/>
      <c r="BS241" s="37"/>
      <c r="BT241" s="37"/>
      <c r="BU241" s="39"/>
      <c r="BV241" s="37"/>
      <c r="BW241" s="188"/>
      <c r="BX241" s="177"/>
      <c r="BY241" s="39"/>
      <c r="BZ241" s="39"/>
      <c r="CA241" s="39"/>
      <c r="CB241" s="37"/>
      <c r="CC241" s="37"/>
      <c r="CD241" s="39"/>
      <c r="CE241" s="39"/>
      <c r="CF241" s="39"/>
      <c r="CG241" s="39"/>
      <c r="CH241" s="37"/>
      <c r="CI241" s="37"/>
      <c r="CJ241" s="39"/>
      <c r="CK241" s="39"/>
      <c r="CL241" s="39"/>
      <c r="CM241" s="40"/>
      <c r="CN241" s="41"/>
      <c r="CO241" s="41">
        <f t="shared" si="82"/>
        <v>0.15</v>
      </c>
    </row>
    <row r="242" spans="26:93" s="42" customFormat="1" ht="18" thickBot="1" x14ac:dyDescent="0.3">
      <c r="Z242" s="134"/>
      <c r="AA242" s="134"/>
      <c r="AC242" s="134"/>
      <c r="AD242" s="135"/>
      <c r="AG242" s="136"/>
      <c r="AH242" s="136"/>
      <c r="AJ242" s="134"/>
      <c r="AQ242" s="134"/>
      <c r="AU242" s="134"/>
      <c r="AW242" s="134"/>
      <c r="BA242" s="134"/>
      <c r="BB242" s="134"/>
      <c r="BD242" s="134"/>
      <c r="BG242" s="242"/>
      <c r="BH242" s="177" t="s">
        <v>462</v>
      </c>
      <c r="BI242" s="191" t="s">
        <v>325</v>
      </c>
      <c r="BJ242" s="188">
        <v>475.72</v>
      </c>
      <c r="BK242" s="177" t="s">
        <v>448</v>
      </c>
      <c r="BL242" s="176">
        <v>0.02</v>
      </c>
      <c r="BM242" s="176">
        <v>0.15</v>
      </c>
      <c r="BN242" s="175" t="s">
        <v>429</v>
      </c>
      <c r="BO242" s="37"/>
      <c r="BP242" s="36"/>
      <c r="BQ242" s="36"/>
      <c r="BR242" s="37"/>
      <c r="BS242" s="37"/>
      <c r="BT242" s="37"/>
      <c r="BU242" s="39"/>
      <c r="BV242" s="37"/>
      <c r="BW242" s="188"/>
      <c r="BX242" s="177"/>
      <c r="BY242" s="39"/>
      <c r="BZ242" s="39"/>
      <c r="CA242" s="39"/>
      <c r="CB242" s="37"/>
      <c r="CC242" s="37"/>
      <c r="CD242" s="39"/>
      <c r="CE242" s="39"/>
      <c r="CF242" s="39"/>
      <c r="CG242" s="39"/>
      <c r="CH242" s="37"/>
      <c r="CI242" s="37"/>
      <c r="CJ242" s="39"/>
      <c r="CK242" s="39"/>
      <c r="CL242" s="39"/>
      <c r="CM242" s="40"/>
      <c r="CN242" s="41"/>
      <c r="CO242" s="41">
        <f t="shared" si="82"/>
        <v>0.15</v>
      </c>
    </row>
    <row r="243" spans="26:93" s="42" customFormat="1" ht="18" thickBot="1" x14ac:dyDescent="0.3">
      <c r="Z243" s="134"/>
      <c r="AA243" s="134"/>
      <c r="AC243" s="134"/>
      <c r="AD243" s="135"/>
      <c r="AG243" s="136"/>
      <c r="AH243" s="136"/>
      <c r="AJ243" s="134"/>
      <c r="AQ243" s="134"/>
      <c r="AU243" s="134"/>
      <c r="AW243" s="134"/>
      <c r="BA243" s="134"/>
      <c r="BB243" s="134"/>
      <c r="BD243" s="134"/>
      <c r="BG243" s="242"/>
      <c r="BH243" s="177" t="s">
        <v>463</v>
      </c>
      <c r="BI243" s="191" t="s">
        <v>272</v>
      </c>
      <c r="BJ243" s="188">
        <v>0.21</v>
      </c>
      <c r="BK243" s="177" t="s">
        <v>448</v>
      </c>
      <c r="BL243" s="176">
        <v>0.1</v>
      </c>
      <c r="BM243" s="176">
        <v>0.6</v>
      </c>
      <c r="BN243" s="175" t="s">
        <v>429</v>
      </c>
      <c r="BO243" s="37"/>
      <c r="BP243" s="36"/>
      <c r="BQ243" s="36"/>
      <c r="BR243" s="37"/>
      <c r="BS243" s="37"/>
      <c r="BT243" s="37"/>
      <c r="BU243" s="39"/>
      <c r="BV243" s="37"/>
      <c r="BW243" s="188"/>
      <c r="BX243" s="177"/>
      <c r="BY243" s="39"/>
      <c r="BZ243" s="39"/>
      <c r="CA243" s="39"/>
      <c r="CB243" s="37"/>
      <c r="CC243" s="37"/>
      <c r="CD243" s="39"/>
      <c r="CE243" s="39"/>
      <c r="CF243" s="39"/>
      <c r="CG243" s="39"/>
      <c r="CH243" s="37"/>
      <c r="CI243" s="37"/>
      <c r="CJ243" s="39"/>
      <c r="CK243" s="39"/>
      <c r="CL243" s="39"/>
      <c r="CM243" s="40"/>
      <c r="CN243" s="41"/>
      <c r="CO243" s="41">
        <f t="shared" ref="CO243:CO306" si="83">BM243</f>
        <v>0.6</v>
      </c>
    </row>
    <row r="244" spans="26:93" s="42" customFormat="1" ht="18" thickBot="1" x14ac:dyDescent="0.3">
      <c r="Z244" s="134"/>
      <c r="AA244" s="134"/>
      <c r="AC244" s="134"/>
      <c r="AD244" s="135"/>
      <c r="AG244" s="136"/>
      <c r="AH244" s="136"/>
      <c r="AJ244" s="134"/>
      <c r="AQ244" s="134"/>
      <c r="AU244" s="134"/>
      <c r="AW244" s="134"/>
      <c r="BA244" s="134"/>
      <c r="BB244" s="134"/>
      <c r="BD244" s="134"/>
      <c r="BG244" s="242"/>
      <c r="BH244" s="177" t="s">
        <v>464</v>
      </c>
      <c r="BI244" s="191" t="s">
        <v>272</v>
      </c>
      <c r="BJ244" s="188">
        <v>0.25</v>
      </c>
      <c r="BK244" s="177" t="s">
        <v>448</v>
      </c>
      <c r="BL244" s="176">
        <v>0.1</v>
      </c>
      <c r="BM244" s="176">
        <v>0.6</v>
      </c>
      <c r="BN244" s="175" t="s">
        <v>429</v>
      </c>
      <c r="BO244" s="37"/>
      <c r="BP244" s="36"/>
      <c r="BQ244" s="36"/>
      <c r="BR244" s="37"/>
      <c r="BS244" s="37"/>
      <c r="BT244" s="37"/>
      <c r="BU244" s="39"/>
      <c r="BV244" s="37"/>
      <c r="BW244" s="188"/>
      <c r="BX244" s="177"/>
      <c r="BY244" s="39"/>
      <c r="BZ244" s="39"/>
      <c r="CA244" s="39"/>
      <c r="CB244" s="37"/>
      <c r="CC244" s="37"/>
      <c r="CD244" s="39"/>
      <c r="CE244" s="39"/>
      <c r="CF244" s="39"/>
      <c r="CG244" s="39"/>
      <c r="CH244" s="37"/>
      <c r="CI244" s="37"/>
      <c r="CJ244" s="39"/>
      <c r="CK244" s="39"/>
      <c r="CL244" s="39"/>
      <c r="CM244" s="40"/>
      <c r="CN244" s="41"/>
      <c r="CO244" s="41">
        <f t="shared" si="83"/>
        <v>0.6</v>
      </c>
    </row>
    <row r="245" spans="26:93" s="42" customFormat="1" ht="18" thickBot="1" x14ac:dyDescent="0.3">
      <c r="Z245" s="134"/>
      <c r="AA245" s="134"/>
      <c r="AC245" s="134"/>
      <c r="AD245" s="135"/>
      <c r="AG245" s="136"/>
      <c r="AH245" s="136"/>
      <c r="AJ245" s="134"/>
      <c r="AQ245" s="134"/>
      <c r="AU245" s="134"/>
      <c r="AW245" s="134"/>
      <c r="BA245" s="134"/>
      <c r="BB245" s="134"/>
      <c r="BD245" s="134"/>
      <c r="BG245" s="242"/>
      <c r="BH245" s="177" t="s">
        <v>465</v>
      </c>
      <c r="BI245" s="191" t="s">
        <v>272</v>
      </c>
      <c r="BJ245" s="188">
        <v>0.1</v>
      </c>
      <c r="BK245" s="177" t="s">
        <v>448</v>
      </c>
      <c r="BL245" s="176">
        <v>0.1</v>
      </c>
      <c r="BM245" s="176">
        <v>0.6</v>
      </c>
      <c r="BN245" s="175" t="s">
        <v>429</v>
      </c>
      <c r="BO245" s="37"/>
      <c r="BP245" s="36"/>
      <c r="BQ245" s="36"/>
      <c r="BR245" s="37"/>
      <c r="BS245" s="37"/>
      <c r="BT245" s="37"/>
      <c r="BU245" s="39"/>
      <c r="BV245" s="37"/>
      <c r="BW245" s="188"/>
      <c r="BX245" s="177"/>
      <c r="BY245" s="39"/>
      <c r="BZ245" s="39"/>
      <c r="CA245" s="39"/>
      <c r="CB245" s="37"/>
      <c r="CC245" s="37"/>
      <c r="CD245" s="39"/>
      <c r="CE245" s="39"/>
      <c r="CF245" s="39"/>
      <c r="CG245" s="39"/>
      <c r="CH245" s="37"/>
      <c r="CI245" s="37"/>
      <c r="CJ245" s="39"/>
      <c r="CK245" s="39"/>
      <c r="CL245" s="39"/>
      <c r="CM245" s="40"/>
      <c r="CN245" s="41"/>
      <c r="CO245" s="41">
        <f t="shared" si="83"/>
        <v>0.6</v>
      </c>
    </row>
    <row r="246" spans="26:93" s="42" customFormat="1" ht="18" thickBot="1" x14ac:dyDescent="0.3">
      <c r="Z246" s="134"/>
      <c r="AA246" s="134"/>
      <c r="AC246" s="134"/>
      <c r="AD246" s="135"/>
      <c r="AG246" s="136"/>
      <c r="AH246" s="136"/>
      <c r="AJ246" s="134"/>
      <c r="AQ246" s="134"/>
      <c r="AU246" s="134"/>
      <c r="AW246" s="134"/>
      <c r="BA246" s="134"/>
      <c r="BB246" s="134"/>
      <c r="BD246" s="134"/>
      <c r="BG246" s="242"/>
      <c r="BH246" s="177" t="s">
        <v>466</v>
      </c>
      <c r="BI246" s="191" t="s">
        <v>272</v>
      </c>
      <c r="BJ246" s="188">
        <v>0.2</v>
      </c>
      <c r="BK246" s="177" t="s">
        <v>448</v>
      </c>
      <c r="BL246" s="176">
        <v>0.1</v>
      </c>
      <c r="BM246" s="176">
        <v>0.6</v>
      </c>
      <c r="BN246" s="175" t="s">
        <v>429</v>
      </c>
      <c r="BO246" s="37"/>
      <c r="BP246" s="36"/>
      <c r="BQ246" s="36"/>
      <c r="BR246" s="37"/>
      <c r="BS246" s="37"/>
      <c r="BT246" s="37"/>
      <c r="BU246" s="39"/>
      <c r="BV246" s="37"/>
      <c r="BW246" s="188"/>
      <c r="BX246" s="177"/>
      <c r="BY246" s="39"/>
      <c r="BZ246" s="39"/>
      <c r="CA246" s="39"/>
      <c r="CB246" s="37"/>
      <c r="CC246" s="37"/>
      <c r="CD246" s="39"/>
      <c r="CE246" s="39"/>
      <c r="CF246" s="39"/>
      <c r="CG246" s="39"/>
      <c r="CH246" s="37"/>
      <c r="CI246" s="37"/>
      <c r="CJ246" s="39"/>
      <c r="CK246" s="39"/>
      <c r="CL246" s="39"/>
      <c r="CM246" s="40"/>
      <c r="CN246" s="41"/>
      <c r="CO246" s="41">
        <f t="shared" si="83"/>
        <v>0.6</v>
      </c>
    </row>
    <row r="247" spans="26:93" s="42" customFormat="1" ht="18" thickBot="1" x14ac:dyDescent="0.3">
      <c r="Z247" s="134"/>
      <c r="AA247" s="134"/>
      <c r="AC247" s="134"/>
      <c r="AD247" s="135"/>
      <c r="AG247" s="136"/>
      <c r="AH247" s="136"/>
      <c r="AJ247" s="134"/>
      <c r="AQ247" s="134"/>
      <c r="AU247" s="134"/>
      <c r="AW247" s="134"/>
      <c r="BA247" s="134"/>
      <c r="BB247" s="134"/>
      <c r="BD247" s="134"/>
      <c r="BG247" s="242"/>
      <c r="BH247" s="177" t="s">
        <v>467</v>
      </c>
      <c r="BI247" s="191" t="s">
        <v>272</v>
      </c>
      <c r="BJ247" s="188">
        <v>0.03</v>
      </c>
      <c r="BK247" s="177" t="s">
        <v>448</v>
      </c>
      <c r="BL247" s="176">
        <v>0.1</v>
      </c>
      <c r="BM247" s="176">
        <v>0.6</v>
      </c>
      <c r="BN247" s="175" t="s">
        <v>429</v>
      </c>
      <c r="BO247" s="37"/>
      <c r="BP247" s="36"/>
      <c r="BQ247" s="36"/>
      <c r="BR247" s="37"/>
      <c r="BS247" s="37"/>
      <c r="BT247" s="37"/>
      <c r="BU247" s="39"/>
      <c r="BV247" s="37"/>
      <c r="BW247" s="188"/>
      <c r="BX247" s="177"/>
      <c r="BY247" s="39"/>
      <c r="BZ247" s="39"/>
      <c r="CA247" s="39"/>
      <c r="CB247" s="37"/>
      <c r="CC247" s="37"/>
      <c r="CD247" s="39"/>
      <c r="CE247" s="39"/>
      <c r="CF247" s="39"/>
      <c r="CG247" s="39"/>
      <c r="CH247" s="37"/>
      <c r="CI247" s="37"/>
      <c r="CJ247" s="39"/>
      <c r="CK247" s="39"/>
      <c r="CL247" s="39"/>
      <c r="CM247" s="40"/>
      <c r="CN247" s="41"/>
      <c r="CO247" s="41">
        <f t="shared" si="83"/>
        <v>0.6</v>
      </c>
    </row>
    <row r="248" spans="26:93" s="42" customFormat="1" ht="14" thickBot="1" x14ac:dyDescent="0.3">
      <c r="Z248" s="134"/>
      <c r="AA248" s="134"/>
      <c r="AC248" s="134"/>
      <c r="AD248" s="135"/>
      <c r="AG248" s="136"/>
      <c r="AH248" s="136"/>
      <c r="AJ248" s="134"/>
      <c r="AQ248" s="134"/>
      <c r="AU248" s="134"/>
      <c r="AW248" s="134"/>
      <c r="BA248" s="134"/>
      <c r="BB248" s="134"/>
      <c r="BD248" s="134"/>
      <c r="BG248" s="242"/>
      <c r="BH248" s="177" t="s">
        <v>468</v>
      </c>
      <c r="BI248" s="191" t="s">
        <v>469</v>
      </c>
      <c r="BJ248" s="188">
        <v>3273</v>
      </c>
      <c r="BK248" s="177" t="s">
        <v>470</v>
      </c>
      <c r="BL248" s="176">
        <v>0.02</v>
      </c>
      <c r="BM248" s="176">
        <v>0.05</v>
      </c>
      <c r="BN248" s="175" t="s">
        <v>429</v>
      </c>
      <c r="BO248" s="37"/>
      <c r="BP248" s="36"/>
      <c r="BQ248" s="36"/>
      <c r="BR248" s="37"/>
      <c r="BS248" s="37"/>
      <c r="BT248" s="37"/>
      <c r="BU248" s="39"/>
      <c r="BV248" s="37"/>
      <c r="BW248" s="188"/>
      <c r="BX248" s="177"/>
      <c r="BY248" s="39"/>
      <c r="BZ248" s="39"/>
      <c r="CA248" s="39"/>
      <c r="CB248" s="37"/>
      <c r="CC248" s="37"/>
      <c r="CD248" s="39"/>
      <c r="CE248" s="39"/>
      <c r="CF248" s="39"/>
      <c r="CG248" s="39"/>
      <c r="CH248" s="37"/>
      <c r="CI248" s="37"/>
      <c r="CJ248" s="39"/>
      <c r="CK248" s="39"/>
      <c r="CL248" s="39"/>
      <c r="CM248" s="40"/>
      <c r="CN248" s="41"/>
      <c r="CO248" s="41">
        <f t="shared" si="83"/>
        <v>0.05</v>
      </c>
    </row>
    <row r="249" spans="26:93" s="42" customFormat="1" ht="18" thickBot="1" x14ac:dyDescent="0.3">
      <c r="Z249" s="134"/>
      <c r="AA249" s="134"/>
      <c r="AC249" s="134"/>
      <c r="AD249" s="135"/>
      <c r="AG249" s="136"/>
      <c r="AH249" s="136"/>
      <c r="AJ249" s="134"/>
      <c r="AQ249" s="134"/>
      <c r="AU249" s="134"/>
      <c r="AW249" s="134"/>
      <c r="BA249" s="134"/>
      <c r="BB249" s="134"/>
      <c r="BD249" s="134"/>
      <c r="BG249" s="242" t="s">
        <v>445</v>
      </c>
      <c r="BH249" s="177" t="s">
        <v>471</v>
      </c>
      <c r="BI249" s="191" t="s">
        <v>325</v>
      </c>
      <c r="BJ249" s="188">
        <f>(3.13757879682717*1000)</f>
        <v>3137.5787968271702</v>
      </c>
      <c r="BK249" s="177" t="s">
        <v>448</v>
      </c>
      <c r="BL249" s="176">
        <v>0.02</v>
      </c>
      <c r="BM249" s="176">
        <v>0.5</v>
      </c>
      <c r="BN249" s="175" t="s">
        <v>389</v>
      </c>
      <c r="BO249" s="37"/>
      <c r="BP249" s="36"/>
      <c r="BQ249" s="36"/>
      <c r="BR249" s="37"/>
      <c r="BS249" s="37"/>
      <c r="BT249" s="37"/>
      <c r="BU249" s="39"/>
      <c r="BV249" s="37"/>
      <c r="BW249" s="188"/>
      <c r="BX249" s="177"/>
      <c r="BY249" s="39"/>
      <c r="BZ249" s="39"/>
      <c r="CA249" s="39"/>
      <c r="CB249" s="37"/>
      <c r="CC249" s="37"/>
      <c r="CD249" s="39"/>
      <c r="CE249" s="39"/>
      <c r="CF249" s="39"/>
      <c r="CG249" s="39"/>
      <c r="CH249" s="37"/>
      <c r="CI249" s="37"/>
      <c r="CJ249" s="39"/>
      <c r="CK249" s="39"/>
      <c r="CL249" s="39"/>
      <c r="CM249" s="40"/>
      <c r="CN249" s="41">
        <v>0.02</v>
      </c>
      <c r="CO249" s="41">
        <f t="shared" si="83"/>
        <v>0.5</v>
      </c>
    </row>
    <row r="250" spans="26:93" s="42" customFormat="1" ht="18" thickBot="1" x14ac:dyDescent="0.3">
      <c r="Z250" s="134"/>
      <c r="AA250" s="134"/>
      <c r="AC250" s="134"/>
      <c r="AD250" s="135"/>
      <c r="AG250" s="136"/>
      <c r="AH250" s="136"/>
      <c r="AJ250" s="134"/>
      <c r="AQ250" s="134"/>
      <c r="AU250" s="134"/>
      <c r="AW250" s="134"/>
      <c r="BA250" s="134"/>
      <c r="BB250" s="134"/>
      <c r="BD250" s="134"/>
      <c r="BG250" s="242" t="s">
        <v>445</v>
      </c>
      <c r="BH250" s="177" t="s">
        <v>472</v>
      </c>
      <c r="BI250" s="191" t="s">
        <v>325</v>
      </c>
      <c r="BJ250" s="188">
        <v>9</v>
      </c>
      <c r="BK250" s="177" t="s">
        <v>473</v>
      </c>
      <c r="BL250" s="176">
        <v>0.1</v>
      </c>
      <c r="BM250" s="176">
        <v>0.4</v>
      </c>
      <c r="BN250" s="175" t="s">
        <v>429</v>
      </c>
      <c r="BO250" s="37"/>
      <c r="BP250" s="36"/>
      <c r="BQ250" s="36"/>
      <c r="BR250" s="37"/>
      <c r="BS250" s="37"/>
      <c r="BT250" s="37"/>
      <c r="BU250" s="39"/>
      <c r="BV250" s="37"/>
      <c r="BW250" s="188">
        <v>1500</v>
      </c>
      <c r="BX250" s="177" t="s">
        <v>439</v>
      </c>
      <c r="BY250" s="39"/>
      <c r="BZ250" s="39"/>
      <c r="CA250" s="39"/>
      <c r="CB250" s="37"/>
      <c r="CC250" s="37"/>
      <c r="CD250" s="39"/>
      <c r="CE250" s="39"/>
      <c r="CF250" s="39"/>
      <c r="CG250" s="39"/>
      <c r="CH250" s="37"/>
      <c r="CI250" s="37"/>
      <c r="CJ250" s="39"/>
      <c r="CK250" s="39"/>
      <c r="CL250" s="39"/>
      <c r="CM250" s="40"/>
      <c r="CN250" s="41">
        <v>0.02</v>
      </c>
      <c r="CO250" s="41">
        <f t="shared" si="83"/>
        <v>0.4</v>
      </c>
    </row>
    <row r="251" spans="26:93" s="42" customFormat="1" ht="27.5" thickBot="1" x14ac:dyDescent="0.3">
      <c r="Z251" s="134"/>
      <c r="AA251" s="134"/>
      <c r="AC251" s="134"/>
      <c r="AD251" s="135"/>
      <c r="AG251" s="136"/>
      <c r="AH251" s="136"/>
      <c r="AJ251" s="134"/>
      <c r="AQ251" s="134"/>
      <c r="AR251" s="30"/>
      <c r="AS251" s="30"/>
      <c r="AT251" s="30"/>
      <c r="AU251" s="32"/>
      <c r="AV251" s="30"/>
      <c r="AW251" s="32"/>
      <c r="AX251" s="30"/>
      <c r="AY251" s="30"/>
      <c r="AZ251" s="30"/>
      <c r="BA251" s="32"/>
      <c r="BB251" s="32"/>
      <c r="BC251" s="30"/>
      <c r="BD251" s="32"/>
      <c r="BE251" s="30"/>
      <c r="BG251" s="242" t="s">
        <v>474</v>
      </c>
      <c r="BH251" s="177" t="s">
        <v>475</v>
      </c>
      <c r="BI251" s="191" t="s">
        <v>476</v>
      </c>
      <c r="BJ251" s="188">
        <f>0.25*0.1</f>
        <v>2.5000000000000001E-2</v>
      </c>
      <c r="BK251" s="177" t="s">
        <v>477</v>
      </c>
      <c r="BL251" s="176">
        <v>0.05</v>
      </c>
      <c r="BM251" s="176">
        <v>1.04</v>
      </c>
      <c r="BN251" s="175" t="s">
        <v>429</v>
      </c>
      <c r="BO251" s="37"/>
      <c r="BP251" s="36"/>
      <c r="BQ251" s="36"/>
      <c r="BR251" s="37"/>
      <c r="BS251" s="37"/>
      <c r="BT251" s="37"/>
      <c r="BU251" s="39"/>
      <c r="BV251" s="37"/>
      <c r="BW251" s="188">
        <f>0.25*0.9*25</f>
        <v>5.625</v>
      </c>
      <c r="BX251" s="177" t="s">
        <v>478</v>
      </c>
      <c r="BY251" s="39"/>
      <c r="BZ251" s="39"/>
      <c r="CA251" s="39"/>
      <c r="CB251" s="37"/>
      <c r="CC251" s="37"/>
      <c r="CD251" s="39"/>
      <c r="CE251" s="39"/>
      <c r="CF251" s="39"/>
      <c r="CG251" s="39"/>
      <c r="CH251" s="37"/>
      <c r="CI251" s="37"/>
      <c r="CJ251" s="39"/>
      <c r="CK251" s="39"/>
      <c r="CL251" s="39"/>
      <c r="CM251" s="40"/>
      <c r="CN251" s="41">
        <v>0.05</v>
      </c>
      <c r="CO251" s="41">
        <f t="shared" si="83"/>
        <v>1.04</v>
      </c>
    </row>
    <row r="252" spans="26:93" s="42" customFormat="1" ht="18" thickBot="1" x14ac:dyDescent="0.3">
      <c r="Z252" s="134"/>
      <c r="AA252" s="134"/>
      <c r="AC252" s="134"/>
      <c r="AD252" s="135"/>
      <c r="AG252" s="136"/>
      <c r="AH252" s="136"/>
      <c r="AJ252" s="134"/>
      <c r="AQ252" s="134"/>
      <c r="AR252" s="30"/>
      <c r="AS252" s="30"/>
      <c r="AT252" s="30"/>
      <c r="AU252" s="32"/>
      <c r="AV252" s="30"/>
      <c r="AW252" s="32"/>
      <c r="AX252" s="30"/>
      <c r="AY252" s="30"/>
      <c r="AZ252" s="30"/>
      <c r="BA252" s="32"/>
      <c r="BB252" s="32"/>
      <c r="BC252" s="30"/>
      <c r="BD252" s="30"/>
      <c r="BE252" s="32">
        <f t="shared" ref="BE252:BE257" si="84">BJ252*25</f>
        <v>0</v>
      </c>
      <c r="BG252" s="242"/>
      <c r="BH252" s="177" t="s">
        <v>479</v>
      </c>
      <c r="BI252" s="191" t="s">
        <v>476</v>
      </c>
      <c r="BJ252" s="188">
        <f>0*0.25</f>
        <v>0</v>
      </c>
      <c r="BK252" s="177" t="s">
        <v>477</v>
      </c>
      <c r="BL252" s="176">
        <v>0.05</v>
      </c>
      <c r="BM252" s="176">
        <v>1</v>
      </c>
      <c r="BN252" s="175" t="s">
        <v>429</v>
      </c>
      <c r="BO252" s="37"/>
      <c r="BP252" s="36"/>
      <c r="BQ252" s="36"/>
      <c r="BR252" s="37"/>
      <c r="BS252" s="37"/>
      <c r="BT252" s="37"/>
      <c r="BU252" s="39"/>
      <c r="BV252" s="37"/>
      <c r="BW252" s="188"/>
      <c r="BX252" s="177"/>
      <c r="BY252" s="39"/>
      <c r="BZ252" s="39"/>
      <c r="CA252" s="39"/>
      <c r="CB252" s="37"/>
      <c r="CC252" s="37"/>
      <c r="CD252" s="39"/>
      <c r="CE252" s="39"/>
      <c r="CF252" s="39"/>
      <c r="CG252" s="39"/>
      <c r="CH252" s="37"/>
      <c r="CI252" s="37"/>
      <c r="CJ252" s="39"/>
      <c r="CK252" s="39"/>
      <c r="CL252" s="39"/>
      <c r="CM252" s="40"/>
      <c r="CN252" s="41"/>
      <c r="CO252" s="41">
        <f t="shared" si="83"/>
        <v>1</v>
      </c>
    </row>
    <row r="253" spans="26:93" s="42" customFormat="1" ht="18" thickBot="1" x14ac:dyDescent="0.3">
      <c r="Z253" s="134"/>
      <c r="AA253" s="134"/>
      <c r="AC253" s="134"/>
      <c r="AD253" s="135"/>
      <c r="AG253" s="136"/>
      <c r="AH253" s="136"/>
      <c r="AJ253" s="134"/>
      <c r="AQ253" s="134"/>
      <c r="AR253" s="30"/>
      <c r="AS253" s="30"/>
      <c r="AT253" s="30"/>
      <c r="AU253" s="32"/>
      <c r="AV253" s="30"/>
      <c r="AW253" s="32"/>
      <c r="AX253" s="30"/>
      <c r="AY253" s="30"/>
      <c r="AZ253" s="30"/>
      <c r="BA253" s="32"/>
      <c r="BB253" s="32"/>
      <c r="BC253" s="30"/>
      <c r="BD253" s="30"/>
      <c r="BE253" s="32">
        <f t="shared" si="84"/>
        <v>1.875</v>
      </c>
      <c r="BG253" s="242"/>
      <c r="BH253" s="177" t="s">
        <v>480</v>
      </c>
      <c r="BI253" s="191" t="s">
        <v>476</v>
      </c>
      <c r="BJ253" s="188">
        <f>0.25*0.3</f>
        <v>7.4999999999999997E-2</v>
      </c>
      <c r="BK253" s="177" t="s">
        <v>477</v>
      </c>
      <c r="BL253" s="176">
        <f>0.2/0.3</f>
        <v>0.66666666666666674</v>
      </c>
      <c r="BM253" s="176">
        <f>0.4/0.3</f>
        <v>1.3333333333333335</v>
      </c>
      <c r="BN253" s="175" t="s">
        <v>429</v>
      </c>
      <c r="BO253" s="37"/>
      <c r="BP253" s="36"/>
      <c r="BQ253" s="36"/>
      <c r="BR253" s="37"/>
      <c r="BS253" s="37"/>
      <c r="BT253" s="37"/>
      <c r="BU253" s="39"/>
      <c r="BV253" s="37"/>
      <c r="BW253" s="188"/>
      <c r="BX253" s="177"/>
      <c r="BY253" s="39"/>
      <c r="BZ253" s="39"/>
      <c r="CA253" s="39"/>
      <c r="CB253" s="37"/>
      <c r="CC253" s="37"/>
      <c r="CD253" s="39"/>
      <c r="CE253" s="39"/>
      <c r="CF253" s="39"/>
      <c r="CG253" s="39"/>
      <c r="CH253" s="37"/>
      <c r="CI253" s="37"/>
      <c r="CJ253" s="39"/>
      <c r="CK253" s="39"/>
      <c r="CL253" s="39"/>
      <c r="CM253" s="40"/>
      <c r="CN253" s="41"/>
      <c r="CO253" s="41">
        <f t="shared" si="83"/>
        <v>1.3333333333333335</v>
      </c>
    </row>
    <row r="254" spans="26:93" s="42" customFormat="1" ht="18" thickBot="1" x14ac:dyDescent="0.3">
      <c r="Z254" s="134"/>
      <c r="AA254" s="134"/>
      <c r="AC254" s="134"/>
      <c r="AD254" s="135"/>
      <c r="AG254" s="136"/>
      <c r="AH254" s="136"/>
      <c r="AJ254" s="134"/>
      <c r="AQ254" s="134"/>
      <c r="AR254" s="30"/>
      <c r="AS254" s="30"/>
      <c r="AT254" s="30"/>
      <c r="AU254" s="32"/>
      <c r="AV254" s="30"/>
      <c r="AW254" s="32"/>
      <c r="AX254" s="30"/>
      <c r="AY254" s="30"/>
      <c r="AZ254" s="30"/>
      <c r="BA254" s="32"/>
      <c r="BB254" s="32"/>
      <c r="BC254" s="30"/>
      <c r="BD254" s="30"/>
      <c r="BE254" s="32">
        <f t="shared" si="84"/>
        <v>5</v>
      </c>
      <c r="BF254" s="30">
        <f>0.4*21</f>
        <v>8.4</v>
      </c>
      <c r="BG254" s="242"/>
      <c r="BH254" s="177" t="s">
        <v>481</v>
      </c>
      <c r="BI254" s="191" t="s">
        <v>476</v>
      </c>
      <c r="BJ254" s="188">
        <f>0.25*0.8</f>
        <v>0.2</v>
      </c>
      <c r="BK254" s="177" t="s">
        <v>477</v>
      </c>
      <c r="BL254" s="176">
        <f>0.8/0.8</f>
        <v>1</v>
      </c>
      <c r="BM254" s="176">
        <f>1/0.8</f>
        <v>1.25</v>
      </c>
      <c r="BN254" s="175" t="s">
        <v>429</v>
      </c>
      <c r="BO254" s="37"/>
      <c r="BP254" s="36"/>
      <c r="BQ254" s="36"/>
      <c r="BR254" s="37"/>
      <c r="BS254" s="37"/>
      <c r="BT254" s="37"/>
      <c r="BU254" s="39"/>
      <c r="BV254" s="37"/>
      <c r="BW254" s="188"/>
      <c r="BX254" s="177"/>
      <c r="BY254" s="39"/>
      <c r="BZ254" s="39"/>
      <c r="CA254" s="39"/>
      <c r="CB254" s="37"/>
      <c r="CC254" s="37"/>
      <c r="CD254" s="39"/>
      <c r="CE254" s="39"/>
      <c r="CF254" s="39"/>
      <c r="CG254" s="39"/>
      <c r="CH254" s="37"/>
      <c r="CI254" s="37"/>
      <c r="CJ254" s="39"/>
      <c r="CK254" s="39"/>
      <c r="CL254" s="39"/>
      <c r="CM254" s="40"/>
      <c r="CN254" s="41"/>
      <c r="CO254" s="41">
        <f t="shared" si="83"/>
        <v>1.25</v>
      </c>
    </row>
    <row r="255" spans="26:93" s="42" customFormat="1" ht="18" thickBot="1" x14ac:dyDescent="0.3">
      <c r="Z255" s="134"/>
      <c r="AA255" s="134"/>
      <c r="AC255" s="134"/>
      <c r="AD255" s="135"/>
      <c r="AG255" s="136"/>
      <c r="AH255" s="136"/>
      <c r="AJ255" s="134"/>
      <c r="AQ255" s="134"/>
      <c r="AR255" s="30"/>
      <c r="AS255" s="30"/>
      <c r="AT255" s="30"/>
      <c r="AU255" s="32"/>
      <c r="AV255" s="30"/>
      <c r="AW255" s="32"/>
      <c r="AX255" s="30"/>
      <c r="AY255" s="30"/>
      <c r="AZ255" s="30"/>
      <c r="BA255" s="32"/>
      <c r="BB255" s="32"/>
      <c r="BC255" s="30"/>
      <c r="BD255" s="30"/>
      <c r="BE255" s="32">
        <f t="shared" si="84"/>
        <v>5</v>
      </c>
      <c r="BG255" s="242"/>
      <c r="BH255" s="177" t="s">
        <v>482</v>
      </c>
      <c r="BI255" s="191" t="s">
        <v>476</v>
      </c>
      <c r="BJ255" s="188">
        <f>0.25*0.8</f>
        <v>0.2</v>
      </c>
      <c r="BK255" s="177" t="s">
        <v>477</v>
      </c>
      <c r="BL255" s="176">
        <f>0.8/0.8</f>
        <v>1</v>
      </c>
      <c r="BM255" s="176">
        <f>1/0.8</f>
        <v>1.25</v>
      </c>
      <c r="BN255" s="175" t="s">
        <v>429</v>
      </c>
      <c r="BO255" s="37"/>
      <c r="BP255" s="36"/>
      <c r="BQ255" s="36"/>
      <c r="BR255" s="37"/>
      <c r="BS255" s="37"/>
      <c r="BT255" s="37"/>
      <c r="BU255" s="39"/>
      <c r="BV255" s="37"/>
      <c r="BW255" s="188"/>
      <c r="BX255" s="177"/>
      <c r="BY255" s="39"/>
      <c r="BZ255" s="39"/>
      <c r="CA255" s="39"/>
      <c r="CB255" s="37"/>
      <c r="CC255" s="37"/>
      <c r="CD255" s="39"/>
      <c r="CE255" s="39"/>
      <c r="CF255" s="39"/>
      <c r="CG255" s="39"/>
      <c r="CH255" s="37"/>
      <c r="CI255" s="37"/>
      <c r="CJ255" s="39"/>
      <c r="CK255" s="39"/>
      <c r="CL255" s="39"/>
      <c r="CM255" s="40"/>
      <c r="CN255" s="41"/>
      <c r="CO255" s="41">
        <f t="shared" si="83"/>
        <v>1.25</v>
      </c>
    </row>
    <row r="256" spans="26:93" s="42" customFormat="1" ht="18" thickBot="1" x14ac:dyDescent="0.3">
      <c r="Z256" s="134"/>
      <c r="AA256" s="134"/>
      <c r="AC256" s="134"/>
      <c r="AD256" s="135"/>
      <c r="AG256" s="136"/>
      <c r="AH256" s="136"/>
      <c r="AJ256" s="134"/>
      <c r="AQ256" s="134"/>
      <c r="AR256" s="30"/>
      <c r="AS256" s="30"/>
      <c r="AT256" s="30"/>
      <c r="AU256" s="32"/>
      <c r="AV256" s="30"/>
      <c r="AW256" s="32"/>
      <c r="AX256" s="30"/>
      <c r="AY256" s="30"/>
      <c r="AZ256" s="30"/>
      <c r="BA256" s="32"/>
      <c r="BB256" s="32"/>
      <c r="BC256" s="30"/>
      <c r="BD256" s="30"/>
      <c r="BE256" s="32">
        <f t="shared" si="84"/>
        <v>1.25</v>
      </c>
      <c r="BG256" s="242"/>
      <c r="BH256" s="177" t="s">
        <v>483</v>
      </c>
      <c r="BI256" s="191" t="s">
        <v>476</v>
      </c>
      <c r="BJ256" s="188">
        <f>0.25*0.2</f>
        <v>0.05</v>
      </c>
      <c r="BK256" s="177" t="s">
        <v>477</v>
      </c>
      <c r="BL256" s="176">
        <f>0/0.2</f>
        <v>0</v>
      </c>
      <c r="BM256" s="176">
        <f>0.3/0.2</f>
        <v>1.4999999999999998</v>
      </c>
      <c r="BN256" s="175" t="s">
        <v>429</v>
      </c>
      <c r="BO256" s="37"/>
      <c r="BP256" s="36"/>
      <c r="BQ256" s="36"/>
      <c r="BR256" s="37"/>
      <c r="BS256" s="37"/>
      <c r="BT256" s="37"/>
      <c r="BU256" s="39"/>
      <c r="BV256" s="37"/>
      <c r="BW256" s="188"/>
      <c r="BX256" s="177"/>
      <c r="BY256" s="39"/>
      <c r="BZ256" s="39"/>
      <c r="CA256" s="39"/>
      <c r="CB256" s="37"/>
      <c r="CC256" s="37"/>
      <c r="CD256" s="39"/>
      <c r="CE256" s="39"/>
      <c r="CF256" s="39"/>
      <c r="CG256" s="39"/>
      <c r="CH256" s="37"/>
      <c r="CI256" s="37"/>
      <c r="CJ256" s="39"/>
      <c r="CK256" s="39"/>
      <c r="CL256" s="39"/>
      <c r="CM256" s="40"/>
      <c r="CN256" s="41"/>
      <c r="CO256" s="41">
        <f t="shared" si="83"/>
        <v>1.4999999999999998</v>
      </c>
    </row>
    <row r="257" spans="26:93" s="42" customFormat="1" ht="18" thickBot="1" x14ac:dyDescent="0.3">
      <c r="Z257" s="134"/>
      <c r="AA257" s="134"/>
      <c r="AC257" s="134"/>
      <c r="AD257" s="135"/>
      <c r="AG257" s="136"/>
      <c r="AH257" s="136"/>
      <c r="AJ257" s="134"/>
      <c r="AQ257" s="134"/>
      <c r="AR257" s="30"/>
      <c r="AS257" s="30"/>
      <c r="AT257" s="30"/>
      <c r="AU257" s="32"/>
      <c r="AV257" s="30"/>
      <c r="AW257" s="32"/>
      <c r="AX257" s="30"/>
      <c r="AY257" s="30"/>
      <c r="AZ257" s="30"/>
      <c r="BA257" s="32"/>
      <c r="BB257" s="32"/>
      <c r="BC257" s="30"/>
      <c r="BD257" s="30"/>
      <c r="BE257" s="32">
        <f t="shared" si="84"/>
        <v>5</v>
      </c>
      <c r="BG257" s="242"/>
      <c r="BH257" s="177" t="s">
        <v>484</v>
      </c>
      <c r="BI257" s="191" t="s">
        <v>476</v>
      </c>
      <c r="BJ257" s="188">
        <f>0.25*0.8</f>
        <v>0.2</v>
      </c>
      <c r="BK257" s="177" t="s">
        <v>477</v>
      </c>
      <c r="BL257" s="176">
        <f>0.8/0.8</f>
        <v>1</v>
      </c>
      <c r="BM257" s="176">
        <f>1/0.8</f>
        <v>1.25</v>
      </c>
      <c r="BN257" s="175" t="s">
        <v>429</v>
      </c>
      <c r="BO257" s="37"/>
      <c r="BP257" s="36"/>
      <c r="BQ257" s="36"/>
      <c r="BR257" s="37"/>
      <c r="BS257" s="37"/>
      <c r="BT257" s="37"/>
      <c r="BU257" s="39"/>
      <c r="BV257" s="37"/>
      <c r="BW257" s="188"/>
      <c r="BX257" s="177"/>
      <c r="BY257" s="39"/>
      <c r="BZ257" s="39"/>
      <c r="CA257" s="39"/>
      <c r="CB257" s="37"/>
      <c r="CC257" s="37"/>
      <c r="CD257" s="39"/>
      <c r="CE257" s="39"/>
      <c r="CF257" s="39"/>
      <c r="CG257" s="39"/>
      <c r="CH257" s="37"/>
      <c r="CI257" s="37"/>
      <c r="CJ257" s="39"/>
      <c r="CK257" s="39"/>
      <c r="CL257" s="39"/>
      <c r="CM257" s="40"/>
      <c r="CN257" s="41"/>
      <c r="CO257" s="41">
        <f t="shared" si="83"/>
        <v>1.25</v>
      </c>
    </row>
    <row r="258" spans="26:93" s="42" customFormat="1" ht="18" thickBot="1" x14ac:dyDescent="0.3">
      <c r="Z258" s="134"/>
      <c r="AA258" s="134"/>
      <c r="AC258" s="134"/>
      <c r="AD258" s="135"/>
      <c r="AG258" s="136"/>
      <c r="AH258" s="136"/>
      <c r="AJ258" s="134"/>
      <c r="AQ258" s="134"/>
      <c r="AR258" s="30"/>
      <c r="AS258" s="30"/>
      <c r="AT258" s="30"/>
      <c r="AU258" s="32"/>
      <c r="AV258" s="30"/>
      <c r="AW258" s="32"/>
      <c r="AX258" s="30"/>
      <c r="AY258" s="30"/>
      <c r="AZ258" s="30"/>
      <c r="BA258" s="32"/>
      <c r="BB258" s="32"/>
      <c r="BC258" s="30"/>
      <c r="BD258" s="30"/>
      <c r="BE258" s="32">
        <f t="shared" ref="BE258:BE267" si="85">BJ258*25</f>
        <v>1.5</v>
      </c>
      <c r="BG258" s="242"/>
      <c r="BH258" s="177" t="s">
        <v>485</v>
      </c>
      <c r="BI258" s="191" t="s">
        <v>486</v>
      </c>
      <c r="BJ258" s="188">
        <v>0.06</v>
      </c>
      <c r="BK258" s="177" t="s">
        <v>487</v>
      </c>
      <c r="BL258" s="176">
        <v>0.57999999999999996</v>
      </c>
      <c r="BM258" s="176">
        <v>1.04</v>
      </c>
      <c r="BN258" s="175" t="s">
        <v>429</v>
      </c>
      <c r="BO258" s="37"/>
      <c r="BP258" s="36"/>
      <c r="BQ258" s="36"/>
      <c r="BR258" s="37"/>
      <c r="BS258" s="37"/>
      <c r="BT258" s="37"/>
      <c r="BU258" s="39"/>
      <c r="BV258" s="37"/>
      <c r="BW258" s="188"/>
      <c r="BX258" s="177"/>
      <c r="BY258" s="39"/>
      <c r="BZ258" s="39"/>
      <c r="CA258" s="39"/>
      <c r="CB258" s="37"/>
      <c r="CC258" s="37"/>
      <c r="CD258" s="39"/>
      <c r="CE258" s="39"/>
      <c r="CF258" s="39"/>
      <c r="CG258" s="39"/>
      <c r="CH258" s="37"/>
      <c r="CI258" s="37"/>
      <c r="CJ258" s="39"/>
      <c r="CK258" s="39"/>
      <c r="CL258" s="39"/>
      <c r="CM258" s="40"/>
      <c r="CN258" s="41"/>
      <c r="CO258" s="41">
        <f t="shared" si="83"/>
        <v>1.04</v>
      </c>
    </row>
    <row r="259" spans="26:93" s="42" customFormat="1" ht="18" thickBot="1" x14ac:dyDescent="0.3">
      <c r="Z259" s="134"/>
      <c r="AA259" s="134"/>
      <c r="AC259" s="134"/>
      <c r="AD259" s="135"/>
      <c r="AG259" s="136"/>
      <c r="AH259" s="136"/>
      <c r="AJ259" s="134"/>
      <c r="AQ259" s="134"/>
      <c r="AR259" s="30"/>
      <c r="AS259" s="30"/>
      <c r="AT259" s="30"/>
      <c r="AU259" s="32"/>
      <c r="AV259" s="30"/>
      <c r="AW259" s="32"/>
      <c r="AX259" s="30"/>
      <c r="AY259" s="30"/>
      <c r="AZ259" s="30"/>
      <c r="BA259" s="32"/>
      <c r="BB259" s="32"/>
      <c r="BC259" s="30"/>
      <c r="BD259" s="30"/>
      <c r="BE259" s="32">
        <f>BJ259*25</f>
        <v>7.5</v>
      </c>
      <c r="BF259" s="30"/>
      <c r="BG259" s="242"/>
      <c r="BH259" s="177" t="s">
        <v>488</v>
      </c>
      <c r="BI259" s="191" t="s">
        <v>486</v>
      </c>
      <c r="BJ259" s="188">
        <v>0.3</v>
      </c>
      <c r="BK259" s="177" t="s">
        <v>487</v>
      </c>
      <c r="BL259" s="176">
        <v>0.57999999999999996</v>
      </c>
      <c r="BM259" s="176">
        <f>0.4/0.3</f>
        <v>1.3333333333333335</v>
      </c>
      <c r="BN259" s="175" t="s">
        <v>429</v>
      </c>
      <c r="BO259" s="37"/>
      <c r="BP259" s="36"/>
      <c r="BQ259" s="36"/>
      <c r="BR259" s="37"/>
      <c r="BS259" s="37"/>
      <c r="BT259" s="37"/>
      <c r="BU259" s="39"/>
      <c r="BV259" s="37"/>
      <c r="BW259" s="188"/>
      <c r="BX259" s="177"/>
      <c r="BY259" s="39"/>
      <c r="BZ259" s="39"/>
      <c r="CA259" s="39"/>
      <c r="CB259" s="37"/>
      <c r="CC259" s="37"/>
      <c r="CD259" s="39"/>
      <c r="CE259" s="39"/>
      <c r="CF259" s="39"/>
      <c r="CG259" s="39"/>
      <c r="CH259" s="37"/>
      <c r="CI259" s="37"/>
      <c r="CJ259" s="39"/>
      <c r="CK259" s="39"/>
      <c r="CL259" s="39"/>
      <c r="CM259" s="40"/>
      <c r="CN259" s="41"/>
      <c r="CO259" s="41">
        <f t="shared" si="83"/>
        <v>1.3333333333333335</v>
      </c>
    </row>
    <row r="260" spans="26:93" s="42" customFormat="1" ht="27.5" thickBot="1" x14ac:dyDescent="0.3">
      <c r="Z260" s="134"/>
      <c r="AA260" s="134"/>
      <c r="AC260" s="134"/>
      <c r="AD260" s="135"/>
      <c r="AG260" s="136"/>
      <c r="AH260" s="136"/>
      <c r="AJ260" s="134"/>
      <c r="AQ260" s="134"/>
      <c r="AR260" s="30"/>
      <c r="AS260" s="30"/>
      <c r="AT260" s="30"/>
      <c r="AU260" s="32"/>
      <c r="AV260" s="30"/>
      <c r="AW260" s="32"/>
      <c r="AX260" s="30"/>
      <c r="AY260" s="30"/>
      <c r="AZ260" s="30"/>
      <c r="BA260" s="32"/>
      <c r="BB260" s="32"/>
      <c r="BC260" s="30"/>
      <c r="BD260" s="30"/>
      <c r="BE260" s="32">
        <f>BJ260*25</f>
        <v>0</v>
      </c>
      <c r="BF260" s="30">
        <f>0.4*21</f>
        <v>8.4</v>
      </c>
      <c r="BG260" s="242"/>
      <c r="BH260" s="177" t="s">
        <v>489</v>
      </c>
      <c r="BI260" s="191" t="s">
        <v>486</v>
      </c>
      <c r="BJ260" s="188">
        <v>0</v>
      </c>
      <c r="BK260" s="177" t="s">
        <v>487</v>
      </c>
      <c r="BL260" s="176">
        <f>0.8/0.8</f>
        <v>1</v>
      </c>
      <c r="BM260" s="176">
        <f>1/0.8</f>
        <v>1.25</v>
      </c>
      <c r="BN260" s="175" t="s">
        <v>429</v>
      </c>
      <c r="BO260" s="37"/>
      <c r="BP260" s="36"/>
      <c r="BQ260" s="36"/>
      <c r="BR260" s="37"/>
      <c r="BS260" s="37"/>
      <c r="BT260" s="37"/>
      <c r="BU260" s="39"/>
      <c r="BV260" s="37"/>
      <c r="BW260" s="188"/>
      <c r="BX260" s="177"/>
      <c r="BY260" s="39"/>
      <c r="BZ260" s="39"/>
      <c r="CA260" s="39"/>
      <c r="CB260" s="37"/>
      <c r="CC260" s="37"/>
      <c r="CD260" s="39"/>
      <c r="CE260" s="39"/>
      <c r="CF260" s="39"/>
      <c r="CG260" s="39"/>
      <c r="CH260" s="37"/>
      <c r="CI260" s="37"/>
      <c r="CJ260" s="39"/>
      <c r="CK260" s="39"/>
      <c r="CL260" s="39"/>
      <c r="CM260" s="40"/>
      <c r="CN260" s="41"/>
      <c r="CO260" s="41">
        <f t="shared" si="83"/>
        <v>1.25</v>
      </c>
    </row>
    <row r="261" spans="26:93" s="42" customFormat="1" ht="18" thickBot="1" x14ac:dyDescent="0.3">
      <c r="Z261" s="134"/>
      <c r="AA261" s="134"/>
      <c r="AC261" s="134"/>
      <c r="AD261" s="135"/>
      <c r="AG261" s="136"/>
      <c r="AH261" s="136"/>
      <c r="AJ261" s="134"/>
      <c r="AQ261" s="134"/>
      <c r="AR261" s="30"/>
      <c r="AS261" s="30"/>
      <c r="AT261" s="30"/>
      <c r="AU261" s="32"/>
      <c r="AV261" s="30"/>
      <c r="AW261" s="32"/>
      <c r="AX261" s="30"/>
      <c r="AY261" s="30"/>
      <c r="AZ261" s="30"/>
      <c r="BA261" s="32"/>
      <c r="BB261" s="32"/>
      <c r="BC261" s="30"/>
      <c r="BD261" s="30"/>
      <c r="BE261" s="32">
        <f>BJ261*25</f>
        <v>0</v>
      </c>
      <c r="BF261" s="30"/>
      <c r="BG261" s="242"/>
      <c r="BH261" s="473" t="s">
        <v>490</v>
      </c>
      <c r="BI261" s="191" t="s">
        <v>486</v>
      </c>
      <c r="BJ261" s="188">
        <v>0</v>
      </c>
      <c r="BK261" s="177" t="s">
        <v>487</v>
      </c>
      <c r="BL261" s="176">
        <f>0.8/0.8</f>
        <v>1</v>
      </c>
      <c r="BM261" s="176">
        <f>1/0.8</f>
        <v>1.25</v>
      </c>
      <c r="BN261" s="175" t="s">
        <v>429</v>
      </c>
      <c r="BO261" s="37"/>
      <c r="BP261" s="36"/>
      <c r="BQ261" s="36"/>
      <c r="BR261" s="37"/>
      <c r="BS261" s="37"/>
      <c r="BT261" s="37"/>
      <c r="BU261" s="39"/>
      <c r="BV261" s="37"/>
      <c r="BW261" s="188"/>
      <c r="BX261" s="177"/>
      <c r="BY261" s="39"/>
      <c r="BZ261" s="39"/>
      <c r="CA261" s="39"/>
      <c r="CB261" s="37"/>
      <c r="CC261" s="37"/>
      <c r="CD261" s="39"/>
      <c r="CE261" s="39"/>
      <c r="CF261" s="39"/>
      <c r="CG261" s="39"/>
      <c r="CH261" s="37"/>
      <c r="CI261" s="37"/>
      <c r="CJ261" s="39"/>
      <c r="CK261" s="39"/>
      <c r="CL261" s="39"/>
      <c r="CM261" s="40"/>
      <c r="CN261" s="41"/>
      <c r="CO261" s="41">
        <f t="shared" si="83"/>
        <v>1.25</v>
      </c>
    </row>
    <row r="262" spans="26:93" s="42" customFormat="1" ht="18" thickBot="1" x14ac:dyDescent="0.3">
      <c r="Z262" s="134"/>
      <c r="AA262" s="134"/>
      <c r="AC262" s="134"/>
      <c r="AD262" s="135"/>
      <c r="AG262" s="136"/>
      <c r="AH262" s="136"/>
      <c r="AJ262" s="134"/>
      <c r="AQ262" s="134"/>
      <c r="AR262" s="30"/>
      <c r="AS262" s="30"/>
      <c r="AT262" s="30"/>
      <c r="AU262" s="32"/>
      <c r="AV262" s="30"/>
      <c r="AW262" s="32"/>
      <c r="AX262" s="30"/>
      <c r="AY262" s="30"/>
      <c r="AZ262" s="30"/>
      <c r="BA262" s="32"/>
      <c r="BB262" s="32"/>
      <c r="BC262" s="30"/>
      <c r="BD262" s="30"/>
      <c r="BE262" s="32">
        <f>BJ262*25</f>
        <v>4.5</v>
      </c>
      <c r="BF262" s="30"/>
      <c r="BG262" s="242"/>
      <c r="BH262" s="177" t="s">
        <v>491</v>
      </c>
      <c r="BI262" s="191" t="s">
        <v>486</v>
      </c>
      <c r="BJ262" s="188">
        <v>0.18</v>
      </c>
      <c r="BK262" s="177" t="s">
        <v>487</v>
      </c>
      <c r="BL262" s="176">
        <v>0.42</v>
      </c>
      <c r="BM262" s="176">
        <f>0.3/0.2</f>
        <v>1.4999999999999998</v>
      </c>
      <c r="BN262" s="175" t="s">
        <v>429</v>
      </c>
      <c r="BO262" s="37"/>
      <c r="BP262" s="36"/>
      <c r="BQ262" s="36"/>
      <c r="BR262" s="37"/>
      <c r="BS262" s="37"/>
      <c r="BT262" s="37"/>
      <c r="BU262" s="39"/>
      <c r="BV262" s="37"/>
      <c r="BW262" s="188"/>
      <c r="BX262" s="177"/>
      <c r="BY262" s="39"/>
      <c r="BZ262" s="39"/>
      <c r="CA262" s="39"/>
      <c r="CB262" s="37"/>
      <c r="CC262" s="37"/>
      <c r="CD262" s="39"/>
      <c r="CE262" s="39"/>
      <c r="CF262" s="39"/>
      <c r="CG262" s="39"/>
      <c r="CH262" s="37"/>
      <c r="CI262" s="37"/>
      <c r="CJ262" s="39"/>
      <c r="CK262" s="39"/>
      <c r="CL262" s="39"/>
      <c r="CM262" s="40"/>
      <c r="CN262" s="41"/>
      <c r="CO262" s="41">
        <f t="shared" si="83"/>
        <v>1.4999999999999998</v>
      </c>
    </row>
    <row r="263" spans="26:93" s="42" customFormat="1" ht="18" thickBot="1" x14ac:dyDescent="0.3">
      <c r="Z263" s="134"/>
      <c r="AA263" s="134"/>
      <c r="AC263" s="134"/>
      <c r="AD263" s="135"/>
      <c r="AG263" s="136"/>
      <c r="AH263" s="136"/>
      <c r="AJ263" s="134"/>
      <c r="AQ263" s="134"/>
      <c r="AR263" s="30"/>
      <c r="AS263" s="30"/>
      <c r="AT263" s="30"/>
      <c r="AU263" s="32"/>
      <c r="AV263" s="30"/>
      <c r="AW263" s="32"/>
      <c r="AX263" s="30"/>
      <c r="AY263" s="30"/>
      <c r="AZ263" s="30"/>
      <c r="BA263" s="32"/>
      <c r="BB263" s="32"/>
      <c r="BC263" s="30"/>
      <c r="BD263" s="30"/>
      <c r="BE263" s="32">
        <f t="shared" si="85"/>
        <v>12</v>
      </c>
      <c r="BF263" s="30"/>
      <c r="BG263" s="242"/>
      <c r="BH263" s="177" t="s">
        <v>492</v>
      </c>
      <c r="BI263" s="191" t="s">
        <v>486</v>
      </c>
      <c r="BJ263" s="188">
        <v>0.48</v>
      </c>
      <c r="BK263" s="177" t="s">
        <v>487</v>
      </c>
      <c r="BL263" s="176">
        <v>0.32</v>
      </c>
      <c r="BM263" s="176">
        <f>0.4/0.3</f>
        <v>1.3333333333333335</v>
      </c>
      <c r="BN263" s="175" t="s">
        <v>429</v>
      </c>
      <c r="BO263" s="37"/>
      <c r="BP263" s="36"/>
      <c r="BQ263" s="36"/>
      <c r="BR263" s="37"/>
      <c r="BS263" s="37"/>
      <c r="BT263" s="37"/>
      <c r="BU263" s="39"/>
      <c r="BV263" s="37"/>
      <c r="BW263" s="188"/>
      <c r="BX263" s="177"/>
      <c r="BY263" s="39"/>
      <c r="BZ263" s="39"/>
      <c r="CA263" s="39"/>
      <c r="CB263" s="37"/>
      <c r="CC263" s="37"/>
      <c r="CD263" s="39"/>
      <c r="CE263" s="39"/>
      <c r="CF263" s="39"/>
      <c r="CG263" s="39"/>
      <c r="CH263" s="37"/>
      <c r="CI263" s="37"/>
      <c r="CJ263" s="39"/>
      <c r="CK263" s="39"/>
      <c r="CL263" s="39"/>
      <c r="CM263" s="40"/>
      <c r="CN263" s="41"/>
      <c r="CO263" s="41">
        <f t="shared" si="83"/>
        <v>1.3333333333333335</v>
      </c>
    </row>
    <row r="264" spans="26:93" s="42" customFormat="1" ht="18" thickBot="1" x14ac:dyDescent="0.3">
      <c r="Z264" s="134"/>
      <c r="AA264" s="134"/>
      <c r="AC264" s="134"/>
      <c r="AD264" s="135"/>
      <c r="AG264" s="136"/>
      <c r="AH264" s="136"/>
      <c r="AJ264" s="134"/>
      <c r="AQ264" s="134"/>
      <c r="AR264" s="30"/>
      <c r="AS264" s="30"/>
      <c r="AT264" s="30"/>
      <c r="AU264" s="32"/>
      <c r="AV264" s="30"/>
      <c r="AW264" s="32"/>
      <c r="AX264" s="30"/>
      <c r="AY264" s="30"/>
      <c r="AZ264" s="30"/>
      <c r="BA264" s="32"/>
      <c r="BB264" s="32"/>
      <c r="BC264" s="30"/>
      <c r="BD264" s="30"/>
      <c r="BE264" s="32">
        <f t="shared" si="85"/>
        <v>12</v>
      </c>
      <c r="BF264" s="30">
        <f>0.4*21</f>
        <v>8.4</v>
      </c>
      <c r="BG264" s="242"/>
      <c r="BH264" s="177" t="s">
        <v>493</v>
      </c>
      <c r="BI264" s="191" t="s">
        <v>486</v>
      </c>
      <c r="BJ264" s="188">
        <v>0.48</v>
      </c>
      <c r="BK264" s="177" t="s">
        <v>487</v>
      </c>
      <c r="BL264" s="176">
        <v>0.32</v>
      </c>
      <c r="BM264" s="176">
        <f>1/0.8</f>
        <v>1.25</v>
      </c>
      <c r="BN264" s="175" t="s">
        <v>429</v>
      </c>
      <c r="BO264" s="37"/>
      <c r="BP264" s="36"/>
      <c r="BQ264" s="36"/>
      <c r="BR264" s="37"/>
      <c r="BS264" s="37"/>
      <c r="BT264" s="37"/>
      <c r="BU264" s="39"/>
      <c r="BV264" s="37"/>
      <c r="BW264" s="188"/>
      <c r="BX264" s="177"/>
      <c r="BY264" s="39"/>
      <c r="BZ264" s="39"/>
      <c r="CA264" s="39"/>
      <c r="CB264" s="37"/>
      <c r="CC264" s="37"/>
      <c r="CD264" s="39"/>
      <c r="CE264" s="39"/>
      <c r="CF264" s="39"/>
      <c r="CG264" s="39"/>
      <c r="CH264" s="37"/>
      <c r="CI264" s="37"/>
      <c r="CJ264" s="39"/>
      <c r="CK264" s="39"/>
      <c r="CL264" s="39"/>
      <c r="CM264" s="40"/>
      <c r="CN264" s="41"/>
      <c r="CO264" s="41">
        <f t="shared" si="83"/>
        <v>1.25</v>
      </c>
    </row>
    <row r="265" spans="26:93" s="42" customFormat="1" ht="18" thickBot="1" x14ac:dyDescent="0.3">
      <c r="Z265" s="134"/>
      <c r="AA265" s="134"/>
      <c r="AC265" s="134"/>
      <c r="AD265" s="135"/>
      <c r="AG265" s="136"/>
      <c r="AH265" s="136"/>
      <c r="AJ265" s="134"/>
      <c r="AQ265" s="134"/>
      <c r="AR265" s="30"/>
      <c r="AS265" s="30"/>
      <c r="AT265" s="30"/>
      <c r="AU265" s="32"/>
      <c r="AV265" s="30"/>
      <c r="AW265" s="32"/>
      <c r="AX265" s="30"/>
      <c r="AY265" s="30"/>
      <c r="AZ265" s="30"/>
      <c r="BA265" s="32"/>
      <c r="BB265" s="32"/>
      <c r="BC265" s="30"/>
      <c r="BD265" s="30"/>
      <c r="BE265" s="32">
        <f t="shared" si="85"/>
        <v>3</v>
      </c>
      <c r="BF265" s="30"/>
      <c r="BG265" s="242"/>
      <c r="BH265" s="177" t="s">
        <v>494</v>
      </c>
      <c r="BI265" s="191" t="s">
        <v>486</v>
      </c>
      <c r="BJ265" s="188">
        <v>0.12</v>
      </c>
      <c r="BK265" s="177" t="s">
        <v>487</v>
      </c>
      <c r="BL265" s="176">
        <v>0.42</v>
      </c>
      <c r="BM265" s="176">
        <f>1/0.8</f>
        <v>1.25</v>
      </c>
      <c r="BN265" s="175" t="s">
        <v>429</v>
      </c>
      <c r="BO265" s="37"/>
      <c r="BP265" s="36"/>
      <c r="BQ265" s="36"/>
      <c r="BR265" s="37"/>
      <c r="BS265" s="37"/>
      <c r="BT265" s="37"/>
      <c r="BU265" s="39"/>
      <c r="BV265" s="37"/>
      <c r="BW265" s="188"/>
      <c r="BX265" s="177"/>
      <c r="BY265" s="39"/>
      <c r="BZ265" s="39"/>
      <c r="CA265" s="39"/>
      <c r="CB265" s="37"/>
      <c r="CC265" s="37"/>
      <c r="CD265" s="39"/>
      <c r="CE265" s="39"/>
      <c r="CF265" s="39"/>
      <c r="CG265" s="39"/>
      <c r="CH265" s="37"/>
      <c r="CI265" s="37"/>
      <c r="CJ265" s="39"/>
      <c r="CK265" s="39"/>
      <c r="CL265" s="39"/>
      <c r="CM265" s="40"/>
      <c r="CN265" s="41"/>
      <c r="CO265" s="41">
        <f t="shared" si="83"/>
        <v>1.25</v>
      </c>
    </row>
    <row r="266" spans="26:93" s="42" customFormat="1" ht="18" thickBot="1" x14ac:dyDescent="0.3">
      <c r="Z266" s="134"/>
      <c r="AA266" s="134"/>
      <c r="AC266" s="134"/>
      <c r="AD266" s="135"/>
      <c r="AG266" s="136"/>
      <c r="AH266" s="136"/>
      <c r="AJ266" s="134"/>
      <c r="AQ266" s="134"/>
      <c r="AR266" s="30"/>
      <c r="AS266" s="30"/>
      <c r="AT266" s="30"/>
      <c r="AU266" s="32"/>
      <c r="AV266" s="30"/>
      <c r="AW266" s="32"/>
      <c r="AX266" s="30"/>
      <c r="AY266" s="30"/>
      <c r="AZ266" s="30"/>
      <c r="BA266" s="32"/>
      <c r="BB266" s="32"/>
      <c r="BC266" s="30"/>
      <c r="BD266" s="30"/>
      <c r="BE266" s="32">
        <f t="shared" si="85"/>
        <v>12</v>
      </c>
      <c r="BF266" s="30"/>
      <c r="BG266" s="242"/>
      <c r="BH266" s="177" t="s">
        <v>495</v>
      </c>
      <c r="BI266" s="191" t="s">
        <v>486</v>
      </c>
      <c r="BJ266" s="188">
        <v>0.48</v>
      </c>
      <c r="BK266" s="177" t="s">
        <v>487</v>
      </c>
      <c r="BL266" s="176">
        <v>0.42</v>
      </c>
      <c r="BM266" s="176">
        <f>0.3/0.2</f>
        <v>1.4999999999999998</v>
      </c>
      <c r="BN266" s="175" t="s">
        <v>429</v>
      </c>
      <c r="BO266" s="37"/>
      <c r="BP266" s="36"/>
      <c r="BQ266" s="36"/>
      <c r="BR266" s="37"/>
      <c r="BS266" s="37"/>
      <c r="BT266" s="37"/>
      <c r="BU266" s="39"/>
      <c r="BV266" s="37"/>
      <c r="BW266" s="188"/>
      <c r="BX266" s="177"/>
      <c r="BY266" s="39"/>
      <c r="BZ266" s="39"/>
      <c r="CA266" s="39"/>
      <c r="CB266" s="37"/>
      <c r="CC266" s="37"/>
      <c r="CD266" s="39"/>
      <c r="CE266" s="39"/>
      <c r="CF266" s="39"/>
      <c r="CG266" s="39"/>
      <c r="CH266" s="37"/>
      <c r="CI266" s="37"/>
      <c r="CJ266" s="39"/>
      <c r="CK266" s="39"/>
      <c r="CL266" s="39"/>
      <c r="CM266" s="40"/>
      <c r="CN266" s="41"/>
      <c r="CO266" s="41">
        <f t="shared" si="83"/>
        <v>1.4999999999999998</v>
      </c>
    </row>
    <row r="267" spans="26:93" s="42" customFormat="1" ht="18" thickBot="1" x14ac:dyDescent="0.3">
      <c r="Z267" s="134"/>
      <c r="AA267" s="134"/>
      <c r="AC267" s="134"/>
      <c r="AD267" s="135"/>
      <c r="AG267" s="136"/>
      <c r="AH267" s="136"/>
      <c r="AJ267" s="134"/>
      <c r="AQ267" s="134"/>
      <c r="AR267" s="30"/>
      <c r="AS267" s="30"/>
      <c r="AT267" s="30"/>
      <c r="AU267" s="32"/>
      <c r="AV267" s="30"/>
      <c r="AW267" s="32"/>
      <c r="AX267" s="30"/>
      <c r="AY267" s="30"/>
      <c r="AZ267" s="30"/>
      <c r="BA267" s="32"/>
      <c r="BB267" s="32"/>
      <c r="BC267" s="30"/>
      <c r="BD267" s="30"/>
      <c r="BE267" s="32">
        <f t="shared" si="85"/>
        <v>7.5</v>
      </c>
      <c r="BF267" s="30"/>
      <c r="BG267" s="242"/>
      <c r="BH267" s="177" t="s">
        <v>496</v>
      </c>
      <c r="BI267" s="191" t="s">
        <v>486</v>
      </c>
      <c r="BJ267" s="188">
        <v>0.3</v>
      </c>
      <c r="BK267" s="177" t="s">
        <v>487</v>
      </c>
      <c r="BL267" s="176">
        <v>0.3</v>
      </c>
      <c r="BM267" s="176">
        <f>1/0.8</f>
        <v>1.25</v>
      </c>
      <c r="BN267" s="175" t="s">
        <v>429</v>
      </c>
      <c r="BO267" s="37"/>
      <c r="BP267" s="36"/>
      <c r="BQ267" s="36"/>
      <c r="BR267" s="37"/>
      <c r="BS267" s="37"/>
      <c r="BT267" s="37"/>
      <c r="BU267" s="39"/>
      <c r="BV267" s="37"/>
      <c r="BW267" s="188"/>
      <c r="BX267" s="177"/>
      <c r="BY267" s="39"/>
      <c r="BZ267" s="39"/>
      <c r="CA267" s="39"/>
      <c r="CB267" s="37"/>
      <c r="CC267" s="37"/>
      <c r="CD267" s="39"/>
      <c r="CE267" s="39"/>
      <c r="CF267" s="39"/>
      <c r="CG267" s="39"/>
      <c r="CH267" s="37"/>
      <c r="CI267" s="37"/>
      <c r="CJ267" s="39"/>
      <c r="CK267" s="39"/>
      <c r="CL267" s="39"/>
      <c r="CM267" s="40"/>
      <c r="CN267" s="41"/>
      <c r="CO267" s="41">
        <f t="shared" si="83"/>
        <v>1.25</v>
      </c>
    </row>
    <row r="268" spans="26:93" s="43" customFormat="1" ht="27.5" thickBot="1" x14ac:dyDescent="0.3">
      <c r="Z268" s="147"/>
      <c r="AA268" s="147"/>
      <c r="AC268" s="147"/>
      <c r="AD268" s="148"/>
      <c r="AG268" s="149"/>
      <c r="AH268" s="149"/>
      <c r="AJ268" s="147"/>
      <c r="AQ268" s="147"/>
      <c r="AR268" s="30"/>
      <c r="AS268" s="30"/>
      <c r="AT268" s="30"/>
      <c r="AU268" s="30"/>
      <c r="AV268" s="30"/>
      <c r="AW268" s="30"/>
      <c r="AX268" s="30"/>
      <c r="AY268" s="30"/>
      <c r="AZ268" s="30"/>
      <c r="BA268" s="30"/>
      <c r="BB268" s="30"/>
      <c r="BC268" s="32"/>
      <c r="BD268" s="30"/>
      <c r="BE268" s="32"/>
      <c r="BF268" s="30"/>
      <c r="BG268" s="242" t="s">
        <v>497</v>
      </c>
      <c r="BH268" s="177" t="s">
        <v>498</v>
      </c>
      <c r="BI268" s="191" t="s">
        <v>476</v>
      </c>
      <c r="BJ268" s="188">
        <v>0.2</v>
      </c>
      <c r="BK268" s="177" t="s">
        <v>477</v>
      </c>
      <c r="BL268" s="176">
        <v>0.05</v>
      </c>
      <c r="BM268" s="176">
        <v>0.39</v>
      </c>
      <c r="BN268" s="175" t="s">
        <v>429</v>
      </c>
      <c r="BO268" s="151"/>
      <c r="BR268" s="151"/>
      <c r="BS268" s="151"/>
      <c r="BT268" s="151"/>
      <c r="BU268" s="152"/>
      <c r="BV268" s="151"/>
      <c r="BW268" s="195">
        <f>0.25*0.9*25</f>
        <v>5.625</v>
      </c>
      <c r="BX268" s="196" t="s">
        <v>478</v>
      </c>
      <c r="BY268" s="152"/>
      <c r="BZ268" s="152"/>
      <c r="CA268" s="152"/>
      <c r="CB268" s="151"/>
      <c r="CC268" s="151"/>
      <c r="CD268" s="152"/>
      <c r="CE268" s="152"/>
      <c r="CF268" s="152"/>
      <c r="CG268" s="152"/>
      <c r="CH268" s="151"/>
      <c r="CI268" s="151"/>
      <c r="CJ268" s="152"/>
      <c r="CK268" s="152"/>
      <c r="CL268" s="152"/>
      <c r="CM268" s="152"/>
      <c r="CN268" s="41">
        <v>0.05</v>
      </c>
      <c r="CO268" s="41">
        <f t="shared" si="83"/>
        <v>0.39</v>
      </c>
    </row>
    <row r="269" spans="26:93" s="43" customFormat="1" ht="27.5" thickBot="1" x14ac:dyDescent="0.3">
      <c r="Z269" s="147"/>
      <c r="AA269" s="147"/>
      <c r="AC269" s="147"/>
      <c r="AD269" s="148"/>
      <c r="AG269" s="149"/>
      <c r="AH269" s="149"/>
      <c r="AJ269" s="147"/>
      <c r="AQ269" s="147"/>
      <c r="AR269" s="30"/>
      <c r="AS269" s="30"/>
      <c r="AT269" s="30"/>
      <c r="AU269" s="30"/>
      <c r="AV269" s="30"/>
      <c r="AW269" s="30"/>
      <c r="AX269" s="30"/>
      <c r="AY269" s="30"/>
      <c r="AZ269" s="30"/>
      <c r="BA269" s="30"/>
      <c r="BB269" s="30"/>
      <c r="BC269" s="32"/>
      <c r="BD269" s="30"/>
      <c r="BE269" s="32"/>
      <c r="BF269" s="30"/>
      <c r="BG269" s="242" t="s">
        <v>497</v>
      </c>
      <c r="BH269" s="177" t="s">
        <v>499</v>
      </c>
      <c r="BI269" s="191" t="s">
        <v>486</v>
      </c>
      <c r="BJ269" s="188">
        <v>0.48</v>
      </c>
      <c r="BK269" s="177" t="s">
        <v>487</v>
      </c>
      <c r="BL269" s="176">
        <v>0.05</v>
      </c>
      <c r="BM269" s="176">
        <v>0.32</v>
      </c>
      <c r="BN269" s="175" t="s">
        <v>429</v>
      </c>
      <c r="BO269" s="151"/>
      <c r="BR269" s="151"/>
      <c r="BS269" s="151"/>
      <c r="BT269" s="151"/>
      <c r="BU269" s="152"/>
      <c r="BV269" s="151"/>
      <c r="BW269" s="195">
        <f>0.25*0.9*25</f>
        <v>5.625</v>
      </c>
      <c r="BX269" s="196" t="s">
        <v>478</v>
      </c>
      <c r="BY269" s="152"/>
      <c r="BZ269" s="152"/>
      <c r="CA269" s="152"/>
      <c r="CB269" s="151"/>
      <c r="CC269" s="151"/>
      <c r="CD269" s="152"/>
      <c r="CE269" s="152"/>
      <c r="CF269" s="152"/>
      <c r="CG269" s="152"/>
      <c r="CH269" s="151"/>
      <c r="CI269" s="151"/>
      <c r="CJ269" s="152"/>
      <c r="CK269" s="152"/>
      <c r="CL269" s="152"/>
      <c r="CM269" s="152"/>
      <c r="CN269" s="41">
        <v>0.05</v>
      </c>
      <c r="CO269" s="41">
        <f t="shared" si="83"/>
        <v>0.32</v>
      </c>
    </row>
    <row r="270" spans="26:93" s="43" customFormat="1" ht="18" thickBot="1" x14ac:dyDescent="0.3">
      <c r="Z270" s="147"/>
      <c r="AA270" s="147"/>
      <c r="AC270" s="147"/>
      <c r="AD270" s="148"/>
      <c r="AG270" s="149"/>
      <c r="AH270" s="149"/>
      <c r="AJ270" s="147"/>
      <c r="AQ270" s="147"/>
      <c r="AR270" s="30"/>
      <c r="AS270" s="30"/>
      <c r="AT270" s="30"/>
      <c r="AU270" s="30"/>
      <c r="AV270" s="30"/>
      <c r="AW270" s="30"/>
      <c r="AX270" s="30"/>
      <c r="AY270" s="30"/>
      <c r="AZ270" s="30"/>
      <c r="BA270" s="30"/>
      <c r="BB270" s="30"/>
      <c r="BC270" s="30"/>
      <c r="BD270" s="30"/>
      <c r="BE270" s="30" t="s">
        <v>500</v>
      </c>
      <c r="BF270" s="33">
        <f>AU285</f>
        <v>5.497666666666666E-2</v>
      </c>
      <c r="BG270" s="242" t="s">
        <v>474</v>
      </c>
      <c r="BH270" s="473" t="s">
        <v>284</v>
      </c>
      <c r="BI270" s="191" t="s">
        <v>501</v>
      </c>
      <c r="BJ270" s="197">
        <f>AU285</f>
        <v>5.497666666666666E-2</v>
      </c>
      <c r="BK270" s="177" t="s">
        <v>502</v>
      </c>
      <c r="BL270" s="176">
        <v>0.05</v>
      </c>
      <c r="BM270" s="176">
        <v>0.3</v>
      </c>
      <c r="BN270" s="175" t="s">
        <v>429</v>
      </c>
      <c r="BO270" s="151"/>
      <c r="BR270" s="151"/>
      <c r="BS270" s="151"/>
      <c r="BT270" s="151"/>
      <c r="BU270" s="152"/>
      <c r="BV270" s="151"/>
      <c r="BW270" s="195"/>
      <c r="BX270" s="196"/>
      <c r="BY270" s="152"/>
      <c r="BZ270" s="152"/>
      <c r="CA270" s="152"/>
      <c r="CB270" s="151"/>
      <c r="CC270" s="151"/>
      <c r="CD270" s="152"/>
      <c r="CE270" s="152"/>
      <c r="CF270" s="152"/>
      <c r="CG270" s="152"/>
      <c r="CH270" s="151"/>
      <c r="CI270" s="151"/>
      <c r="CJ270" s="152"/>
      <c r="CK270" s="152"/>
      <c r="CL270" s="152"/>
      <c r="CM270" s="152"/>
      <c r="CN270" s="41">
        <v>0.28999999999999998</v>
      </c>
      <c r="CO270" s="41">
        <f t="shared" si="83"/>
        <v>0.3</v>
      </c>
    </row>
    <row r="271" spans="26:93" s="43" customFormat="1" ht="18" thickBot="1" x14ac:dyDescent="0.3">
      <c r="Z271" s="147"/>
      <c r="AA271" s="147"/>
      <c r="AC271" s="147"/>
      <c r="AD271" s="148"/>
      <c r="AG271" s="149"/>
      <c r="AH271" s="149"/>
      <c r="AJ271" s="147"/>
      <c r="AQ271" s="147"/>
      <c r="AR271" s="30"/>
      <c r="AS271" s="30"/>
      <c r="AT271" s="30"/>
      <c r="AU271" s="30"/>
      <c r="AV271" s="30"/>
      <c r="AW271" s="30"/>
      <c r="AX271" s="30"/>
      <c r="AY271" s="30"/>
      <c r="AZ271" s="30"/>
      <c r="BA271" s="30"/>
      <c r="BB271" s="30"/>
      <c r="BC271" s="30"/>
      <c r="BD271" s="30"/>
      <c r="BE271" s="30"/>
      <c r="BF271" s="33"/>
      <c r="BG271" s="242"/>
      <c r="BH271" s="177" t="s">
        <v>503</v>
      </c>
      <c r="BI271" s="191" t="s">
        <v>501</v>
      </c>
      <c r="BJ271" s="197">
        <f>AV285</f>
        <v>2.748833333333333E-2</v>
      </c>
      <c r="BK271" s="177" t="s">
        <v>502</v>
      </c>
      <c r="BL271" s="176">
        <v>0.05</v>
      </c>
      <c r="BM271" s="176">
        <v>0.3</v>
      </c>
      <c r="BN271" s="175" t="s">
        <v>429</v>
      </c>
      <c r="BO271" s="151"/>
      <c r="BR271" s="151"/>
      <c r="BS271" s="151"/>
      <c r="BT271" s="151"/>
      <c r="BU271" s="152"/>
      <c r="BV271" s="151"/>
      <c r="BW271" s="195"/>
      <c r="BX271" s="196"/>
      <c r="BY271" s="152"/>
      <c r="BZ271" s="152"/>
      <c r="CA271" s="152"/>
      <c r="CB271" s="151"/>
      <c r="CC271" s="151"/>
      <c r="CD271" s="152"/>
      <c r="CE271" s="152"/>
      <c r="CF271" s="152"/>
      <c r="CG271" s="152"/>
      <c r="CH271" s="151"/>
      <c r="CI271" s="151"/>
      <c r="CJ271" s="152"/>
      <c r="CK271" s="152"/>
      <c r="CL271" s="152"/>
      <c r="CM271" s="152"/>
      <c r="CN271" s="41"/>
      <c r="CO271" s="41">
        <f t="shared" si="83"/>
        <v>0.3</v>
      </c>
    </row>
    <row r="272" spans="26:93" s="43" customFormat="1" ht="18" thickBot="1" x14ac:dyDescent="0.3">
      <c r="Z272" s="147"/>
      <c r="AA272" s="147"/>
      <c r="AC272" s="147"/>
      <c r="AD272" s="148"/>
      <c r="AG272" s="149"/>
      <c r="AH272" s="149"/>
      <c r="AJ272" s="147"/>
      <c r="AQ272" s="147"/>
      <c r="AR272" s="30"/>
      <c r="AS272" s="30"/>
      <c r="AT272" s="30"/>
      <c r="AU272" s="30"/>
      <c r="AV272" s="30"/>
      <c r="AW272" s="30"/>
      <c r="AX272" s="30"/>
      <c r="AY272" s="30"/>
      <c r="AZ272" s="30"/>
      <c r="BA272" s="30"/>
      <c r="BB272" s="30"/>
      <c r="BC272" s="30"/>
      <c r="BD272" s="30"/>
      <c r="BE272" s="30"/>
      <c r="BF272" s="33"/>
      <c r="BG272" s="242"/>
      <c r="BH272" s="177" t="s">
        <v>504</v>
      </c>
      <c r="BI272" s="191" t="s">
        <v>501</v>
      </c>
      <c r="BJ272" s="197">
        <f>AW285</f>
        <v>3.9583199999999999E-2</v>
      </c>
      <c r="BK272" s="177" t="s">
        <v>502</v>
      </c>
      <c r="BL272" s="176">
        <v>0.05</v>
      </c>
      <c r="BM272" s="176">
        <v>0.3</v>
      </c>
      <c r="BN272" s="175" t="s">
        <v>429</v>
      </c>
      <c r="BO272" s="151"/>
      <c r="BR272" s="151"/>
      <c r="BS272" s="151"/>
      <c r="BT272" s="151"/>
      <c r="BU272" s="152"/>
      <c r="BV272" s="151"/>
      <c r="BW272" s="195"/>
      <c r="BX272" s="196"/>
      <c r="BY272" s="152"/>
      <c r="BZ272" s="152"/>
      <c r="CA272" s="152"/>
      <c r="CB272" s="151"/>
      <c r="CC272" s="151"/>
      <c r="CD272" s="152"/>
      <c r="CE272" s="152"/>
      <c r="CF272" s="152"/>
      <c r="CG272" s="152"/>
      <c r="CH272" s="151"/>
      <c r="CI272" s="151"/>
      <c r="CJ272" s="152"/>
      <c r="CK272" s="152"/>
      <c r="CL272" s="152"/>
      <c r="CM272" s="152"/>
      <c r="CN272" s="41"/>
      <c r="CO272" s="41">
        <f t="shared" si="83"/>
        <v>0.3</v>
      </c>
    </row>
    <row r="273" spans="26:93" s="43" customFormat="1" ht="18" thickBot="1" x14ac:dyDescent="0.3">
      <c r="Z273" s="147"/>
      <c r="AA273" s="147"/>
      <c r="AC273" s="147"/>
      <c r="AD273" s="148"/>
      <c r="AG273" s="149"/>
      <c r="AH273" s="149"/>
      <c r="AJ273" s="147"/>
      <c r="AQ273" s="147"/>
      <c r="AR273" s="30"/>
      <c r="AS273" s="30"/>
      <c r="AT273" s="30"/>
      <c r="AU273" s="30"/>
      <c r="AV273" s="30"/>
      <c r="AW273" s="30"/>
      <c r="AX273" s="30"/>
      <c r="AY273" s="30"/>
      <c r="AZ273" s="30"/>
      <c r="BA273" s="30"/>
      <c r="BB273" s="30"/>
      <c r="BC273" s="30"/>
      <c r="BD273" s="30"/>
      <c r="BE273" s="30"/>
      <c r="BF273" s="148"/>
      <c r="BG273" s="242"/>
      <c r="BH273" s="177" t="s">
        <v>505</v>
      </c>
      <c r="BI273" s="191" t="s">
        <v>501</v>
      </c>
      <c r="BJ273" s="197">
        <f>AX285</f>
        <v>1.9791599999999999E-2</v>
      </c>
      <c r="BK273" s="177" t="s">
        <v>502</v>
      </c>
      <c r="BL273" s="176">
        <v>0.05</v>
      </c>
      <c r="BM273" s="176">
        <v>0.3</v>
      </c>
      <c r="BN273" s="175" t="s">
        <v>429</v>
      </c>
      <c r="BO273" s="151"/>
      <c r="BR273" s="151"/>
      <c r="BS273" s="151"/>
      <c r="BT273" s="151"/>
      <c r="BU273" s="152"/>
      <c r="BV273" s="151"/>
      <c r="BW273" s="195"/>
      <c r="BX273" s="196"/>
      <c r="BY273" s="152"/>
      <c r="BZ273" s="152"/>
      <c r="CA273" s="152"/>
      <c r="CB273" s="151"/>
      <c r="CC273" s="151"/>
      <c r="CD273" s="152"/>
      <c r="CE273" s="152"/>
      <c r="CF273" s="152"/>
      <c r="CG273" s="152"/>
      <c r="CH273" s="151"/>
      <c r="CI273" s="151"/>
      <c r="CJ273" s="152"/>
      <c r="CK273" s="152"/>
      <c r="CL273" s="152"/>
      <c r="CM273" s="152"/>
      <c r="CN273" s="41"/>
      <c r="CO273" s="41">
        <f t="shared" si="83"/>
        <v>0.3</v>
      </c>
    </row>
    <row r="274" spans="26:93" s="43" customFormat="1" ht="18" thickBot="1" x14ac:dyDescent="0.3">
      <c r="Z274" s="147"/>
      <c r="AA274" s="147"/>
      <c r="AC274" s="147"/>
      <c r="AD274" s="148"/>
      <c r="AG274" s="149"/>
      <c r="AH274" s="149"/>
      <c r="AJ274" s="147"/>
      <c r="AQ274" s="147"/>
      <c r="AR274" s="30"/>
      <c r="AS274" s="30"/>
      <c r="AT274" s="30"/>
      <c r="AU274" s="30"/>
      <c r="AV274" s="30"/>
      <c r="AW274" s="30"/>
      <c r="AX274" s="30"/>
      <c r="AY274" s="30"/>
      <c r="AZ274" s="30"/>
      <c r="BA274" s="30"/>
      <c r="BB274" s="30"/>
      <c r="BC274" s="30"/>
      <c r="BD274" s="30"/>
      <c r="BE274" s="30"/>
      <c r="BF274" s="148"/>
      <c r="BG274" s="242"/>
      <c r="BH274" s="177" t="s">
        <v>506</v>
      </c>
      <c r="BI274" s="191" t="s">
        <v>501</v>
      </c>
      <c r="BJ274" s="197">
        <f>AY285</f>
        <v>2.9687399999999996E-2</v>
      </c>
      <c r="BK274" s="177" t="s">
        <v>502</v>
      </c>
      <c r="BL274" s="176">
        <v>0.05</v>
      </c>
      <c r="BM274" s="176">
        <v>0.3</v>
      </c>
      <c r="BN274" s="175" t="s">
        <v>429</v>
      </c>
      <c r="BO274" s="151"/>
      <c r="BR274" s="151"/>
      <c r="BS274" s="151"/>
      <c r="BT274" s="151"/>
      <c r="BU274" s="152"/>
      <c r="BV274" s="151"/>
      <c r="BW274" s="195"/>
      <c r="BX274" s="196"/>
      <c r="BY274" s="152"/>
      <c r="BZ274" s="152"/>
      <c r="CA274" s="152"/>
      <c r="CB274" s="151"/>
      <c r="CC274" s="151"/>
      <c r="CD274" s="152"/>
      <c r="CE274" s="152"/>
      <c r="CF274" s="152"/>
      <c r="CG274" s="152"/>
      <c r="CH274" s="151"/>
      <c r="CI274" s="151"/>
      <c r="CJ274" s="152"/>
      <c r="CK274" s="152"/>
      <c r="CL274" s="152"/>
      <c r="CM274" s="152"/>
      <c r="CN274" s="41"/>
      <c r="CO274" s="41">
        <f t="shared" si="83"/>
        <v>0.3</v>
      </c>
    </row>
    <row r="275" spans="26:93" s="43" customFormat="1" ht="18" thickBot="1" x14ac:dyDescent="0.3">
      <c r="Z275" s="147"/>
      <c r="AA275" s="147"/>
      <c r="AC275" s="147"/>
      <c r="AD275" s="148"/>
      <c r="AG275" s="149"/>
      <c r="AH275" s="149"/>
      <c r="AJ275" s="147"/>
      <c r="AQ275" s="147"/>
      <c r="AR275" s="30"/>
      <c r="AS275" s="30"/>
      <c r="AT275" s="30"/>
      <c r="AU275" s="30"/>
      <c r="AV275" s="30"/>
      <c r="AW275" s="30"/>
      <c r="AX275" s="30"/>
      <c r="AY275" s="30"/>
      <c r="AZ275" s="30"/>
      <c r="BA275" s="30"/>
      <c r="BB275" s="30"/>
      <c r="BC275" s="30"/>
      <c r="BD275" s="30"/>
      <c r="BE275" s="30"/>
      <c r="BF275" s="148"/>
      <c r="BG275" s="242"/>
      <c r="BH275" s="177" t="s">
        <v>507</v>
      </c>
      <c r="BI275" s="191" t="s">
        <v>501</v>
      </c>
      <c r="BJ275" s="197">
        <f>AU286</f>
        <v>1.6666666666666666E-2</v>
      </c>
      <c r="BK275" s="177" t="s">
        <v>502</v>
      </c>
      <c r="BL275" s="176">
        <v>0.05</v>
      </c>
      <c r="BM275" s="176">
        <v>0.3</v>
      </c>
      <c r="BN275" s="175" t="s">
        <v>429</v>
      </c>
      <c r="BO275" s="151"/>
      <c r="BR275" s="151"/>
      <c r="BS275" s="151"/>
      <c r="BT275" s="151"/>
      <c r="BU275" s="152"/>
      <c r="BV275" s="151"/>
      <c r="BW275" s="195"/>
      <c r="BX275" s="196"/>
      <c r="BY275" s="152"/>
      <c r="BZ275" s="152"/>
      <c r="CA275" s="152"/>
      <c r="CB275" s="151"/>
      <c r="CC275" s="151"/>
      <c r="CD275" s="152"/>
      <c r="CE275" s="152"/>
      <c r="CF275" s="152"/>
      <c r="CG275" s="152"/>
      <c r="CH275" s="151"/>
      <c r="CI275" s="151"/>
      <c r="CJ275" s="152"/>
      <c r="CK275" s="152"/>
      <c r="CL275" s="152"/>
      <c r="CM275" s="152"/>
      <c r="CN275" s="41"/>
      <c r="CO275" s="41">
        <f t="shared" si="83"/>
        <v>0.3</v>
      </c>
    </row>
    <row r="276" spans="26:93" s="43" customFormat="1" ht="18" thickBot="1" x14ac:dyDescent="0.3">
      <c r="Z276" s="147"/>
      <c r="AA276" s="147"/>
      <c r="AC276" s="147"/>
      <c r="AD276" s="148"/>
      <c r="AG276" s="149"/>
      <c r="AH276" s="149"/>
      <c r="AJ276" s="147"/>
      <c r="AQ276" s="147"/>
      <c r="AR276" s="30"/>
      <c r="AS276" s="30"/>
      <c r="AT276" s="30"/>
      <c r="AU276" s="30"/>
      <c r="AV276" s="30"/>
      <c r="AW276" s="30"/>
      <c r="AX276" s="30"/>
      <c r="AY276" s="30"/>
      <c r="AZ276" s="30"/>
      <c r="BA276" s="30"/>
      <c r="BB276" s="30"/>
      <c r="BC276" s="30"/>
      <c r="BD276" s="30"/>
      <c r="BE276" s="30"/>
      <c r="BF276" s="148"/>
      <c r="BG276" s="242"/>
      <c r="BH276" s="177" t="s">
        <v>508</v>
      </c>
      <c r="BI276" s="191" t="s">
        <v>501</v>
      </c>
      <c r="BJ276" s="197">
        <f>AU287</f>
        <v>4.9999999999999996E-2</v>
      </c>
      <c r="BK276" s="177" t="s">
        <v>502</v>
      </c>
      <c r="BL276" s="176">
        <v>0.05</v>
      </c>
      <c r="BM276" s="176">
        <v>0.3</v>
      </c>
      <c r="BN276" s="175" t="s">
        <v>429</v>
      </c>
      <c r="BO276" s="151"/>
      <c r="BR276" s="151"/>
      <c r="BS276" s="151"/>
      <c r="BT276" s="151"/>
      <c r="BU276" s="152"/>
      <c r="BV276" s="151"/>
      <c r="BW276" s="195"/>
      <c r="BX276" s="196"/>
      <c r="BY276" s="152"/>
      <c r="BZ276" s="152"/>
      <c r="CA276" s="152"/>
      <c r="CB276" s="151"/>
      <c r="CC276" s="151"/>
      <c r="CD276" s="152"/>
      <c r="CE276" s="152"/>
      <c r="CF276" s="152"/>
      <c r="CG276" s="152"/>
      <c r="CH276" s="151"/>
      <c r="CI276" s="151"/>
      <c r="CJ276" s="152"/>
      <c r="CK276" s="152"/>
      <c r="CL276" s="152"/>
      <c r="CM276" s="152"/>
      <c r="CN276" s="41"/>
      <c r="CO276" s="41">
        <f t="shared" si="83"/>
        <v>0.3</v>
      </c>
    </row>
    <row r="277" spans="26:93" s="43" customFormat="1" ht="18" thickBot="1" x14ac:dyDescent="0.3">
      <c r="Z277" s="147"/>
      <c r="AA277" s="147"/>
      <c r="AC277" s="147"/>
      <c r="AD277" s="148"/>
      <c r="AG277" s="149"/>
      <c r="AH277" s="149"/>
      <c r="AJ277" s="147"/>
      <c r="AQ277" s="147"/>
      <c r="AR277" s="30"/>
      <c r="AS277" s="30"/>
      <c r="AT277" s="30"/>
      <c r="AU277" s="30">
        <f>(0.449*0.15)+(0.171*0.4)+(0.047*0.43)+(0.026*0.24)+(0.007*0.39)</f>
        <v>0.16492999999999999</v>
      </c>
      <c r="AV277" s="30"/>
      <c r="AW277" s="30"/>
      <c r="AX277" s="30"/>
      <c r="AY277" s="30"/>
      <c r="AZ277" s="30"/>
      <c r="BA277" s="30"/>
      <c r="BB277" s="30"/>
      <c r="BC277" s="30"/>
      <c r="BD277" s="30"/>
      <c r="BE277" s="30"/>
      <c r="BF277" s="148"/>
      <c r="BG277" s="242"/>
      <c r="BH277" s="177" t="s">
        <v>509</v>
      </c>
      <c r="BI277" s="191" t="s">
        <v>501</v>
      </c>
      <c r="BJ277" s="197">
        <f>AU287</f>
        <v>4.9999999999999996E-2</v>
      </c>
      <c r="BK277" s="177" t="s">
        <v>502</v>
      </c>
      <c r="BL277" s="176">
        <v>0.05</v>
      </c>
      <c r="BM277" s="176">
        <v>0.3</v>
      </c>
      <c r="BN277" s="175" t="s">
        <v>429</v>
      </c>
      <c r="BO277" s="151"/>
      <c r="BR277" s="151"/>
      <c r="BS277" s="151"/>
      <c r="BT277" s="151"/>
      <c r="BU277" s="152"/>
      <c r="BV277" s="151"/>
      <c r="BW277" s="195"/>
      <c r="BX277" s="196"/>
      <c r="BY277" s="152"/>
      <c r="BZ277" s="152"/>
      <c r="CA277" s="152"/>
      <c r="CB277" s="151"/>
      <c r="CC277" s="151"/>
      <c r="CD277" s="152"/>
      <c r="CE277" s="152"/>
      <c r="CF277" s="152"/>
      <c r="CG277" s="152"/>
      <c r="CH277" s="151"/>
      <c r="CI277" s="151"/>
      <c r="CJ277" s="152"/>
      <c r="CK277" s="152"/>
      <c r="CL277" s="152"/>
      <c r="CM277" s="152"/>
      <c r="CN277" s="41"/>
      <c r="CO277" s="41">
        <f t="shared" si="83"/>
        <v>0.3</v>
      </c>
    </row>
    <row r="278" spans="26:93" s="43" customFormat="1" ht="18" thickBot="1" x14ac:dyDescent="0.3">
      <c r="Z278" s="147"/>
      <c r="AA278" s="147"/>
      <c r="AC278" s="147"/>
      <c r="AD278" s="148"/>
      <c r="AG278" s="149"/>
      <c r="AH278" s="149"/>
      <c r="AJ278" s="147"/>
      <c r="AQ278" s="147"/>
      <c r="AR278" s="30"/>
      <c r="AS278" s="30"/>
      <c r="AT278" s="30"/>
      <c r="AU278" s="30"/>
      <c r="AV278" s="30"/>
      <c r="AW278" s="30"/>
      <c r="AX278" s="30"/>
      <c r="AY278" s="30"/>
      <c r="AZ278" s="30"/>
      <c r="BA278" s="30"/>
      <c r="BB278" s="30"/>
      <c r="BC278" s="30"/>
      <c r="BD278" s="30"/>
      <c r="BE278" s="30"/>
      <c r="BF278" s="148"/>
      <c r="BG278" s="242"/>
      <c r="BH278" s="177" t="s">
        <v>510</v>
      </c>
      <c r="BI278" s="191" t="s">
        <v>501</v>
      </c>
      <c r="BJ278" s="197">
        <f t="shared" ref="BJ278:BJ283" si="86">AU289</f>
        <v>7.9999999999999988E-2</v>
      </c>
      <c r="BK278" s="177" t="s">
        <v>502</v>
      </c>
      <c r="BL278" s="176">
        <v>0.05</v>
      </c>
      <c r="BM278" s="176">
        <v>0.3</v>
      </c>
      <c r="BN278" s="175" t="s">
        <v>429</v>
      </c>
      <c r="BO278" s="151"/>
      <c r="BR278" s="151"/>
      <c r="BS278" s="151"/>
      <c r="BT278" s="151"/>
      <c r="BU278" s="152"/>
      <c r="BV278" s="151"/>
      <c r="BW278" s="195"/>
      <c r="BX278" s="196"/>
      <c r="BY278" s="152"/>
      <c r="BZ278" s="152"/>
      <c r="CA278" s="152"/>
      <c r="CB278" s="151"/>
      <c r="CC278" s="151"/>
      <c r="CD278" s="152"/>
      <c r="CE278" s="152"/>
      <c r="CF278" s="152"/>
      <c r="CG278" s="152"/>
      <c r="CH278" s="151"/>
      <c r="CI278" s="151"/>
      <c r="CJ278" s="152"/>
      <c r="CK278" s="152"/>
      <c r="CL278" s="152"/>
      <c r="CM278" s="152"/>
      <c r="CN278" s="41"/>
      <c r="CO278" s="41">
        <f t="shared" si="83"/>
        <v>0.3</v>
      </c>
    </row>
    <row r="279" spans="26:93" s="43" customFormat="1" ht="18" thickBot="1" x14ac:dyDescent="0.3">
      <c r="Z279" s="147"/>
      <c r="AA279" s="147"/>
      <c r="AC279" s="147"/>
      <c r="AD279" s="148"/>
      <c r="AG279" s="149"/>
      <c r="AH279" s="149"/>
      <c r="AJ279" s="147"/>
      <c r="AQ279" s="147"/>
      <c r="AR279" s="30"/>
      <c r="AS279" s="30"/>
      <c r="AT279" s="30"/>
      <c r="AU279" s="30"/>
      <c r="AV279" s="30"/>
      <c r="AW279" s="30"/>
      <c r="AX279" s="30"/>
      <c r="AY279" s="30"/>
      <c r="AZ279" s="30"/>
      <c r="BA279" s="30"/>
      <c r="BB279" s="30"/>
      <c r="BC279" s="30"/>
      <c r="BD279" s="30"/>
      <c r="BE279" s="30"/>
      <c r="BF279" s="148"/>
      <c r="BG279" s="242"/>
      <c r="BH279" s="177" t="s">
        <v>511</v>
      </c>
      <c r="BI279" s="191" t="s">
        <v>501</v>
      </c>
      <c r="BJ279" s="197">
        <f t="shared" si="86"/>
        <v>0.14333333333333331</v>
      </c>
      <c r="BK279" s="177" t="s">
        <v>502</v>
      </c>
      <c r="BL279" s="176">
        <v>0.05</v>
      </c>
      <c r="BM279" s="176">
        <v>0.3</v>
      </c>
      <c r="BN279" s="175" t="s">
        <v>429</v>
      </c>
      <c r="BO279" s="151"/>
      <c r="BR279" s="151"/>
      <c r="BS279" s="151"/>
      <c r="BT279" s="151"/>
      <c r="BU279" s="152"/>
      <c r="BV279" s="151"/>
      <c r="BW279" s="195"/>
      <c r="BX279" s="196"/>
      <c r="BY279" s="152"/>
      <c r="BZ279" s="152"/>
      <c r="CA279" s="152"/>
      <c r="CB279" s="151"/>
      <c r="CC279" s="151"/>
      <c r="CD279" s="152"/>
      <c r="CE279" s="152"/>
      <c r="CF279" s="152"/>
      <c r="CG279" s="152"/>
      <c r="CH279" s="151"/>
      <c r="CI279" s="151"/>
      <c r="CJ279" s="152"/>
      <c r="CK279" s="152"/>
      <c r="CL279" s="152"/>
      <c r="CM279" s="152"/>
      <c r="CN279" s="41"/>
      <c r="CO279" s="41">
        <f t="shared" si="83"/>
        <v>0.3</v>
      </c>
    </row>
    <row r="280" spans="26:93" s="43" customFormat="1" ht="18" thickBot="1" x14ac:dyDescent="0.3">
      <c r="Z280" s="147"/>
      <c r="AA280" s="147"/>
      <c r="AC280" s="147"/>
      <c r="AD280" s="148"/>
      <c r="AG280" s="149"/>
      <c r="AH280" s="149"/>
      <c r="AJ280" s="147"/>
      <c r="AQ280" s="147"/>
      <c r="AR280" s="30"/>
      <c r="AS280" s="30"/>
      <c r="AT280" s="30"/>
      <c r="AU280" s="30"/>
      <c r="AV280" s="30"/>
      <c r="AW280" s="30"/>
      <c r="AX280" s="30"/>
      <c r="AY280" s="30"/>
      <c r="AZ280" s="30"/>
      <c r="BA280" s="30"/>
      <c r="BB280" s="30"/>
      <c r="BC280" s="30"/>
      <c r="BD280" s="30"/>
      <c r="BE280" s="30"/>
      <c r="BF280" s="148"/>
      <c r="BG280" s="242"/>
      <c r="BH280" s="177" t="s">
        <v>512</v>
      </c>
      <c r="BI280" s="191" t="s">
        <v>501</v>
      </c>
      <c r="BJ280" s="197">
        <f t="shared" si="86"/>
        <v>0.13333333333333333</v>
      </c>
      <c r="BK280" s="177" t="s">
        <v>502</v>
      </c>
      <c r="BL280" s="176">
        <v>0.05</v>
      </c>
      <c r="BM280" s="176">
        <v>0.3</v>
      </c>
      <c r="BN280" s="175" t="s">
        <v>429</v>
      </c>
      <c r="BO280" s="151"/>
      <c r="BR280" s="151"/>
      <c r="BS280" s="151"/>
      <c r="BT280" s="151"/>
      <c r="BU280" s="152"/>
      <c r="BV280" s="151"/>
      <c r="BW280" s="195"/>
      <c r="BX280" s="196"/>
      <c r="BY280" s="152"/>
      <c r="BZ280" s="152"/>
      <c r="CA280" s="152"/>
      <c r="CB280" s="151"/>
      <c r="CC280" s="151"/>
      <c r="CD280" s="152"/>
      <c r="CE280" s="152"/>
      <c r="CF280" s="152"/>
      <c r="CG280" s="152"/>
      <c r="CH280" s="151"/>
      <c r="CI280" s="151"/>
      <c r="CJ280" s="152"/>
      <c r="CK280" s="152"/>
      <c r="CL280" s="152"/>
      <c r="CM280" s="152"/>
      <c r="CN280" s="41"/>
      <c r="CO280" s="41">
        <f t="shared" si="83"/>
        <v>0.3</v>
      </c>
    </row>
    <row r="281" spans="26:93" s="43" customFormat="1" ht="18" thickBot="1" x14ac:dyDescent="0.3">
      <c r="Z281" s="147"/>
      <c r="AA281" s="147"/>
      <c r="AC281" s="147"/>
      <c r="AD281" s="148"/>
      <c r="AG281" s="149"/>
      <c r="AH281" s="149"/>
      <c r="AJ281" s="147"/>
      <c r="AQ281" s="147"/>
      <c r="AR281" s="30"/>
      <c r="AS281" s="30"/>
      <c r="AT281" s="30"/>
      <c r="AU281" s="30"/>
      <c r="AV281" s="30"/>
      <c r="AW281" s="30"/>
      <c r="AX281" s="30"/>
      <c r="AY281" s="30"/>
      <c r="AZ281" s="30"/>
      <c r="BA281" s="30"/>
      <c r="BB281" s="30"/>
      <c r="BC281" s="30"/>
      <c r="BD281" s="30"/>
      <c r="BE281" s="30"/>
      <c r="BF281" s="148"/>
      <c r="BG281" s="242"/>
      <c r="BH281" s="177" t="s">
        <v>513</v>
      </c>
      <c r="BI281" s="191" t="s">
        <v>501</v>
      </c>
      <c r="BJ281" s="197">
        <f t="shared" si="86"/>
        <v>0.13</v>
      </c>
      <c r="BK281" s="177" t="s">
        <v>502</v>
      </c>
      <c r="BL281" s="176">
        <v>0.05</v>
      </c>
      <c r="BM281" s="176">
        <v>0.3</v>
      </c>
      <c r="BN281" s="175" t="s">
        <v>429</v>
      </c>
      <c r="BO281" s="151"/>
      <c r="BR281" s="151"/>
      <c r="BS281" s="151"/>
      <c r="BT281" s="151"/>
      <c r="BU281" s="152"/>
      <c r="BV281" s="151"/>
      <c r="BW281" s="195"/>
      <c r="BX281" s="196"/>
      <c r="BY281" s="152"/>
      <c r="BZ281" s="152"/>
      <c r="CA281" s="152"/>
      <c r="CB281" s="151"/>
      <c r="CC281" s="151"/>
      <c r="CD281" s="152"/>
      <c r="CE281" s="152"/>
      <c r="CF281" s="152"/>
      <c r="CG281" s="152"/>
      <c r="CH281" s="151"/>
      <c r="CI281" s="151"/>
      <c r="CJ281" s="152"/>
      <c r="CK281" s="152"/>
      <c r="CL281" s="152"/>
      <c r="CM281" s="152"/>
      <c r="CN281" s="41"/>
      <c r="CO281" s="41">
        <f t="shared" si="83"/>
        <v>0.3</v>
      </c>
    </row>
    <row r="282" spans="26:93" s="43" customFormat="1" ht="18" thickBot="1" x14ac:dyDescent="0.3">
      <c r="Z282" s="147"/>
      <c r="AA282" s="147"/>
      <c r="AC282" s="147"/>
      <c r="AD282" s="148"/>
      <c r="AG282" s="149"/>
      <c r="AH282" s="149"/>
      <c r="AJ282" s="147"/>
      <c r="AQ282" s="147"/>
      <c r="AR282" s="30"/>
      <c r="AS282" s="30"/>
      <c r="AT282" s="30"/>
      <c r="AU282" s="30"/>
      <c r="AV282" s="30"/>
      <c r="AW282" s="30"/>
      <c r="AX282" s="30"/>
      <c r="AY282" s="30"/>
      <c r="AZ282" s="30"/>
      <c r="BA282" s="30"/>
      <c r="BB282" s="30"/>
      <c r="BC282" s="30"/>
      <c r="BD282" s="30"/>
      <c r="BE282" s="30"/>
      <c r="BF282" s="148"/>
      <c r="BG282" s="242"/>
      <c r="BH282" s="177" t="s">
        <v>514</v>
      </c>
      <c r="BI282" s="191" t="s">
        <v>501</v>
      </c>
      <c r="BJ282" s="197">
        <f t="shared" si="86"/>
        <v>1.3333333333333332E-2</v>
      </c>
      <c r="BK282" s="177" t="s">
        <v>502</v>
      </c>
      <c r="BL282" s="176">
        <v>0.05</v>
      </c>
      <c r="BM282" s="176">
        <v>0.3</v>
      </c>
      <c r="BN282" s="175" t="s">
        <v>429</v>
      </c>
      <c r="BO282" s="151"/>
      <c r="BR282" s="151"/>
      <c r="BS282" s="151"/>
      <c r="BT282" s="151"/>
      <c r="BU282" s="152"/>
      <c r="BV282" s="151"/>
      <c r="BW282" s="195"/>
      <c r="BX282" s="196"/>
      <c r="BY282" s="152"/>
      <c r="BZ282" s="152"/>
      <c r="CA282" s="152"/>
      <c r="CB282" s="151"/>
      <c r="CC282" s="151"/>
      <c r="CD282" s="152"/>
      <c r="CE282" s="152"/>
      <c r="CF282" s="152"/>
      <c r="CG282" s="152"/>
      <c r="CH282" s="151"/>
      <c r="CI282" s="151"/>
      <c r="CJ282" s="152"/>
      <c r="CK282" s="152"/>
      <c r="CL282" s="152"/>
      <c r="CM282" s="152"/>
      <c r="CN282" s="41"/>
      <c r="CO282" s="41">
        <f t="shared" si="83"/>
        <v>0.3</v>
      </c>
    </row>
    <row r="283" spans="26:93" s="43" customFormat="1" ht="18" thickBot="1" x14ac:dyDescent="0.3">
      <c r="Z283" s="147"/>
      <c r="AA283" s="147"/>
      <c r="AC283" s="147"/>
      <c r="AD283" s="148"/>
      <c r="AG283" s="149"/>
      <c r="AH283" s="149"/>
      <c r="AJ283" s="147"/>
      <c r="AQ283" s="147"/>
      <c r="AR283" s="30"/>
      <c r="AS283" s="30"/>
      <c r="AT283" s="30"/>
      <c r="AU283" s="30" t="s">
        <v>515</v>
      </c>
      <c r="AV283" s="30"/>
      <c r="AW283" s="30"/>
      <c r="AX283" s="30"/>
      <c r="AY283" s="30"/>
      <c r="AZ283" s="30"/>
      <c r="BA283" s="30"/>
      <c r="BB283" s="30"/>
      <c r="BC283" s="30"/>
      <c r="BD283" s="30"/>
      <c r="BE283" s="30" t="s">
        <v>516</v>
      </c>
      <c r="BF283" s="33">
        <f>AV285</f>
        <v>2.748833333333333E-2</v>
      </c>
      <c r="BG283" s="242"/>
      <c r="BH283" s="177" t="s">
        <v>517</v>
      </c>
      <c r="BI283" s="191" t="s">
        <v>501</v>
      </c>
      <c r="BJ283" s="197">
        <f t="shared" si="86"/>
        <v>3.3333333333333331E-3</v>
      </c>
      <c r="BK283" s="177" t="s">
        <v>502</v>
      </c>
      <c r="BL283" s="176">
        <v>0.05</v>
      </c>
      <c r="BM283" s="176">
        <v>0.3</v>
      </c>
      <c r="BN283" s="175" t="s">
        <v>429</v>
      </c>
      <c r="BO283" s="151"/>
      <c r="BR283" s="151"/>
      <c r="BS283" s="151"/>
      <c r="BT283" s="151"/>
      <c r="BU283" s="152"/>
      <c r="BV283" s="151"/>
      <c r="BW283" s="195"/>
      <c r="BX283" s="196"/>
      <c r="BY283" s="152"/>
      <c r="BZ283" s="152"/>
      <c r="CA283" s="152"/>
      <c r="CB283" s="151"/>
      <c r="CC283" s="151"/>
      <c r="CD283" s="152"/>
      <c r="CE283" s="152"/>
      <c r="CF283" s="152"/>
      <c r="CG283" s="152"/>
      <c r="CH283" s="151"/>
      <c r="CI283" s="151"/>
      <c r="CJ283" s="152"/>
      <c r="CK283" s="152"/>
      <c r="CL283" s="152"/>
      <c r="CM283" s="152"/>
      <c r="CN283" s="41"/>
      <c r="CO283" s="41">
        <f t="shared" si="83"/>
        <v>0.3</v>
      </c>
    </row>
    <row r="284" spans="26:93" s="42" customFormat="1" ht="31.5" thickBot="1" x14ac:dyDescent="0.35">
      <c r="Z284" s="134"/>
      <c r="AA284" s="134"/>
      <c r="AC284" s="134"/>
      <c r="AD284" s="135"/>
      <c r="AG284" s="136"/>
      <c r="AH284" s="136"/>
      <c r="AJ284" s="134"/>
      <c r="AQ284" s="134"/>
      <c r="AR284" s="30"/>
      <c r="AS284" s="474"/>
      <c r="AT284" s="475" t="s">
        <v>518</v>
      </c>
      <c r="AU284" s="474" t="s">
        <v>519</v>
      </c>
      <c r="AV284" s="474" t="s">
        <v>520</v>
      </c>
      <c r="AW284" s="474" t="s">
        <v>521</v>
      </c>
      <c r="AX284" s="474" t="s">
        <v>522</v>
      </c>
      <c r="AY284" s="474" t="s">
        <v>523</v>
      </c>
      <c r="AZ284" s="474" t="s">
        <v>129</v>
      </c>
      <c r="BA284" s="476" t="s">
        <v>524</v>
      </c>
      <c r="BB284" s="476" t="s">
        <v>136</v>
      </c>
      <c r="BC284" s="30"/>
      <c r="BD284" s="30"/>
      <c r="BE284" s="30" t="s">
        <v>525</v>
      </c>
      <c r="BF284" s="33">
        <f>AW285</f>
        <v>3.9583199999999999E-2</v>
      </c>
      <c r="BG284" s="242" t="s">
        <v>474</v>
      </c>
      <c r="BH284" s="177" t="s">
        <v>526</v>
      </c>
      <c r="BI284" s="191" t="s">
        <v>527</v>
      </c>
      <c r="BJ284" s="188">
        <v>5.6000000000000004E-7</v>
      </c>
      <c r="BK284" s="177" t="s">
        <v>502</v>
      </c>
      <c r="BL284" s="176">
        <v>0.1</v>
      </c>
      <c r="BM284" s="176">
        <v>1</v>
      </c>
      <c r="BN284" s="175" t="s">
        <v>429</v>
      </c>
      <c r="BO284" s="177" t="s">
        <v>527</v>
      </c>
      <c r="BP284" s="188">
        <v>9.7999999999999993E-6</v>
      </c>
      <c r="BQ284" s="173" t="s">
        <v>528</v>
      </c>
      <c r="BR284" s="176">
        <v>0.1</v>
      </c>
      <c r="BS284" s="176">
        <v>1</v>
      </c>
      <c r="BT284" s="175" t="s">
        <v>429</v>
      </c>
      <c r="BU284" s="177" t="s">
        <v>527</v>
      </c>
      <c r="BV284" s="188">
        <v>0.14000000000000001</v>
      </c>
      <c r="BW284" s="173" t="s">
        <v>529</v>
      </c>
      <c r="BX284" s="176">
        <v>0.1</v>
      </c>
      <c r="BY284" s="176">
        <v>1</v>
      </c>
      <c r="BZ284" s="175" t="s">
        <v>429</v>
      </c>
      <c r="CA284" s="39"/>
      <c r="CB284" s="37"/>
      <c r="CC284" s="37"/>
      <c r="CD284" s="39"/>
      <c r="CE284" s="39"/>
      <c r="CF284" s="39"/>
      <c r="CG284" s="39"/>
      <c r="CH284" s="37"/>
      <c r="CI284" s="37"/>
      <c r="CJ284" s="39"/>
      <c r="CK284" s="39"/>
      <c r="CL284" s="39"/>
      <c r="CM284" s="40"/>
      <c r="CN284" s="41">
        <v>0.4</v>
      </c>
      <c r="CO284" s="41">
        <f t="shared" si="83"/>
        <v>1</v>
      </c>
    </row>
    <row r="285" spans="26:93" s="42" customFormat="1" ht="31.5" thickBot="1" x14ac:dyDescent="0.35">
      <c r="Z285" s="134"/>
      <c r="AA285" s="134"/>
      <c r="AC285" s="134"/>
      <c r="AD285" s="135"/>
      <c r="AG285" s="136"/>
      <c r="AH285" s="136"/>
      <c r="AJ285" s="134"/>
      <c r="AQ285" s="134"/>
      <c r="AR285" s="30"/>
      <c r="AS285" s="474" t="s">
        <v>530</v>
      </c>
      <c r="AT285" s="477" t="s">
        <v>531</v>
      </c>
      <c r="AU285" s="34">
        <f>((((0.449*0.15)+(0.171*0.4)+(0.047*0.43)+(0.026*0.24)+(0.007*0.39))*0.5*1)*0.5*(16/12))*(1-0)</f>
        <v>5.497666666666666E-2</v>
      </c>
      <c r="AV285" s="34">
        <f>((((0.449*0.15)+(0.171*0.4)+(0.047*0.43)+(0.026*0.24)+(0.007*0.39))*0.5*0.5)*0.5*(16/12))*(1-0)</f>
        <v>2.748833333333333E-2</v>
      </c>
      <c r="AW285" s="34">
        <f>((((0.449*0.15)+(0.171*0.4)+(0.047*0.43)+(0.026*0.24)+(0.007*0.39))*0.5*0.8)*0.5*(16/12))*(1-0.1)</f>
        <v>3.9583199999999999E-2</v>
      </c>
      <c r="AX285" s="34">
        <f>((((0.449*0.15)+(0.171*0.4)+(0.047*0.43)+(0.026*0.24)+(0.007*0.39))*0.5*0.4)*0.5*(16/12))*(1-0.1)</f>
        <v>1.9791599999999999E-2</v>
      </c>
      <c r="AY285" s="34">
        <f>((((0.449*0.15)+(0.171*0.4)+(0.047*0.43)+(0.026*0.24)+(0.007*0.39))*0.5*0.6)*0.5*(16/12))*(1-0.1)</f>
        <v>2.9687399999999996E-2</v>
      </c>
      <c r="AZ285" s="34">
        <f t="shared" ref="AZ285:AZ294" si="87">AVERAGE(AU285:AY285)</f>
        <v>3.430544E-2</v>
      </c>
      <c r="BA285" s="34">
        <f t="shared" ref="BA285:BA294" si="88">STDEV(AU285:AY285)</f>
        <v>1.3542573156662487E-2</v>
      </c>
      <c r="BB285" s="31">
        <f>1-((AZ285-((BA285*2.78)/(SQRT(5))))/AZ285)</f>
        <v>0.49079258210126564</v>
      </c>
      <c r="BC285" s="30"/>
      <c r="BD285" s="30"/>
      <c r="BE285" s="30" t="s">
        <v>532</v>
      </c>
      <c r="BF285" s="33">
        <f>AX285</f>
        <v>1.9791599999999999E-2</v>
      </c>
      <c r="BG285" s="242" t="s">
        <v>474</v>
      </c>
      <c r="BH285" s="177" t="s">
        <v>533</v>
      </c>
      <c r="BI285" s="191" t="s">
        <v>527</v>
      </c>
      <c r="BJ285" s="188">
        <v>2.3699999999999999E-4</v>
      </c>
      <c r="BK285" s="177" t="s">
        <v>502</v>
      </c>
      <c r="BL285" s="176">
        <v>0.1</v>
      </c>
      <c r="BM285" s="176">
        <v>1</v>
      </c>
      <c r="BN285" s="175" t="s">
        <v>429</v>
      </c>
      <c r="BO285" s="177" t="s">
        <v>527</v>
      </c>
      <c r="BP285" s="188">
        <v>6.0000000000000002E-5</v>
      </c>
      <c r="BQ285" s="173" t="s">
        <v>528</v>
      </c>
      <c r="BR285" s="176">
        <v>0.1</v>
      </c>
      <c r="BS285" s="176">
        <v>1</v>
      </c>
      <c r="BT285" s="175" t="s">
        <v>429</v>
      </c>
      <c r="BU285" s="177" t="s">
        <v>527</v>
      </c>
      <c r="BV285" s="188">
        <v>0.23</v>
      </c>
      <c r="BW285" s="173" t="s">
        <v>529</v>
      </c>
      <c r="BX285" s="176">
        <v>0.1</v>
      </c>
      <c r="BY285" s="176">
        <v>1</v>
      </c>
      <c r="BZ285" s="175" t="s">
        <v>429</v>
      </c>
      <c r="CA285" s="39"/>
      <c r="CB285" s="37"/>
      <c r="CC285" s="37"/>
      <c r="CD285" s="39"/>
      <c r="CE285" s="39"/>
      <c r="CF285" s="39"/>
      <c r="CG285" s="39"/>
      <c r="CH285" s="37"/>
      <c r="CI285" s="37"/>
      <c r="CJ285" s="39"/>
      <c r="CK285" s="39"/>
      <c r="CL285" s="39"/>
      <c r="CM285" s="40"/>
      <c r="CN285" s="41">
        <v>0.4</v>
      </c>
      <c r="CO285" s="41">
        <f t="shared" si="83"/>
        <v>1</v>
      </c>
    </row>
    <row r="286" spans="26:93" s="42" customFormat="1" ht="31.5" thickBot="1" x14ac:dyDescent="0.35">
      <c r="Z286" s="134"/>
      <c r="AA286" s="134"/>
      <c r="AC286" s="134"/>
      <c r="AD286" s="135"/>
      <c r="AG286" s="136"/>
      <c r="AH286" s="136"/>
      <c r="AJ286" s="134"/>
      <c r="AQ286" s="134"/>
      <c r="AR286" s="30"/>
      <c r="AS286" s="474" t="s">
        <v>534</v>
      </c>
      <c r="AT286" s="477">
        <v>0.05</v>
      </c>
      <c r="AU286" s="34">
        <f>((AT286*0.5*1)*0.5*(16/12))*(1-0)</f>
        <v>1.6666666666666666E-2</v>
      </c>
      <c r="AV286" s="34">
        <f>((AT286*0.5*0.5)*0.5*(16/12))*(1-0)</f>
        <v>8.3333333333333332E-3</v>
      </c>
      <c r="AW286" s="34">
        <f>((AT286*0.5*0.8)*0.5*(16/12))*(1-0.1)</f>
        <v>1.2000000000000002E-2</v>
      </c>
      <c r="AX286" s="34">
        <f t="shared" ref="AX286:AX294" si="89">((AT286*0.5*0.4)*0.5*(16/12))*(1-0.1)</f>
        <v>6.000000000000001E-3</v>
      </c>
      <c r="AY286" s="34">
        <f t="shared" ref="AY286:AY294" si="90">((AT286*0.5*0.6)*0.5*(16/12))*(1-0.1)</f>
        <v>8.9999999999999993E-3</v>
      </c>
      <c r="AZ286" s="34">
        <f t="shared" si="87"/>
        <v>1.0400000000000001E-2</v>
      </c>
      <c r="BA286" s="34">
        <f t="shared" si="88"/>
        <v>4.1055517967205765E-3</v>
      </c>
      <c r="BB286" s="31">
        <f>1-((AZ286-((BA286*2.78)/(SQRT(5))))/AZ286)</f>
        <v>0.49079258210126586</v>
      </c>
      <c r="BC286" s="30"/>
      <c r="BD286" s="30"/>
      <c r="BE286" s="30" t="s">
        <v>535</v>
      </c>
      <c r="BF286" s="33">
        <f>AY285</f>
        <v>2.9687399999999996E-2</v>
      </c>
      <c r="BG286" s="242" t="s">
        <v>474</v>
      </c>
      <c r="BH286" s="177" t="s">
        <v>536</v>
      </c>
      <c r="BI286" s="191" t="s">
        <v>527</v>
      </c>
      <c r="BJ286" s="188">
        <v>6.4999999999999997E-3</v>
      </c>
      <c r="BK286" s="177" t="s">
        <v>502</v>
      </c>
      <c r="BL286" s="176">
        <v>0.1</v>
      </c>
      <c r="BM286" s="176">
        <v>1</v>
      </c>
      <c r="BN286" s="175" t="s">
        <v>429</v>
      </c>
      <c r="BO286" s="177" t="s">
        <v>527</v>
      </c>
      <c r="BP286" s="188">
        <v>1.4999999999999999E-4</v>
      </c>
      <c r="BQ286" s="173" t="s">
        <v>528</v>
      </c>
      <c r="BR286" s="176">
        <v>0.1</v>
      </c>
      <c r="BS286" s="176">
        <v>1</v>
      </c>
      <c r="BT286" s="175" t="s">
        <v>429</v>
      </c>
      <c r="BU286" s="177" t="s">
        <v>527</v>
      </c>
      <c r="BV286" s="188">
        <v>1.38</v>
      </c>
      <c r="BW286" s="173" t="s">
        <v>529</v>
      </c>
      <c r="BX286" s="176">
        <v>0.1</v>
      </c>
      <c r="BY286" s="176">
        <v>1</v>
      </c>
      <c r="BZ286" s="175" t="s">
        <v>429</v>
      </c>
      <c r="CA286" s="39"/>
      <c r="CB286" s="37"/>
      <c r="CC286" s="37"/>
      <c r="CD286" s="39"/>
      <c r="CE286" s="39"/>
      <c r="CF286" s="39"/>
      <c r="CG286" s="39"/>
      <c r="CH286" s="37"/>
      <c r="CI286" s="37"/>
      <c r="CJ286" s="39"/>
      <c r="CK286" s="39"/>
      <c r="CL286" s="39"/>
      <c r="CM286" s="40"/>
      <c r="CN286" s="41">
        <v>0.4</v>
      </c>
      <c r="CO286" s="41">
        <f t="shared" si="83"/>
        <v>1</v>
      </c>
    </row>
    <row r="287" spans="26:93" s="42" customFormat="1" ht="31.5" thickBot="1" x14ac:dyDescent="0.35">
      <c r="Z287" s="134"/>
      <c r="AA287" s="134"/>
      <c r="AC287" s="134"/>
      <c r="AD287" s="135"/>
      <c r="AG287" s="136"/>
      <c r="AH287" s="136"/>
      <c r="AJ287" s="134"/>
      <c r="AQ287" s="134"/>
      <c r="AR287" s="30"/>
      <c r="AS287" s="474" t="s">
        <v>537</v>
      </c>
      <c r="AT287" s="477">
        <v>0.15</v>
      </c>
      <c r="AU287" s="34">
        <f>((AT287*0.5*1)*0.5*(16/12))*(1-0)</f>
        <v>4.9999999999999996E-2</v>
      </c>
      <c r="AV287" s="34">
        <f>((AT287*0.5*0.5)*0.5*(16/12))*(1-0)</f>
        <v>2.4999999999999998E-2</v>
      </c>
      <c r="AW287" s="34">
        <f>((AT287*0.5*0.8)*0.5*(16/12))*(1-0.1)</f>
        <v>3.5999999999999997E-2</v>
      </c>
      <c r="AX287" s="34">
        <f t="shared" si="89"/>
        <v>1.7999999999999999E-2</v>
      </c>
      <c r="AY287" s="34">
        <f t="shared" si="90"/>
        <v>2.7E-2</v>
      </c>
      <c r="AZ287" s="34">
        <f t="shared" si="87"/>
        <v>3.1199999999999995E-2</v>
      </c>
      <c r="BA287" s="34">
        <f t="shared" si="88"/>
        <v>1.2316655390161741E-2</v>
      </c>
      <c r="BB287" s="31">
        <f t="shared" ref="BB287:BB294" si="91">1-((AZ287-((BA287*2.78)/(SQRT(5))))/AZ287)</f>
        <v>0.49079258210126642</v>
      </c>
      <c r="BC287" s="30"/>
      <c r="BD287" s="30"/>
      <c r="BE287" s="33"/>
      <c r="BF287" s="33"/>
      <c r="BG287" s="242" t="s">
        <v>474</v>
      </c>
      <c r="BH287" s="177" t="s">
        <v>538</v>
      </c>
      <c r="BI287" s="191" t="s">
        <v>527</v>
      </c>
      <c r="BJ287" s="188">
        <v>5.6000000000000004E-7</v>
      </c>
      <c r="BK287" s="177" t="s">
        <v>502</v>
      </c>
      <c r="BL287" s="176">
        <v>0.1</v>
      </c>
      <c r="BM287" s="176">
        <v>1</v>
      </c>
      <c r="BN287" s="175" t="s">
        <v>429</v>
      </c>
      <c r="BO287" s="177" t="s">
        <v>527</v>
      </c>
      <c r="BP287" s="188">
        <v>1E-4</v>
      </c>
      <c r="BQ287" s="173" t="s">
        <v>528</v>
      </c>
      <c r="BR287" s="176">
        <v>0.1</v>
      </c>
      <c r="BS287" s="176">
        <v>1</v>
      </c>
      <c r="BT287" s="175" t="s">
        <v>429</v>
      </c>
      <c r="BU287" s="177" t="s">
        <v>527</v>
      </c>
      <c r="BV287" s="188">
        <v>0.56999999999999995</v>
      </c>
      <c r="BW287" s="173" t="s">
        <v>529</v>
      </c>
      <c r="BX287" s="176">
        <v>0.1</v>
      </c>
      <c r="BY287" s="176">
        <v>1</v>
      </c>
      <c r="BZ287" s="175" t="s">
        <v>429</v>
      </c>
      <c r="CA287" s="39"/>
      <c r="CB287" s="37"/>
      <c r="CC287" s="37"/>
      <c r="CD287" s="39"/>
      <c r="CE287" s="39"/>
      <c r="CF287" s="39"/>
      <c r="CG287" s="39"/>
      <c r="CH287" s="37"/>
      <c r="CI287" s="37"/>
      <c r="CJ287" s="39"/>
      <c r="CK287" s="39"/>
      <c r="CL287" s="39"/>
      <c r="CM287" s="40"/>
      <c r="CN287" s="41">
        <v>0.4</v>
      </c>
      <c r="CO287" s="41">
        <f t="shared" si="83"/>
        <v>1</v>
      </c>
    </row>
    <row r="288" spans="26:93" s="42" customFormat="1" ht="31.5" thickBot="1" x14ac:dyDescent="0.35">
      <c r="Z288" s="134"/>
      <c r="AA288" s="134"/>
      <c r="AC288" s="134"/>
      <c r="AD288" s="135"/>
      <c r="AG288" s="136"/>
      <c r="AH288" s="136"/>
      <c r="AJ288" s="134"/>
      <c r="AQ288" s="134"/>
      <c r="AR288" s="30"/>
      <c r="AS288" s="474" t="s">
        <v>539</v>
      </c>
      <c r="AT288" s="477">
        <v>0.15</v>
      </c>
      <c r="AU288" s="34">
        <f t="shared" ref="AU288:AU294" si="92">((AT288*0.5*1)*0.5*(16/12))*(1-0)</f>
        <v>4.9999999999999996E-2</v>
      </c>
      <c r="AV288" s="34">
        <f t="shared" ref="AV288:AV294" si="93">((AT288*0.5*0.5)*0.5*(16/12))*(1-0)</f>
        <v>2.4999999999999998E-2</v>
      </c>
      <c r="AW288" s="34">
        <f t="shared" ref="AW288:AW294" si="94">((AT288*0.5*0.8)*0.5*(16/12))*(1-0.1)</f>
        <v>3.5999999999999997E-2</v>
      </c>
      <c r="AX288" s="34">
        <f t="shared" si="89"/>
        <v>1.7999999999999999E-2</v>
      </c>
      <c r="AY288" s="34">
        <f t="shared" si="90"/>
        <v>2.7E-2</v>
      </c>
      <c r="AZ288" s="34">
        <f t="shared" si="87"/>
        <v>3.1199999999999995E-2</v>
      </c>
      <c r="BA288" s="34">
        <f t="shared" si="88"/>
        <v>1.2316655390161741E-2</v>
      </c>
      <c r="BB288" s="31">
        <f t="shared" si="91"/>
        <v>0.49079258210126642</v>
      </c>
      <c r="BC288" s="30"/>
      <c r="BD288" s="33"/>
      <c r="BE288" s="33"/>
      <c r="BF288" s="30"/>
      <c r="BG288" s="242" t="s">
        <v>474</v>
      </c>
      <c r="BH288" s="177" t="s">
        <v>540</v>
      </c>
      <c r="BI288" s="191" t="s">
        <v>527</v>
      </c>
      <c r="BJ288" s="188">
        <v>5.6000000000000004E-7</v>
      </c>
      <c r="BK288" s="177" t="s">
        <v>502</v>
      </c>
      <c r="BL288" s="176">
        <v>0.1</v>
      </c>
      <c r="BM288" s="176">
        <v>1</v>
      </c>
      <c r="BN288" s="175" t="s">
        <v>429</v>
      </c>
      <c r="BO288" s="177" t="s">
        <v>527</v>
      </c>
      <c r="BP288" s="188">
        <v>4.2000000000000002E-4</v>
      </c>
      <c r="BQ288" s="173" t="s">
        <v>528</v>
      </c>
      <c r="BR288" s="176">
        <v>0.1</v>
      </c>
      <c r="BS288" s="176">
        <v>1</v>
      </c>
      <c r="BT288" s="175" t="s">
        <v>429</v>
      </c>
      <c r="BU288" s="177" t="s">
        <v>527</v>
      </c>
      <c r="BV288" s="188">
        <v>0.17</v>
      </c>
      <c r="BW288" s="173" t="s">
        <v>529</v>
      </c>
      <c r="BX288" s="176">
        <v>0.1</v>
      </c>
      <c r="BY288" s="176">
        <v>1</v>
      </c>
      <c r="BZ288" s="175" t="s">
        <v>429</v>
      </c>
      <c r="CA288" s="39"/>
      <c r="CB288" s="37"/>
      <c r="CC288" s="37"/>
      <c r="CD288" s="39"/>
      <c r="CE288" s="39"/>
      <c r="CF288" s="39"/>
      <c r="CG288" s="39"/>
      <c r="CH288" s="37"/>
      <c r="CI288" s="37"/>
      <c r="CJ288" s="39"/>
      <c r="CK288" s="39"/>
      <c r="CL288" s="39"/>
      <c r="CM288" s="40"/>
      <c r="CN288" s="41">
        <v>0.4</v>
      </c>
      <c r="CO288" s="41">
        <f t="shared" si="83"/>
        <v>1</v>
      </c>
    </row>
    <row r="289" spans="26:109" s="42" customFormat="1" ht="31.5" thickBot="1" x14ac:dyDescent="0.35">
      <c r="Z289" s="134"/>
      <c r="AA289" s="134"/>
      <c r="AC289" s="134"/>
      <c r="AD289" s="135"/>
      <c r="AG289" s="136"/>
      <c r="AH289" s="136"/>
      <c r="AJ289" s="134"/>
      <c r="AQ289" s="134"/>
      <c r="AR289" s="30"/>
      <c r="AS289" s="474" t="s">
        <v>541</v>
      </c>
      <c r="AT289" s="477">
        <v>0.24</v>
      </c>
      <c r="AU289" s="34">
        <f t="shared" si="92"/>
        <v>7.9999999999999988E-2</v>
      </c>
      <c r="AV289" s="34">
        <f t="shared" si="93"/>
        <v>3.9999999999999994E-2</v>
      </c>
      <c r="AW289" s="34">
        <f t="shared" si="94"/>
        <v>5.7600000000000005E-2</v>
      </c>
      <c r="AX289" s="34">
        <f t="shared" si="89"/>
        <v>2.8800000000000003E-2</v>
      </c>
      <c r="AY289" s="34">
        <f t="shared" si="90"/>
        <v>4.3199999999999995E-2</v>
      </c>
      <c r="AZ289" s="34">
        <f t="shared" si="87"/>
        <v>4.9919999999999992E-2</v>
      </c>
      <c r="BA289" s="34">
        <f t="shared" si="88"/>
        <v>1.9706648624258784E-2</v>
      </c>
      <c r="BB289" s="31">
        <f t="shared" si="91"/>
        <v>0.49079258210126631</v>
      </c>
      <c r="BC289" s="30"/>
      <c r="BD289" s="33"/>
      <c r="BE289" s="33"/>
      <c r="BG289" s="242" t="s">
        <v>474</v>
      </c>
      <c r="BH289" s="177" t="s">
        <v>542</v>
      </c>
      <c r="BI289" s="191" t="s">
        <v>527</v>
      </c>
      <c r="BJ289" s="188">
        <v>9.7000000000000003E-6</v>
      </c>
      <c r="BK289" s="177" t="s">
        <v>502</v>
      </c>
      <c r="BL289" s="176">
        <v>0.1</v>
      </c>
      <c r="BM289" s="176">
        <v>1</v>
      </c>
      <c r="BN289" s="175" t="s">
        <v>429</v>
      </c>
      <c r="BO289" s="177" t="s">
        <v>527</v>
      </c>
      <c r="BP289" s="188">
        <v>8.9999999999999998E-4</v>
      </c>
      <c r="BQ289" s="173" t="s">
        <v>528</v>
      </c>
      <c r="BR289" s="176">
        <v>0.1</v>
      </c>
      <c r="BS289" s="176">
        <v>1</v>
      </c>
      <c r="BT289" s="175" t="s">
        <v>429</v>
      </c>
      <c r="BU289" s="177" t="s">
        <v>527</v>
      </c>
      <c r="BV289" s="188">
        <v>0.57999999999999996</v>
      </c>
      <c r="BW289" s="173" t="s">
        <v>529</v>
      </c>
      <c r="BX289" s="176">
        <v>0.1</v>
      </c>
      <c r="BY289" s="176">
        <v>1</v>
      </c>
      <c r="BZ289" s="175" t="s">
        <v>429</v>
      </c>
      <c r="CA289" s="39"/>
      <c r="CB289" s="37"/>
      <c r="CC289" s="37"/>
      <c r="CD289" s="39"/>
      <c r="CE289" s="39"/>
      <c r="CF289" s="39"/>
      <c r="CG289" s="39"/>
      <c r="CH289" s="37"/>
      <c r="CI289" s="37"/>
      <c r="CJ289" s="39"/>
      <c r="CK289" s="39"/>
      <c r="CL289" s="39"/>
      <c r="CM289" s="40"/>
      <c r="CN289" s="41">
        <v>0.4</v>
      </c>
      <c r="CO289" s="41">
        <f t="shared" si="83"/>
        <v>1</v>
      </c>
    </row>
    <row r="290" spans="26:109" s="42" customFormat="1" ht="31.5" thickBot="1" x14ac:dyDescent="0.35">
      <c r="Z290" s="134"/>
      <c r="AA290" s="134"/>
      <c r="AC290" s="134"/>
      <c r="AD290" s="135"/>
      <c r="AG290" s="136"/>
      <c r="AH290" s="136"/>
      <c r="AJ290" s="134"/>
      <c r="AQ290" s="134"/>
      <c r="AR290" s="30"/>
      <c r="AS290" s="474" t="s">
        <v>543</v>
      </c>
      <c r="AT290" s="477">
        <v>0.43</v>
      </c>
      <c r="AU290" s="34">
        <f t="shared" si="92"/>
        <v>0.14333333333333331</v>
      </c>
      <c r="AV290" s="34">
        <f t="shared" si="93"/>
        <v>7.1666666666666656E-2</v>
      </c>
      <c r="AW290" s="34">
        <f t="shared" si="94"/>
        <v>0.1032</v>
      </c>
      <c r="AX290" s="34">
        <f t="shared" si="89"/>
        <v>5.16E-2</v>
      </c>
      <c r="AY290" s="34">
        <f t="shared" si="90"/>
        <v>7.7399999999999997E-2</v>
      </c>
      <c r="AZ290" s="34">
        <f t="shared" si="87"/>
        <v>8.9439999999999992E-2</v>
      </c>
      <c r="BA290" s="34">
        <f t="shared" si="88"/>
        <v>3.5307745451796956E-2</v>
      </c>
      <c r="BB290" s="31">
        <f t="shared" si="91"/>
        <v>0.49079258210126586</v>
      </c>
      <c r="BC290" s="30"/>
      <c r="BD290" s="33"/>
      <c r="BE290" s="33"/>
      <c r="BG290" s="242" t="s">
        <v>474</v>
      </c>
      <c r="BH290" s="177" t="s">
        <v>544</v>
      </c>
      <c r="BI290" s="191" t="s">
        <v>527</v>
      </c>
      <c r="BJ290" s="188">
        <v>9.7000000000000003E-6</v>
      </c>
      <c r="BK290" s="177" t="s">
        <v>502</v>
      </c>
      <c r="BL290" s="176">
        <v>0.1</v>
      </c>
      <c r="BM290" s="176">
        <v>1</v>
      </c>
      <c r="BN290" s="175" t="s">
        <v>429</v>
      </c>
      <c r="BO290" s="177" t="s">
        <v>527</v>
      </c>
      <c r="BP290" s="188">
        <v>4.4999999999999999E-4</v>
      </c>
      <c r="BQ290" s="173" t="s">
        <v>528</v>
      </c>
      <c r="BR290" s="176">
        <v>0.1</v>
      </c>
      <c r="BS290" s="176">
        <v>1</v>
      </c>
      <c r="BT290" s="175" t="s">
        <v>429</v>
      </c>
      <c r="BU290" s="177" t="s">
        <v>527</v>
      </c>
      <c r="BV290" s="188">
        <v>1.47</v>
      </c>
      <c r="BW290" s="173" t="s">
        <v>529</v>
      </c>
      <c r="BX290" s="176">
        <v>0.1</v>
      </c>
      <c r="BY290" s="176">
        <v>1</v>
      </c>
      <c r="BZ290" s="175" t="s">
        <v>429</v>
      </c>
      <c r="CA290" s="39"/>
      <c r="CB290" s="37"/>
      <c r="CC290" s="37"/>
      <c r="CD290" s="39"/>
      <c r="CE290" s="39"/>
      <c r="CF290" s="39"/>
      <c r="CG290" s="39"/>
      <c r="CH290" s="37"/>
      <c r="CI290" s="37"/>
      <c r="CJ290" s="39"/>
      <c r="CK290" s="39"/>
      <c r="CL290" s="39"/>
      <c r="CM290" s="40"/>
      <c r="CN290" s="41">
        <v>0.4</v>
      </c>
      <c r="CO290" s="41">
        <f t="shared" si="83"/>
        <v>1</v>
      </c>
    </row>
    <row r="291" spans="26:109" s="42" customFormat="1" ht="14" x14ac:dyDescent="0.3">
      <c r="Z291" s="134"/>
      <c r="AA291" s="134"/>
      <c r="AC291" s="134"/>
      <c r="AD291" s="135"/>
      <c r="AG291" s="136"/>
      <c r="AH291" s="136"/>
      <c r="AJ291" s="134"/>
      <c r="AQ291" s="134"/>
      <c r="AR291" s="30"/>
      <c r="AS291" s="474" t="s">
        <v>545</v>
      </c>
      <c r="AT291" s="477">
        <v>0.4</v>
      </c>
      <c r="AU291" s="34">
        <f t="shared" si="92"/>
        <v>0.13333333333333333</v>
      </c>
      <c r="AV291" s="34">
        <f t="shared" si="93"/>
        <v>6.6666666666666666E-2</v>
      </c>
      <c r="AW291" s="34">
        <f t="shared" si="94"/>
        <v>9.6000000000000016E-2</v>
      </c>
      <c r="AX291" s="34">
        <f t="shared" si="89"/>
        <v>4.8000000000000008E-2</v>
      </c>
      <c r="AY291" s="34">
        <f t="shared" si="90"/>
        <v>7.1999999999999995E-2</v>
      </c>
      <c r="AZ291" s="34">
        <f t="shared" si="87"/>
        <v>8.320000000000001E-2</v>
      </c>
      <c r="BA291" s="34">
        <f t="shared" si="88"/>
        <v>3.2844414373764612E-2</v>
      </c>
      <c r="BB291" s="31">
        <f t="shared" si="91"/>
        <v>0.49079258210126586</v>
      </c>
      <c r="BC291" s="30"/>
      <c r="BD291" s="33"/>
      <c r="BE291" s="33"/>
      <c r="BG291" s="235"/>
      <c r="BH291" s="472"/>
      <c r="BI291" s="37"/>
      <c r="BJ291" s="37"/>
      <c r="BK291" s="37"/>
      <c r="BL291" s="38"/>
      <c r="BM291" s="38"/>
      <c r="BN291" s="38"/>
      <c r="BO291" s="37"/>
      <c r="BP291" s="37"/>
      <c r="BQ291" s="37"/>
      <c r="BR291" s="37"/>
      <c r="BS291" s="37"/>
      <c r="BT291" s="37"/>
      <c r="BU291" s="39"/>
      <c r="BV291" s="37"/>
      <c r="BW291" s="37"/>
      <c r="BX291" s="39"/>
      <c r="BY291" s="39"/>
      <c r="BZ291" s="39"/>
      <c r="CA291" s="39"/>
      <c r="CB291" s="37"/>
      <c r="CC291" s="37"/>
      <c r="CD291" s="39"/>
      <c r="CE291" s="39"/>
      <c r="CF291" s="39"/>
      <c r="CG291" s="39"/>
      <c r="CH291" s="37"/>
      <c r="CI291" s="37"/>
      <c r="CJ291" s="39"/>
      <c r="CK291" s="39"/>
      <c r="CL291" s="39"/>
      <c r="CM291" s="40"/>
      <c r="CN291" s="41"/>
      <c r="CO291" s="41">
        <f t="shared" si="83"/>
        <v>0</v>
      </c>
    </row>
    <row r="292" spans="26:109" s="42" customFormat="1" ht="18" thickBot="1" x14ac:dyDescent="0.35">
      <c r="Z292" s="134"/>
      <c r="AA292" s="134"/>
      <c r="AC292" s="134"/>
      <c r="AD292" s="135"/>
      <c r="AG292" s="136"/>
      <c r="AH292" s="136"/>
      <c r="AJ292" s="134"/>
      <c r="AQ292" s="134"/>
      <c r="AR292" s="30"/>
      <c r="AS292" s="474" t="s">
        <v>546</v>
      </c>
      <c r="AT292" s="477">
        <v>0.39</v>
      </c>
      <c r="AU292" s="34">
        <f t="shared" si="92"/>
        <v>0.13</v>
      </c>
      <c r="AV292" s="34">
        <f t="shared" si="93"/>
        <v>6.5000000000000002E-2</v>
      </c>
      <c r="AW292" s="34">
        <f t="shared" si="94"/>
        <v>9.3600000000000017E-2</v>
      </c>
      <c r="AX292" s="34">
        <f t="shared" si="89"/>
        <v>4.6800000000000008E-2</v>
      </c>
      <c r="AY292" s="34">
        <f t="shared" si="90"/>
        <v>7.0199999999999985E-2</v>
      </c>
      <c r="AZ292" s="34">
        <f t="shared" si="87"/>
        <v>8.1119999999999998E-2</v>
      </c>
      <c r="BA292" s="34">
        <f t="shared" si="88"/>
        <v>3.2023304014420516E-2</v>
      </c>
      <c r="BB292" s="31">
        <f t="shared" si="91"/>
        <v>0.49079258210126619</v>
      </c>
      <c r="BC292" s="30"/>
      <c r="BD292" s="32"/>
      <c r="BE292" s="30"/>
      <c r="BG292" s="235"/>
      <c r="BH292" s="472"/>
      <c r="BI292" s="37"/>
      <c r="BJ292" s="37"/>
      <c r="BK292" s="37"/>
      <c r="BL292" s="38"/>
      <c r="BM292" s="38"/>
      <c r="BN292" s="38"/>
      <c r="BO292" s="37"/>
      <c r="BP292" s="37"/>
      <c r="BQ292" s="37"/>
      <c r="BR292" s="37"/>
      <c r="BS292" s="37"/>
      <c r="BT292" s="37"/>
      <c r="BU292" s="39"/>
      <c r="BV292" s="37"/>
      <c r="BW292" s="37"/>
      <c r="BX292" s="39"/>
      <c r="BY292" s="39"/>
      <c r="BZ292" s="39"/>
      <c r="CA292" s="36"/>
      <c r="CB292" s="36"/>
      <c r="CC292" s="36"/>
      <c r="CD292" s="36"/>
      <c r="CE292" s="36"/>
      <c r="CF292" s="36"/>
      <c r="CG292" s="36"/>
      <c r="CH292" s="36"/>
      <c r="CI292" s="36"/>
      <c r="CJ292" s="36"/>
      <c r="CK292" s="36"/>
      <c r="CL292" s="36"/>
      <c r="CN292" s="41"/>
      <c r="CO292" s="41">
        <f t="shared" si="83"/>
        <v>0</v>
      </c>
      <c r="CY292" s="40" t="s">
        <v>547</v>
      </c>
      <c r="CZ292" s="40" t="s">
        <v>548</v>
      </c>
      <c r="DB292" s="40" t="s">
        <v>549</v>
      </c>
      <c r="DC292" s="40"/>
      <c r="DD292" s="40"/>
      <c r="DE292" s="40"/>
    </row>
    <row r="293" spans="26:109" s="42" customFormat="1" ht="33" customHeight="1" x14ac:dyDescent="0.3">
      <c r="Z293" s="134"/>
      <c r="AA293" s="134"/>
      <c r="AC293" s="134"/>
      <c r="AD293" s="135"/>
      <c r="AG293" s="136"/>
      <c r="AH293" s="136"/>
      <c r="AJ293" s="134"/>
      <c r="AQ293" s="134"/>
      <c r="AR293" s="30"/>
      <c r="AS293" s="474" t="s">
        <v>550</v>
      </c>
      <c r="AT293" s="477">
        <v>0.04</v>
      </c>
      <c r="AU293" s="34">
        <f t="shared" si="92"/>
        <v>1.3333333333333332E-2</v>
      </c>
      <c r="AV293" s="34">
        <f t="shared" si="93"/>
        <v>6.6666666666666662E-3</v>
      </c>
      <c r="AW293" s="34">
        <f t="shared" si="94"/>
        <v>9.5999999999999992E-3</v>
      </c>
      <c r="AX293" s="34">
        <f t="shared" si="89"/>
        <v>4.7999999999999996E-3</v>
      </c>
      <c r="AY293" s="34">
        <f t="shared" si="90"/>
        <v>7.2000000000000007E-3</v>
      </c>
      <c r="AZ293" s="34">
        <f t="shared" si="87"/>
        <v>8.3199999999999975E-3</v>
      </c>
      <c r="BA293" s="34">
        <f t="shared" si="88"/>
        <v>3.2844414373764635E-3</v>
      </c>
      <c r="BB293" s="31">
        <f t="shared" si="91"/>
        <v>0.49079258210126642</v>
      </c>
      <c r="BC293" s="30"/>
      <c r="BD293" s="32"/>
      <c r="BE293" s="30"/>
      <c r="BG293" s="235"/>
      <c r="BH293" s="582" t="s">
        <v>551</v>
      </c>
      <c r="BI293" s="584" t="s">
        <v>308</v>
      </c>
      <c r="BJ293" s="582" t="s">
        <v>552</v>
      </c>
      <c r="BK293" s="170"/>
      <c r="BL293" s="582" t="s">
        <v>302</v>
      </c>
      <c r="BM293" s="582" t="s">
        <v>302</v>
      </c>
      <c r="BN293" s="582" t="s">
        <v>303</v>
      </c>
      <c r="BO293" s="37"/>
      <c r="BP293" s="37"/>
      <c r="BQ293" s="37"/>
      <c r="BR293" s="37"/>
      <c r="BS293" s="37"/>
      <c r="BT293" s="37"/>
      <c r="BU293" s="39"/>
      <c r="BV293" s="37"/>
      <c r="BW293" s="37"/>
      <c r="BX293" s="39"/>
      <c r="BY293" s="39"/>
      <c r="BZ293" s="39"/>
      <c r="CA293" s="36"/>
      <c r="CB293" s="36"/>
      <c r="CC293" s="36"/>
      <c r="CD293" s="36"/>
      <c r="CE293" s="36"/>
      <c r="CF293" s="36"/>
      <c r="CG293" s="36"/>
      <c r="CH293" s="36"/>
      <c r="CI293" s="36"/>
      <c r="CJ293" s="36"/>
      <c r="CK293" s="36"/>
      <c r="CL293" s="36"/>
      <c r="CN293" s="41"/>
      <c r="CO293" s="41" t="str">
        <f t="shared" si="83"/>
        <v>Incertidumbre (+/- %)</v>
      </c>
      <c r="CW293" s="42">
        <v>0</v>
      </c>
      <c r="CY293" s="40" t="s">
        <v>553</v>
      </c>
      <c r="CZ293" s="40" t="s">
        <v>554</v>
      </c>
      <c r="DB293" s="40" t="s">
        <v>554</v>
      </c>
      <c r="DC293" s="40"/>
      <c r="DD293" s="40"/>
      <c r="DE293" s="40"/>
    </row>
    <row r="294" spans="26:109" s="42" customFormat="1" ht="14.5" thickBot="1" x14ac:dyDescent="0.35">
      <c r="Z294" s="134"/>
      <c r="AA294" s="134"/>
      <c r="AC294" s="134"/>
      <c r="AD294" s="135"/>
      <c r="AG294" s="136"/>
      <c r="AH294" s="136"/>
      <c r="AJ294" s="134"/>
      <c r="AQ294" s="134"/>
      <c r="AR294" s="30"/>
      <c r="AS294" s="474" t="s">
        <v>555</v>
      </c>
      <c r="AT294" s="477">
        <v>0.01</v>
      </c>
      <c r="AU294" s="34">
        <f t="shared" si="92"/>
        <v>3.3333333333333331E-3</v>
      </c>
      <c r="AV294" s="34">
        <f t="shared" si="93"/>
        <v>1.6666666666666666E-3</v>
      </c>
      <c r="AW294" s="34">
        <f t="shared" si="94"/>
        <v>2.3999999999999998E-3</v>
      </c>
      <c r="AX294" s="34">
        <f t="shared" si="89"/>
        <v>1.1999999999999999E-3</v>
      </c>
      <c r="AY294" s="34">
        <f t="shared" si="90"/>
        <v>1.8000000000000002E-3</v>
      </c>
      <c r="AZ294" s="34">
        <f t="shared" si="87"/>
        <v>2.0799999999999994E-3</v>
      </c>
      <c r="BA294" s="34">
        <f t="shared" si="88"/>
        <v>8.2111035934411534E-4</v>
      </c>
      <c r="BB294" s="31">
        <f t="shared" si="91"/>
        <v>0.49079258210126597</v>
      </c>
      <c r="BC294" s="30"/>
      <c r="BD294" s="32"/>
      <c r="BE294" s="30"/>
      <c r="BG294" s="235"/>
      <c r="BH294" s="583"/>
      <c r="BI294" s="585"/>
      <c r="BJ294" s="583"/>
      <c r="BK294" s="171" t="s">
        <v>309</v>
      </c>
      <c r="BL294" s="583"/>
      <c r="BM294" s="583"/>
      <c r="BN294" s="583"/>
      <c r="BO294" s="37"/>
      <c r="BP294" s="37"/>
      <c r="BQ294" s="37"/>
      <c r="BR294" s="37"/>
      <c r="BS294" s="37"/>
      <c r="BT294" s="37"/>
      <c r="BU294" s="39"/>
      <c r="BV294" s="37"/>
      <c r="BW294" s="37"/>
      <c r="BX294" s="39"/>
      <c r="BY294" s="39"/>
      <c r="BZ294" s="39"/>
      <c r="CA294" s="36"/>
      <c r="CB294" s="36"/>
      <c r="CC294" s="36"/>
      <c r="CD294" s="36"/>
      <c r="CE294" s="36"/>
      <c r="CF294" s="36"/>
      <c r="CG294" s="36"/>
      <c r="CH294" s="36"/>
      <c r="CI294" s="36"/>
      <c r="CJ294" s="36"/>
      <c r="CK294" s="36"/>
      <c r="CL294" s="36"/>
      <c r="CN294" s="41"/>
      <c r="CO294" s="41">
        <f t="shared" si="83"/>
        <v>0</v>
      </c>
      <c r="CW294" s="42">
        <v>0</v>
      </c>
      <c r="CY294" s="40">
        <v>0</v>
      </c>
      <c r="CZ294" s="40">
        <v>0</v>
      </c>
      <c r="DB294" s="40">
        <v>0</v>
      </c>
      <c r="DC294" s="40"/>
      <c r="DD294" s="40"/>
      <c r="DE294" s="40"/>
    </row>
    <row r="295" spans="26:109" s="42" customFormat="1" ht="39" customHeight="1" thickBot="1" x14ac:dyDescent="0.3">
      <c r="Z295" s="134"/>
      <c r="AA295" s="134"/>
      <c r="AC295" s="134"/>
      <c r="AD295" s="135"/>
      <c r="AG295" s="136"/>
      <c r="AH295" s="136"/>
      <c r="AJ295" s="134"/>
      <c r="AQ295" s="134"/>
      <c r="AR295" s="30"/>
      <c r="AS295" s="30"/>
      <c r="AT295" s="30" t="s">
        <v>129</v>
      </c>
      <c r="AU295" s="33">
        <f>AVERAGE(AU285:AU294)</f>
        <v>6.749766666666665E-2</v>
      </c>
      <c r="AV295" s="33">
        <f>AVERAGE(AV285:AV294)</f>
        <v>3.3748833333333325E-2</v>
      </c>
      <c r="AW295" s="33">
        <f>AVERAGE(AW285:AW294)</f>
        <v>4.8598320000000007E-2</v>
      </c>
      <c r="AX295" s="33">
        <f>AVERAGE(AX285:AX294)</f>
        <v>2.4299160000000004E-2</v>
      </c>
      <c r="AY295" s="33">
        <f>AVERAGE(AY285:AY294)</f>
        <v>3.6448739999999993E-2</v>
      </c>
      <c r="AZ295" s="30"/>
      <c r="BA295" s="32"/>
      <c r="BB295" s="32"/>
      <c r="BC295" s="30"/>
      <c r="BD295" s="32"/>
      <c r="BE295" s="30"/>
      <c r="BG295" s="242" t="s">
        <v>556</v>
      </c>
      <c r="BH295" s="177" t="s">
        <v>557</v>
      </c>
      <c r="BI295" s="191" t="s">
        <v>558</v>
      </c>
      <c r="BJ295" s="188">
        <v>84.62</v>
      </c>
      <c r="BK295" s="177" t="s">
        <v>559</v>
      </c>
      <c r="BL295" s="176">
        <v>0.2</v>
      </c>
      <c r="BM295" s="176">
        <v>0.5</v>
      </c>
      <c r="BN295" s="175" t="s">
        <v>560</v>
      </c>
      <c r="BO295" s="37"/>
      <c r="BP295" s="188">
        <v>1425</v>
      </c>
      <c r="BQ295" s="177" t="s">
        <v>561</v>
      </c>
      <c r="BR295" s="37"/>
      <c r="BS295" s="37"/>
      <c r="BT295" s="37"/>
      <c r="BU295" s="39"/>
      <c r="BV295" s="37"/>
      <c r="BW295" s="37"/>
      <c r="BX295" s="39"/>
      <c r="BY295" s="39"/>
      <c r="BZ295" s="39"/>
      <c r="CA295" s="36"/>
      <c r="CB295" s="36"/>
      <c r="CC295" s="36"/>
      <c r="CD295" s="36"/>
      <c r="CE295" s="36"/>
      <c r="CF295" s="36"/>
      <c r="CG295" s="36"/>
      <c r="CH295" s="36"/>
      <c r="CI295" s="36"/>
      <c r="CJ295" s="36"/>
      <c r="CK295" s="36"/>
      <c r="CL295" s="36"/>
      <c r="CN295" s="41">
        <v>0.2</v>
      </c>
      <c r="CO295" s="41">
        <f t="shared" si="83"/>
        <v>0.5</v>
      </c>
      <c r="CV295" s="42" t="s">
        <v>556</v>
      </c>
      <c r="CW295" s="42" t="s">
        <v>562</v>
      </c>
      <c r="CX295" s="42" t="s">
        <v>558</v>
      </c>
      <c r="CY295" s="40">
        <v>57</v>
      </c>
      <c r="CZ295" s="153">
        <f>+CY295*21</f>
        <v>1197</v>
      </c>
      <c r="DA295" s="40" t="s">
        <v>563</v>
      </c>
      <c r="DB295" s="40">
        <f t="shared" ref="DB295:DB311" si="95">+CY295*25</f>
        <v>1425</v>
      </c>
      <c r="DC295" s="40"/>
      <c r="DD295" s="40"/>
      <c r="DE295" s="40"/>
    </row>
    <row r="296" spans="26:109" s="42" customFormat="1" ht="39" customHeight="1" thickBot="1" x14ac:dyDescent="0.3">
      <c r="Z296" s="134"/>
      <c r="AA296" s="134"/>
      <c r="AC296" s="134"/>
      <c r="AD296" s="135"/>
      <c r="AG296" s="136"/>
      <c r="AH296" s="136"/>
      <c r="AJ296" s="134"/>
      <c r="AQ296" s="134"/>
      <c r="AR296" s="30"/>
      <c r="AS296" s="30"/>
      <c r="AT296" s="30" t="s">
        <v>524</v>
      </c>
      <c r="AU296" s="30">
        <f>STDEV(AU285:AU294)</f>
        <v>5.2230230403710561E-2</v>
      </c>
      <c r="AV296" s="30">
        <f>STDEV(AV285:AV294)</f>
        <v>2.611511520185528E-2</v>
      </c>
      <c r="AW296" s="30">
        <f>STDEV(AW285:AW294)</f>
        <v>3.7605765890671605E-2</v>
      </c>
      <c r="AX296" s="30">
        <f>STDEV(AX285:AX294)</f>
        <v>1.8802882945335803E-2</v>
      </c>
      <c r="AY296" s="30">
        <f>STDEV(AY285:AY294)</f>
        <v>2.8204324418003707E-2</v>
      </c>
      <c r="AZ296" s="30"/>
      <c r="BA296" s="32"/>
      <c r="BB296" s="32"/>
      <c r="BC296" s="30"/>
      <c r="BD296" s="32"/>
      <c r="BE296" s="30"/>
      <c r="BG296" s="242"/>
      <c r="BH296" s="177" t="s">
        <v>564</v>
      </c>
      <c r="BI296" s="191" t="s">
        <v>558</v>
      </c>
      <c r="BJ296" s="188">
        <v>60.44</v>
      </c>
      <c r="BK296" s="177" t="s">
        <v>559</v>
      </c>
      <c r="BL296" s="176">
        <v>0.2</v>
      </c>
      <c r="BM296" s="176">
        <v>0.5</v>
      </c>
      <c r="BN296" s="175" t="s">
        <v>560</v>
      </c>
      <c r="BO296" s="37"/>
      <c r="BP296" s="188"/>
      <c r="BQ296" s="177"/>
      <c r="BR296" s="37"/>
      <c r="BS296" s="37"/>
      <c r="BT296" s="37"/>
      <c r="BU296" s="39"/>
      <c r="BV296" s="37"/>
      <c r="BW296" s="37"/>
      <c r="BX296" s="39"/>
      <c r="BY296" s="39"/>
      <c r="BZ296" s="39"/>
      <c r="CA296" s="36"/>
      <c r="CB296" s="36"/>
      <c r="CC296" s="36"/>
      <c r="CD296" s="36"/>
      <c r="CE296" s="36"/>
      <c r="CF296" s="36"/>
      <c r="CG296" s="36"/>
      <c r="CH296" s="36"/>
      <c r="CI296" s="36"/>
      <c r="CJ296" s="36"/>
      <c r="CK296" s="36"/>
      <c r="CL296" s="36"/>
      <c r="CN296" s="41"/>
      <c r="CO296" s="41">
        <f t="shared" si="83"/>
        <v>0.5</v>
      </c>
      <c r="CY296" s="40"/>
      <c r="CZ296" s="153"/>
      <c r="DA296" s="40"/>
      <c r="DB296" s="40"/>
      <c r="DC296" s="40"/>
      <c r="DD296" s="40"/>
      <c r="DE296" s="40"/>
    </row>
    <row r="297" spans="26:109" s="42" customFormat="1" ht="39" customHeight="1" thickBot="1" x14ac:dyDescent="0.3">
      <c r="Z297" s="134"/>
      <c r="AA297" s="134"/>
      <c r="AC297" s="134"/>
      <c r="AD297" s="135"/>
      <c r="AG297" s="136"/>
      <c r="AH297" s="136"/>
      <c r="AJ297" s="134"/>
      <c r="AQ297" s="134"/>
      <c r="AR297" s="30"/>
      <c r="AS297" s="30"/>
      <c r="AT297" s="30" t="s">
        <v>133</v>
      </c>
      <c r="AU297" s="30">
        <f>BI454</f>
        <v>2.31</v>
      </c>
      <c r="AV297" s="32">
        <f>AU297</f>
        <v>2.31</v>
      </c>
      <c r="AW297" s="32">
        <f>AV297</f>
        <v>2.31</v>
      </c>
      <c r="AX297" s="32">
        <f>AW297</f>
        <v>2.31</v>
      </c>
      <c r="AY297" s="32">
        <f>AX297</f>
        <v>2.31</v>
      </c>
      <c r="AZ297" s="30"/>
      <c r="BA297" s="32"/>
      <c r="BB297" s="32"/>
      <c r="BC297" s="30"/>
      <c r="BD297" s="32"/>
      <c r="BE297" s="30"/>
      <c r="BG297" s="242"/>
      <c r="BH297" s="177" t="s">
        <v>565</v>
      </c>
      <c r="BI297" s="191" t="s">
        <v>558</v>
      </c>
      <c r="BJ297" s="188">
        <v>53.05</v>
      </c>
      <c r="BK297" s="177" t="s">
        <v>559</v>
      </c>
      <c r="BL297" s="176">
        <v>0.2</v>
      </c>
      <c r="BM297" s="176">
        <v>0.5</v>
      </c>
      <c r="BN297" s="175" t="s">
        <v>560</v>
      </c>
      <c r="BO297" s="37"/>
      <c r="BP297" s="188"/>
      <c r="BQ297" s="177"/>
      <c r="BR297" s="37"/>
      <c r="BS297" s="37"/>
      <c r="BT297" s="37"/>
      <c r="BU297" s="39"/>
      <c r="BV297" s="37"/>
      <c r="BW297" s="37"/>
      <c r="BX297" s="39"/>
      <c r="BY297" s="39"/>
      <c r="BZ297" s="39"/>
      <c r="CA297" s="36"/>
      <c r="CB297" s="36"/>
      <c r="CC297" s="36"/>
      <c r="CD297" s="36"/>
      <c r="CE297" s="36"/>
      <c r="CF297" s="36"/>
      <c r="CG297" s="36"/>
      <c r="CH297" s="36"/>
      <c r="CI297" s="36"/>
      <c r="CJ297" s="36"/>
      <c r="CK297" s="36"/>
      <c r="CL297" s="36"/>
      <c r="CN297" s="41"/>
      <c r="CO297" s="41">
        <f t="shared" si="83"/>
        <v>0.5</v>
      </c>
      <c r="CY297" s="40"/>
      <c r="CZ297" s="153"/>
      <c r="DA297" s="40"/>
      <c r="DB297" s="40"/>
      <c r="DC297" s="40"/>
      <c r="DD297" s="40"/>
      <c r="DE297" s="40"/>
    </row>
    <row r="298" spans="26:109" s="42" customFormat="1" ht="15" customHeight="1" thickBot="1" x14ac:dyDescent="0.3">
      <c r="Z298" s="134"/>
      <c r="AA298" s="134"/>
      <c r="AC298" s="134"/>
      <c r="AD298" s="135"/>
      <c r="AG298" s="136"/>
      <c r="AH298" s="136"/>
      <c r="AJ298" s="134"/>
      <c r="AQ298" s="134"/>
      <c r="AR298" s="30"/>
      <c r="AS298" s="30"/>
      <c r="AT298" s="30" t="s">
        <v>136</v>
      </c>
      <c r="AU298" s="31">
        <f>1-((AU295-((AU296*AU297)/(SQRT(9))))/AU295)</f>
        <v>0.59583211386354795</v>
      </c>
      <c r="AV298" s="31">
        <f>1-((AV295-((AV296*AV297)/(SQRT(9))))/AV295)</f>
        <v>0.59583211386354795</v>
      </c>
      <c r="AW298" s="31">
        <f>1-((AW295-((AW296*AW297)/(SQRT(9))))/AW295)</f>
        <v>0.59583211386354773</v>
      </c>
      <c r="AX298" s="31">
        <f>1-((AX295-((AX296*AX297)/(SQRT(9))))/AX295)</f>
        <v>0.59583211386354773</v>
      </c>
      <c r="AY298" s="31">
        <f>1-((AY295-((AY296*AY297)/(SQRT(9))))/AY295)</f>
        <v>0.59583211386354806</v>
      </c>
      <c r="AZ298" s="30"/>
      <c r="BA298" s="32"/>
      <c r="BB298" s="32"/>
      <c r="BC298" s="30"/>
      <c r="BD298" s="32"/>
      <c r="BE298" s="30"/>
      <c r="BG298" s="242"/>
      <c r="BH298" s="177" t="s">
        <v>566</v>
      </c>
      <c r="BI298" s="191" t="s">
        <v>558</v>
      </c>
      <c r="BJ298" s="188">
        <v>57.53</v>
      </c>
      <c r="BK298" s="177" t="s">
        <v>559</v>
      </c>
      <c r="BL298" s="176">
        <v>0.2</v>
      </c>
      <c r="BM298" s="176">
        <v>0.5</v>
      </c>
      <c r="BN298" s="175" t="s">
        <v>560</v>
      </c>
      <c r="BO298" s="37"/>
      <c r="BP298" s="188"/>
      <c r="BQ298" s="177"/>
      <c r="BR298" s="37"/>
      <c r="BS298" s="37"/>
      <c r="BT298" s="37"/>
      <c r="BU298" s="39"/>
      <c r="BV298" s="37"/>
      <c r="BW298" s="37"/>
      <c r="BX298" s="39"/>
      <c r="BY298" s="39"/>
      <c r="BZ298" s="39"/>
      <c r="CA298" s="36"/>
      <c r="CB298" s="36"/>
      <c r="CC298" s="36"/>
      <c r="CD298" s="36"/>
      <c r="CE298" s="36"/>
      <c r="CF298" s="36"/>
      <c r="CG298" s="36"/>
      <c r="CH298" s="36"/>
      <c r="CI298" s="36"/>
      <c r="CJ298" s="36"/>
      <c r="CK298" s="36"/>
      <c r="CL298" s="36"/>
      <c r="CN298" s="41"/>
      <c r="CO298" s="41">
        <f t="shared" si="83"/>
        <v>0.5</v>
      </c>
      <c r="CY298" s="40"/>
      <c r="CZ298" s="153"/>
      <c r="DA298" s="40"/>
      <c r="DB298" s="40"/>
      <c r="DC298" s="40"/>
      <c r="DD298" s="40"/>
      <c r="DE298" s="40"/>
    </row>
    <row r="299" spans="26:109" s="42" customFormat="1" ht="15" customHeight="1" thickBot="1" x14ac:dyDescent="0.3">
      <c r="Z299" s="134"/>
      <c r="AA299" s="134"/>
      <c r="AC299" s="134"/>
      <c r="AD299" s="135"/>
      <c r="AG299" s="136"/>
      <c r="AH299" s="136"/>
      <c r="AJ299" s="134"/>
      <c r="AQ299" s="134"/>
      <c r="AR299" s="30"/>
      <c r="AS299" s="30"/>
      <c r="AT299" s="30"/>
      <c r="AU299" s="32"/>
      <c r="AV299" s="30"/>
      <c r="AW299" s="32"/>
      <c r="AX299" s="30"/>
      <c r="AY299" s="30"/>
      <c r="AZ299" s="30"/>
      <c r="BA299" s="32"/>
      <c r="BB299" s="32"/>
      <c r="BC299" s="30"/>
      <c r="BD299" s="32"/>
      <c r="BE299" s="30"/>
      <c r="BG299" s="242"/>
      <c r="BH299" s="177" t="s">
        <v>567</v>
      </c>
      <c r="BI299" s="191" t="s">
        <v>558</v>
      </c>
      <c r="BJ299" s="188">
        <v>20.14</v>
      </c>
      <c r="BK299" s="177" t="s">
        <v>559</v>
      </c>
      <c r="BL299" s="176">
        <v>0.2</v>
      </c>
      <c r="BM299" s="176">
        <v>0.5</v>
      </c>
      <c r="BN299" s="175" t="s">
        <v>560</v>
      </c>
      <c r="BO299" s="37"/>
      <c r="BP299" s="188"/>
      <c r="BQ299" s="177"/>
      <c r="BR299" s="37"/>
      <c r="BS299" s="37"/>
      <c r="BT299" s="37"/>
      <c r="BU299" s="39"/>
      <c r="BV299" s="37"/>
      <c r="BW299" s="37"/>
      <c r="BX299" s="39"/>
      <c r="BY299" s="39"/>
      <c r="BZ299" s="39"/>
      <c r="CA299" s="36"/>
      <c r="CB299" s="36"/>
      <c r="CC299" s="36"/>
      <c r="CD299" s="36"/>
      <c r="CE299" s="36"/>
      <c r="CF299" s="36"/>
      <c r="CG299" s="36"/>
      <c r="CH299" s="36"/>
      <c r="CI299" s="36"/>
      <c r="CJ299" s="36"/>
      <c r="CK299" s="36"/>
      <c r="CL299" s="36"/>
      <c r="CN299" s="41"/>
      <c r="CO299" s="41">
        <f t="shared" si="83"/>
        <v>0.5</v>
      </c>
      <c r="CY299" s="40"/>
      <c r="CZ299" s="153"/>
      <c r="DA299" s="40"/>
      <c r="DB299" s="40"/>
      <c r="DC299" s="40"/>
      <c r="DD299" s="40"/>
      <c r="DE299" s="40"/>
    </row>
    <row r="300" spans="26:109" s="42" customFormat="1" ht="15" customHeight="1" thickBot="1" x14ac:dyDescent="0.3">
      <c r="Z300" s="134"/>
      <c r="AA300" s="134"/>
      <c r="AC300" s="134"/>
      <c r="AD300" s="135"/>
      <c r="AG300" s="136"/>
      <c r="AH300" s="136"/>
      <c r="AJ300" s="134"/>
      <c r="AQ300" s="134"/>
      <c r="AR300" s="30"/>
      <c r="AS300" s="30"/>
      <c r="AT300" s="30"/>
      <c r="AU300" s="32"/>
      <c r="AV300" s="30"/>
      <c r="AW300" s="32"/>
      <c r="AX300" s="30"/>
      <c r="AY300" s="30"/>
      <c r="AZ300" s="30"/>
      <c r="BA300" s="32"/>
      <c r="BB300" s="32"/>
      <c r="BC300" s="30"/>
      <c r="BD300" s="32"/>
      <c r="BE300" s="30"/>
      <c r="BG300" s="242"/>
      <c r="BH300" s="177" t="s">
        <v>568</v>
      </c>
      <c r="BI300" s="191" t="s">
        <v>558</v>
      </c>
      <c r="BJ300" s="188">
        <v>30.91</v>
      </c>
      <c r="BK300" s="177" t="s">
        <v>559</v>
      </c>
      <c r="BL300" s="176">
        <v>0.2</v>
      </c>
      <c r="BM300" s="176">
        <v>0.5</v>
      </c>
      <c r="BN300" s="175" t="s">
        <v>560</v>
      </c>
      <c r="BO300" s="37"/>
      <c r="BP300" s="188"/>
      <c r="BQ300" s="177"/>
      <c r="BR300" s="37"/>
      <c r="BS300" s="37"/>
      <c r="BT300" s="37"/>
      <c r="BU300" s="39"/>
      <c r="BV300" s="37"/>
      <c r="BW300" s="37"/>
      <c r="BX300" s="39"/>
      <c r="BY300" s="39"/>
      <c r="BZ300" s="39"/>
      <c r="CA300" s="36"/>
      <c r="CB300" s="36"/>
      <c r="CC300" s="36"/>
      <c r="CD300" s="36"/>
      <c r="CE300" s="36"/>
      <c r="CF300" s="36"/>
      <c r="CG300" s="36"/>
      <c r="CH300" s="36"/>
      <c r="CI300" s="36"/>
      <c r="CJ300" s="36"/>
      <c r="CK300" s="36"/>
      <c r="CL300" s="36"/>
      <c r="CN300" s="41"/>
      <c r="CO300" s="41">
        <f t="shared" si="83"/>
        <v>0.5</v>
      </c>
      <c r="CY300" s="40"/>
      <c r="CZ300" s="153"/>
      <c r="DA300" s="40"/>
      <c r="DB300" s="40"/>
      <c r="DC300" s="40"/>
      <c r="DD300" s="40"/>
      <c r="DE300" s="40"/>
    </row>
    <row r="301" spans="26:109" s="42" customFormat="1" ht="15" customHeight="1" thickBot="1" x14ac:dyDescent="0.3">
      <c r="Z301" s="134"/>
      <c r="AA301" s="134"/>
      <c r="AC301" s="134"/>
      <c r="AD301" s="135"/>
      <c r="AG301" s="136"/>
      <c r="AH301" s="136"/>
      <c r="AJ301" s="134"/>
      <c r="AQ301" s="134"/>
      <c r="AR301" s="30"/>
      <c r="AS301" s="30"/>
      <c r="AT301" s="30"/>
      <c r="AU301" s="32"/>
      <c r="AV301" s="30"/>
      <c r="AW301" s="32"/>
      <c r="AX301" s="30"/>
      <c r="AY301" s="30"/>
      <c r="AZ301" s="30"/>
      <c r="BA301" s="32"/>
      <c r="BB301" s="32"/>
      <c r="BC301" s="30"/>
      <c r="BD301" s="32"/>
      <c r="BE301" s="30"/>
      <c r="BG301" s="242"/>
      <c r="BH301" s="177" t="s">
        <v>569</v>
      </c>
      <c r="BI301" s="191" t="s">
        <v>558</v>
      </c>
      <c r="BJ301" s="188">
        <v>36.97</v>
      </c>
      <c r="BK301" s="177" t="s">
        <v>559</v>
      </c>
      <c r="BL301" s="176">
        <v>0.2</v>
      </c>
      <c r="BM301" s="176">
        <v>0.5</v>
      </c>
      <c r="BN301" s="175" t="s">
        <v>560</v>
      </c>
      <c r="BO301" s="37"/>
      <c r="BP301" s="188"/>
      <c r="BQ301" s="177"/>
      <c r="BR301" s="37"/>
      <c r="BS301" s="37"/>
      <c r="BT301" s="37"/>
      <c r="BU301" s="39"/>
      <c r="BV301" s="37"/>
      <c r="BW301" s="37"/>
      <c r="BX301" s="39"/>
      <c r="BY301" s="39"/>
      <c r="BZ301" s="39"/>
      <c r="CA301" s="36"/>
      <c r="CB301" s="36"/>
      <c r="CC301" s="36"/>
      <c r="CD301" s="36"/>
      <c r="CE301" s="36"/>
      <c r="CF301" s="36"/>
      <c r="CG301" s="36"/>
      <c r="CH301" s="36"/>
      <c r="CI301" s="36"/>
      <c r="CJ301" s="36"/>
      <c r="CK301" s="36"/>
      <c r="CL301" s="36"/>
      <c r="CN301" s="41"/>
      <c r="CO301" s="41">
        <f t="shared" si="83"/>
        <v>0.5</v>
      </c>
      <c r="CY301" s="40"/>
      <c r="CZ301" s="153"/>
      <c r="DA301" s="40"/>
      <c r="DB301" s="40"/>
      <c r="DC301" s="40"/>
      <c r="DD301" s="40"/>
      <c r="DE301" s="40"/>
    </row>
    <row r="302" spans="26:109" s="42" customFormat="1" ht="15" customHeight="1" thickBot="1" x14ac:dyDescent="0.3">
      <c r="Z302" s="134"/>
      <c r="AA302" s="134"/>
      <c r="AC302" s="134"/>
      <c r="AD302" s="135"/>
      <c r="AG302" s="136"/>
      <c r="AH302" s="136"/>
      <c r="AJ302" s="134"/>
      <c r="AQ302" s="134"/>
      <c r="AR302" s="30"/>
      <c r="AS302" s="30"/>
      <c r="AT302" s="30"/>
      <c r="AU302" s="32"/>
      <c r="AV302" s="30"/>
      <c r="AW302" s="32"/>
      <c r="AX302" s="30"/>
      <c r="AY302" s="30"/>
      <c r="AZ302" s="30"/>
      <c r="BA302" s="32"/>
      <c r="BB302" s="32"/>
      <c r="BC302" s="30"/>
      <c r="BD302" s="32"/>
      <c r="BE302" s="30"/>
      <c r="BG302" s="242"/>
      <c r="BH302" s="177" t="s">
        <v>562</v>
      </c>
      <c r="BI302" s="191" t="s">
        <v>558</v>
      </c>
      <c r="BJ302" s="188">
        <v>63</v>
      </c>
      <c r="BK302" s="177" t="s">
        <v>559</v>
      </c>
      <c r="BL302" s="176">
        <v>0.3</v>
      </c>
      <c r="BM302" s="176">
        <v>0.5</v>
      </c>
      <c r="BN302" s="175" t="s">
        <v>429</v>
      </c>
      <c r="BO302" s="37"/>
      <c r="BP302" s="188"/>
      <c r="BQ302" s="177"/>
      <c r="BR302" s="37"/>
      <c r="BS302" s="37"/>
      <c r="BT302" s="37"/>
      <c r="BU302" s="39"/>
      <c r="BV302" s="37"/>
      <c r="BW302" s="37"/>
      <c r="BX302" s="39"/>
      <c r="BY302" s="39"/>
      <c r="BZ302" s="39"/>
      <c r="CA302" s="36"/>
      <c r="CB302" s="36"/>
      <c r="CC302" s="36"/>
      <c r="CD302" s="36"/>
      <c r="CE302" s="36"/>
      <c r="CF302" s="36"/>
      <c r="CG302" s="36"/>
      <c r="CH302" s="36"/>
      <c r="CI302" s="36"/>
      <c r="CJ302" s="36"/>
      <c r="CK302" s="36"/>
      <c r="CL302" s="36"/>
      <c r="CN302" s="41"/>
      <c r="CO302" s="41">
        <f t="shared" si="83"/>
        <v>0.5</v>
      </c>
      <c r="CY302" s="40"/>
      <c r="CZ302" s="153"/>
      <c r="DA302" s="40"/>
      <c r="DB302" s="40"/>
      <c r="DC302" s="40"/>
      <c r="DD302" s="40"/>
      <c r="DE302" s="40"/>
    </row>
    <row r="303" spans="26:109" s="42" customFormat="1" ht="15" customHeight="1" thickBot="1" x14ac:dyDescent="0.3">
      <c r="Z303" s="134"/>
      <c r="AA303" s="134"/>
      <c r="AC303" s="134"/>
      <c r="AD303" s="135"/>
      <c r="AG303" s="136"/>
      <c r="AH303" s="136"/>
      <c r="AJ303" s="134"/>
      <c r="AQ303" s="134"/>
      <c r="AU303" s="134"/>
      <c r="AW303" s="134"/>
      <c r="BA303" s="134"/>
      <c r="BB303" s="134"/>
      <c r="BD303" s="134"/>
      <c r="BG303" s="242"/>
      <c r="BH303" s="177" t="s">
        <v>570</v>
      </c>
      <c r="BI303" s="191" t="s">
        <v>558</v>
      </c>
      <c r="BJ303" s="188">
        <v>56</v>
      </c>
      <c r="BK303" s="177" t="s">
        <v>559</v>
      </c>
      <c r="BL303" s="176">
        <v>0.3</v>
      </c>
      <c r="BM303" s="176">
        <v>0.5</v>
      </c>
      <c r="BN303" s="175" t="s">
        <v>429</v>
      </c>
      <c r="BO303" s="37"/>
      <c r="BP303" s="188">
        <v>1225</v>
      </c>
      <c r="BQ303" s="177" t="s">
        <v>561</v>
      </c>
      <c r="BR303" s="37"/>
      <c r="BS303" s="37"/>
      <c r="BT303" s="37"/>
      <c r="BU303" s="39"/>
      <c r="BV303" s="37"/>
      <c r="BW303" s="37"/>
      <c r="BX303" s="39"/>
      <c r="BY303" s="39"/>
      <c r="BZ303" s="39"/>
      <c r="CA303" s="36"/>
      <c r="CB303" s="36"/>
      <c r="CC303" s="36"/>
      <c r="CD303" s="36"/>
      <c r="CE303" s="36"/>
      <c r="CF303" s="36"/>
      <c r="CG303" s="36"/>
      <c r="CH303" s="36"/>
      <c r="CI303" s="36"/>
      <c r="CJ303" s="36"/>
      <c r="CK303" s="36"/>
      <c r="CL303" s="36"/>
      <c r="CN303" s="41">
        <v>0.2</v>
      </c>
      <c r="CO303" s="41">
        <f t="shared" si="83"/>
        <v>0.5</v>
      </c>
      <c r="CW303" s="42" t="s">
        <v>570</v>
      </c>
      <c r="CX303" s="42" t="s">
        <v>558</v>
      </c>
      <c r="CY303" s="40">
        <v>49</v>
      </c>
      <c r="CZ303" s="153">
        <f t="shared" ref="CZ303:CZ311" si="96">+CY303*21</f>
        <v>1029</v>
      </c>
      <c r="DA303" s="40" t="s">
        <v>563</v>
      </c>
      <c r="DB303" s="40">
        <f t="shared" si="95"/>
        <v>1225</v>
      </c>
      <c r="DC303" s="40"/>
      <c r="DD303" s="40"/>
      <c r="DE303" s="40"/>
    </row>
    <row r="304" spans="26:109" s="42" customFormat="1" ht="15" customHeight="1" thickBot="1" x14ac:dyDescent="0.3">
      <c r="Z304" s="134"/>
      <c r="AA304" s="134"/>
      <c r="AC304" s="134"/>
      <c r="AD304" s="135"/>
      <c r="AG304" s="136"/>
      <c r="AH304" s="136"/>
      <c r="AJ304" s="134"/>
      <c r="AQ304" s="134"/>
      <c r="AU304" s="134"/>
      <c r="AW304" s="134"/>
      <c r="BA304" s="134"/>
      <c r="BB304" s="134"/>
      <c r="BD304" s="134"/>
      <c r="BG304" s="242"/>
      <c r="BH304" s="177" t="s">
        <v>571</v>
      </c>
      <c r="BI304" s="191" t="s">
        <v>558</v>
      </c>
      <c r="BJ304" s="188">
        <v>55</v>
      </c>
      <c r="BK304" s="177" t="s">
        <v>559</v>
      </c>
      <c r="BL304" s="176">
        <v>0.3</v>
      </c>
      <c r="BM304" s="176">
        <v>0.5</v>
      </c>
      <c r="BN304" s="175" t="s">
        <v>429</v>
      </c>
      <c r="BO304" s="37"/>
      <c r="BP304" s="188">
        <v>1375</v>
      </c>
      <c r="BQ304" s="177" t="s">
        <v>561</v>
      </c>
      <c r="BR304" s="37"/>
      <c r="BS304" s="37"/>
      <c r="BT304" s="37"/>
      <c r="BU304" s="39"/>
      <c r="BV304" s="37"/>
      <c r="BW304" s="37"/>
      <c r="BX304" s="39"/>
      <c r="BY304" s="39"/>
      <c r="BZ304" s="39"/>
      <c r="CA304" s="36"/>
      <c r="CB304" s="36"/>
      <c r="CC304" s="36"/>
      <c r="CD304" s="36"/>
      <c r="CE304" s="36"/>
      <c r="CF304" s="36"/>
      <c r="CG304" s="36"/>
      <c r="CH304" s="36"/>
      <c r="CI304" s="36"/>
      <c r="CJ304" s="36"/>
      <c r="CK304" s="36"/>
      <c r="CL304" s="36"/>
      <c r="CN304" s="41">
        <v>0.2</v>
      </c>
      <c r="CO304" s="41">
        <f t="shared" si="83"/>
        <v>0.5</v>
      </c>
      <c r="CW304" s="42" t="s">
        <v>571</v>
      </c>
      <c r="CX304" s="42" t="s">
        <v>558</v>
      </c>
      <c r="CY304" s="40">
        <v>55</v>
      </c>
      <c r="CZ304" s="153">
        <f t="shared" si="96"/>
        <v>1155</v>
      </c>
      <c r="DA304" s="40" t="s">
        <v>563</v>
      </c>
      <c r="DB304" s="40">
        <f t="shared" si="95"/>
        <v>1375</v>
      </c>
      <c r="DC304" s="40"/>
      <c r="DD304" s="40"/>
      <c r="DE304" s="40"/>
    </row>
    <row r="305" spans="5:115" s="42" customFormat="1" ht="15" customHeight="1" thickBot="1" x14ac:dyDescent="0.3">
      <c r="Z305" s="134"/>
      <c r="AA305" s="134"/>
      <c r="AC305" s="134"/>
      <c r="AD305" s="135"/>
      <c r="AG305" s="136"/>
      <c r="AH305" s="136"/>
      <c r="AJ305" s="134"/>
      <c r="AQ305" s="134"/>
      <c r="AU305" s="134"/>
      <c r="AW305" s="134"/>
      <c r="BA305" s="134"/>
      <c r="BB305" s="134"/>
      <c r="BD305" s="134"/>
      <c r="BG305" s="242"/>
      <c r="BH305" s="177" t="s">
        <v>572</v>
      </c>
      <c r="BI305" s="191" t="s">
        <v>558</v>
      </c>
      <c r="BJ305" s="188">
        <v>5</v>
      </c>
      <c r="BK305" s="177" t="s">
        <v>559</v>
      </c>
      <c r="BL305" s="176">
        <v>0.3</v>
      </c>
      <c r="BM305" s="176">
        <v>0.5</v>
      </c>
      <c r="BN305" s="175" t="s">
        <v>429</v>
      </c>
      <c r="BO305" s="37"/>
      <c r="BP305" s="188">
        <v>125</v>
      </c>
      <c r="BQ305" s="177" t="s">
        <v>561</v>
      </c>
      <c r="BR305" s="37"/>
      <c r="BS305" s="37"/>
      <c r="BT305" s="37"/>
      <c r="BU305" s="39"/>
      <c r="BV305" s="37"/>
      <c r="BW305" s="37"/>
      <c r="BX305" s="39"/>
      <c r="BY305" s="39"/>
      <c r="BZ305" s="39"/>
      <c r="CA305" s="36"/>
      <c r="CB305" s="36"/>
      <c r="CC305" s="36"/>
      <c r="CD305" s="36"/>
      <c r="CE305" s="36"/>
      <c r="CF305" s="36"/>
      <c r="CG305" s="36"/>
      <c r="CH305" s="36"/>
      <c r="CI305" s="36"/>
      <c r="CJ305" s="36"/>
      <c r="CK305" s="36"/>
      <c r="CL305" s="36"/>
      <c r="CN305" s="41">
        <v>0.2</v>
      </c>
      <c r="CO305" s="41">
        <f t="shared" si="83"/>
        <v>0.5</v>
      </c>
      <c r="CW305" s="42" t="s">
        <v>572</v>
      </c>
      <c r="CX305" s="42" t="s">
        <v>558</v>
      </c>
      <c r="CY305" s="40">
        <v>5</v>
      </c>
      <c r="CZ305" s="153">
        <f t="shared" si="96"/>
        <v>105</v>
      </c>
      <c r="DA305" s="40" t="s">
        <v>563</v>
      </c>
      <c r="DB305" s="40">
        <f t="shared" si="95"/>
        <v>125</v>
      </c>
      <c r="DC305" s="40"/>
      <c r="DD305" s="40"/>
      <c r="DE305" s="40"/>
    </row>
    <row r="306" spans="5:115" s="42" customFormat="1" ht="15" customHeight="1" thickBot="1" x14ac:dyDescent="0.3">
      <c r="Z306" s="134"/>
      <c r="AA306" s="134"/>
      <c r="AC306" s="134"/>
      <c r="AD306" s="135"/>
      <c r="AG306" s="136"/>
      <c r="AH306" s="136"/>
      <c r="AJ306" s="134"/>
      <c r="AQ306" s="134"/>
      <c r="AU306" s="134"/>
      <c r="AW306" s="134"/>
      <c r="BA306" s="134"/>
      <c r="BB306" s="134"/>
      <c r="BD306" s="134"/>
      <c r="BG306" s="242"/>
      <c r="BH306" s="177" t="s">
        <v>573</v>
      </c>
      <c r="BI306" s="191" t="s">
        <v>558</v>
      </c>
      <c r="BJ306" s="188">
        <v>5</v>
      </c>
      <c r="BK306" s="177" t="s">
        <v>559</v>
      </c>
      <c r="BL306" s="176">
        <v>0.3</v>
      </c>
      <c r="BM306" s="176">
        <v>0.5</v>
      </c>
      <c r="BN306" s="175" t="s">
        <v>429</v>
      </c>
      <c r="BO306" s="37"/>
      <c r="BP306" s="188">
        <v>125</v>
      </c>
      <c r="BQ306" s="177" t="s">
        <v>561</v>
      </c>
      <c r="BR306" s="37"/>
      <c r="BS306" s="37"/>
      <c r="BT306" s="37"/>
      <c r="BU306" s="39"/>
      <c r="BV306" s="37"/>
      <c r="BW306" s="37"/>
      <c r="BX306" s="39"/>
      <c r="BY306" s="39"/>
      <c r="BZ306" s="39"/>
      <c r="CA306" s="36"/>
      <c r="CB306" s="36"/>
      <c r="CC306" s="36"/>
      <c r="CD306" s="36"/>
      <c r="CE306" s="36"/>
      <c r="CF306" s="36"/>
      <c r="CG306" s="36"/>
      <c r="CH306" s="36"/>
      <c r="CI306" s="36"/>
      <c r="CJ306" s="36"/>
      <c r="CK306" s="36"/>
      <c r="CL306" s="36"/>
      <c r="CN306" s="41">
        <v>0.2</v>
      </c>
      <c r="CO306" s="41">
        <f t="shared" si="83"/>
        <v>0.5</v>
      </c>
      <c r="CW306" s="42" t="s">
        <v>573</v>
      </c>
      <c r="CX306" s="42" t="s">
        <v>558</v>
      </c>
      <c r="CY306" s="40">
        <v>5</v>
      </c>
      <c r="CZ306" s="153">
        <f t="shared" si="96"/>
        <v>105</v>
      </c>
      <c r="DA306" s="40" t="s">
        <v>563</v>
      </c>
      <c r="DB306" s="40">
        <f t="shared" si="95"/>
        <v>125</v>
      </c>
      <c r="DC306" s="40"/>
      <c r="DD306" s="40"/>
      <c r="DE306" s="40"/>
    </row>
    <row r="307" spans="5:115" s="42" customFormat="1" ht="15" customHeight="1" thickBot="1" x14ac:dyDescent="0.3">
      <c r="Z307" s="134"/>
      <c r="AA307" s="134"/>
      <c r="AC307" s="134"/>
      <c r="AD307" s="135"/>
      <c r="AG307" s="136"/>
      <c r="AH307" s="136"/>
      <c r="AJ307" s="134"/>
      <c r="AQ307" s="134"/>
      <c r="AU307" s="134"/>
      <c r="AW307" s="134"/>
      <c r="BA307" s="134"/>
      <c r="BB307" s="134"/>
      <c r="BD307" s="134"/>
      <c r="BG307" s="242"/>
      <c r="BH307" s="177" t="s">
        <v>574</v>
      </c>
      <c r="BI307" s="191" t="s">
        <v>558</v>
      </c>
      <c r="BJ307" s="188">
        <v>18</v>
      </c>
      <c r="BK307" s="177" t="s">
        <v>559</v>
      </c>
      <c r="BL307" s="176">
        <v>0.3</v>
      </c>
      <c r="BM307" s="176">
        <v>0.5</v>
      </c>
      <c r="BN307" s="175" t="s">
        <v>429</v>
      </c>
      <c r="BO307" s="37"/>
      <c r="BP307" s="188">
        <v>450</v>
      </c>
      <c r="BQ307" s="177" t="s">
        <v>561</v>
      </c>
      <c r="BR307" s="37"/>
      <c r="BS307" s="37"/>
      <c r="BT307" s="37"/>
      <c r="BU307" s="39"/>
      <c r="BV307" s="37"/>
      <c r="BW307" s="37"/>
      <c r="BX307" s="39"/>
      <c r="BY307" s="39"/>
      <c r="BZ307" s="39"/>
      <c r="CA307" s="36"/>
      <c r="CB307" s="36"/>
      <c r="CC307" s="36"/>
      <c r="CD307" s="36"/>
      <c r="CE307" s="36"/>
      <c r="CF307" s="36"/>
      <c r="CG307" s="36"/>
      <c r="CH307" s="36"/>
      <c r="CI307" s="36"/>
      <c r="CJ307" s="36"/>
      <c r="CK307" s="36"/>
      <c r="CL307" s="36"/>
      <c r="CN307" s="41">
        <v>0.2</v>
      </c>
      <c r="CO307" s="41">
        <f t="shared" ref="CO307:CO370" si="97">BM307</f>
        <v>0.5</v>
      </c>
      <c r="CW307" s="42" t="s">
        <v>574</v>
      </c>
      <c r="CX307" s="42" t="s">
        <v>558</v>
      </c>
      <c r="CY307" s="40">
        <v>18</v>
      </c>
      <c r="CZ307" s="153">
        <f t="shared" si="96"/>
        <v>378</v>
      </c>
      <c r="DA307" s="40" t="s">
        <v>563</v>
      </c>
      <c r="DB307" s="40">
        <f t="shared" si="95"/>
        <v>450</v>
      </c>
      <c r="DC307" s="40"/>
      <c r="DD307" s="40"/>
      <c r="DE307" s="40"/>
    </row>
    <row r="308" spans="5:115" s="42" customFormat="1" ht="15" customHeight="1" thickBot="1" x14ac:dyDescent="0.3">
      <c r="Z308" s="134"/>
      <c r="AA308" s="134"/>
      <c r="AC308" s="134"/>
      <c r="AD308" s="135"/>
      <c r="AG308" s="136"/>
      <c r="AH308" s="136"/>
      <c r="AJ308" s="134"/>
      <c r="AQ308" s="134"/>
      <c r="AU308" s="134"/>
      <c r="AW308" s="134"/>
      <c r="BA308" s="134"/>
      <c r="BB308" s="134"/>
      <c r="BD308" s="134"/>
      <c r="BG308" s="242"/>
      <c r="BH308" s="177" t="s">
        <v>575</v>
      </c>
      <c r="BI308" s="191" t="s">
        <v>558</v>
      </c>
      <c r="BJ308" s="188">
        <f>BP308/25</f>
        <v>10</v>
      </c>
      <c r="BK308" s="177" t="s">
        <v>559</v>
      </c>
      <c r="BL308" s="176">
        <v>0.3</v>
      </c>
      <c r="BM308" s="176">
        <v>0.5</v>
      </c>
      <c r="BN308" s="175" t="s">
        <v>429</v>
      </c>
      <c r="BO308" s="37"/>
      <c r="BP308" s="188">
        <v>250</v>
      </c>
      <c r="BQ308" s="177" t="s">
        <v>561</v>
      </c>
      <c r="BR308" s="37"/>
      <c r="BS308" s="37"/>
      <c r="BT308" s="37"/>
      <c r="BU308" s="39"/>
      <c r="BV308" s="37"/>
      <c r="BW308" s="37"/>
      <c r="BX308" s="39"/>
      <c r="BY308" s="39"/>
      <c r="BZ308" s="39"/>
      <c r="CA308" s="36"/>
      <c r="CB308" s="36"/>
      <c r="CC308" s="36"/>
      <c r="CD308" s="36"/>
      <c r="CE308" s="36"/>
      <c r="CF308" s="36"/>
      <c r="CG308" s="36"/>
      <c r="CH308" s="36"/>
      <c r="CI308" s="36"/>
      <c r="CJ308" s="36"/>
      <c r="CK308" s="36"/>
      <c r="CL308" s="36"/>
      <c r="CN308" s="41">
        <v>0.2</v>
      </c>
      <c r="CO308" s="41">
        <f t="shared" si="97"/>
        <v>0.5</v>
      </c>
      <c r="CW308" s="42" t="s">
        <v>575</v>
      </c>
      <c r="CX308" s="42" t="s">
        <v>558</v>
      </c>
      <c r="CY308" s="40">
        <v>10</v>
      </c>
      <c r="CZ308" s="153">
        <f t="shared" si="96"/>
        <v>210</v>
      </c>
      <c r="DA308" s="40" t="s">
        <v>563</v>
      </c>
      <c r="DB308" s="40">
        <f t="shared" si="95"/>
        <v>250</v>
      </c>
      <c r="DC308" s="40"/>
      <c r="DD308" s="40"/>
      <c r="DE308" s="40"/>
    </row>
    <row r="309" spans="5:115" s="42" customFormat="1" ht="15" customHeight="1" thickBot="1" x14ac:dyDescent="0.3">
      <c r="Z309" s="134"/>
      <c r="AA309" s="134"/>
      <c r="AC309" s="134"/>
      <c r="AD309" s="135"/>
      <c r="AG309" s="136"/>
      <c r="AH309" s="136"/>
      <c r="AJ309" s="134"/>
      <c r="AQ309" s="134"/>
      <c r="AU309" s="134"/>
      <c r="AW309" s="134"/>
      <c r="BA309" s="134"/>
      <c r="BB309" s="134"/>
      <c r="BD309" s="134"/>
      <c r="BG309" s="242"/>
      <c r="BH309" s="177" t="s">
        <v>576</v>
      </c>
      <c r="BI309" s="191" t="s">
        <v>558</v>
      </c>
      <c r="BJ309" s="188">
        <f>BP309/25</f>
        <v>1</v>
      </c>
      <c r="BK309" s="177" t="s">
        <v>559</v>
      </c>
      <c r="BL309" s="176">
        <v>0.3</v>
      </c>
      <c r="BM309" s="176">
        <v>0.5</v>
      </c>
      <c r="BN309" s="175" t="s">
        <v>429</v>
      </c>
      <c r="BO309" s="37"/>
      <c r="BP309" s="188">
        <v>25</v>
      </c>
      <c r="BQ309" s="177" t="s">
        <v>561</v>
      </c>
      <c r="BR309" s="37"/>
      <c r="BS309" s="37"/>
      <c r="BT309" s="37"/>
      <c r="BU309" s="39"/>
      <c r="BV309" s="37"/>
      <c r="BW309" s="37"/>
      <c r="BX309" s="39"/>
      <c r="BY309" s="39"/>
      <c r="BZ309" s="39"/>
      <c r="CA309" s="36"/>
      <c r="CB309" s="36"/>
      <c r="CC309" s="36"/>
      <c r="CD309" s="36"/>
      <c r="CE309" s="36"/>
      <c r="CF309" s="36"/>
      <c r="CG309" s="36"/>
      <c r="CH309" s="36"/>
      <c r="CI309" s="36"/>
      <c r="CJ309" s="36"/>
      <c r="CK309" s="36"/>
      <c r="CL309" s="36"/>
      <c r="CN309" s="41"/>
      <c r="CO309" s="41">
        <f t="shared" si="97"/>
        <v>0.5</v>
      </c>
      <c r="CY309" s="40"/>
      <c r="CZ309" s="153"/>
      <c r="DA309" s="40"/>
      <c r="DB309" s="40"/>
      <c r="DC309" s="40"/>
      <c r="DD309" s="40"/>
      <c r="DE309" s="40"/>
    </row>
    <row r="310" spans="5:115" s="42" customFormat="1" ht="15" customHeight="1" thickBot="1" x14ac:dyDescent="0.3">
      <c r="Z310" s="134"/>
      <c r="AA310" s="134"/>
      <c r="AC310" s="134"/>
      <c r="AD310" s="135"/>
      <c r="AG310" s="136"/>
      <c r="AH310" s="136"/>
      <c r="AJ310" s="134"/>
      <c r="AQ310" s="134"/>
      <c r="AU310" s="134"/>
      <c r="AW310" s="134"/>
      <c r="BA310" s="134"/>
      <c r="BB310" s="134"/>
      <c r="BD310" s="134"/>
      <c r="BG310" s="242"/>
      <c r="BH310" s="177" t="s">
        <v>577</v>
      </c>
      <c r="BI310" s="191" t="s">
        <v>558</v>
      </c>
      <c r="BJ310" s="188">
        <v>5.4199999999999998E-2</v>
      </c>
      <c r="BK310" s="177" t="s">
        <v>559</v>
      </c>
      <c r="BL310" s="176">
        <v>0.3</v>
      </c>
      <c r="BM310" s="176">
        <v>0.5</v>
      </c>
      <c r="BN310" s="175" t="s">
        <v>429</v>
      </c>
      <c r="BO310" s="37"/>
      <c r="BP310" s="188">
        <f>BJ310*25</f>
        <v>1.355</v>
      </c>
      <c r="BQ310" s="177" t="s">
        <v>561</v>
      </c>
      <c r="BR310" s="37"/>
      <c r="BS310" s="37"/>
      <c r="BT310" s="37"/>
      <c r="BU310" s="39"/>
      <c r="BV310" s="37"/>
      <c r="BW310" s="37"/>
      <c r="BX310" s="39"/>
      <c r="BY310" s="39"/>
      <c r="BZ310" s="39"/>
      <c r="CA310" s="36"/>
      <c r="CB310" s="36"/>
      <c r="CC310" s="36"/>
      <c r="CD310" s="36"/>
      <c r="CE310" s="36"/>
      <c r="CF310" s="36"/>
      <c r="CG310" s="36"/>
      <c r="CH310" s="36"/>
      <c r="CI310" s="36"/>
      <c r="CJ310" s="36"/>
      <c r="CK310" s="36"/>
      <c r="CL310" s="36"/>
      <c r="CN310" s="41"/>
      <c r="CO310" s="41">
        <f t="shared" si="97"/>
        <v>0.5</v>
      </c>
      <c r="CY310" s="40"/>
      <c r="CZ310" s="153"/>
      <c r="DA310" s="40"/>
      <c r="DB310" s="40"/>
      <c r="DC310" s="40"/>
      <c r="DD310" s="40"/>
      <c r="DE310" s="40"/>
    </row>
    <row r="311" spans="5:115" s="42" customFormat="1" ht="15" customHeight="1" thickBot="1" x14ac:dyDescent="0.3">
      <c r="Z311" s="134"/>
      <c r="AA311" s="134"/>
      <c r="AC311" s="134"/>
      <c r="AD311" s="135"/>
      <c r="AG311" s="136"/>
      <c r="AH311" s="136"/>
      <c r="AJ311" s="134"/>
      <c r="AQ311" s="134"/>
      <c r="AU311" s="134"/>
      <c r="AW311" s="134"/>
      <c r="BA311" s="134"/>
      <c r="BB311" s="134"/>
      <c r="BD311" s="134"/>
      <c r="BG311" s="242"/>
      <c r="BH311" s="177" t="s">
        <v>578</v>
      </c>
      <c r="BI311" s="191" t="s">
        <v>558</v>
      </c>
      <c r="BJ311" s="188">
        <v>9.522E-5</v>
      </c>
      <c r="BK311" s="177" t="s">
        <v>559</v>
      </c>
      <c r="BL311" s="176">
        <v>0.3</v>
      </c>
      <c r="BM311" s="176">
        <v>0.5</v>
      </c>
      <c r="BN311" s="175" t="s">
        <v>579</v>
      </c>
      <c r="BO311" s="37"/>
      <c r="BP311" s="188">
        <f>BJ311*25</f>
        <v>2.3804999999999998E-3</v>
      </c>
      <c r="BQ311" s="177" t="s">
        <v>561</v>
      </c>
      <c r="BR311" s="37"/>
      <c r="BS311" s="37"/>
      <c r="BT311" s="37"/>
      <c r="BU311" s="37"/>
      <c r="BV311" s="37"/>
      <c r="BW311" s="37"/>
      <c r="BX311" s="37"/>
      <c r="BY311" s="37"/>
      <c r="BZ311" s="37"/>
      <c r="CA311" s="39"/>
      <c r="CB311" s="37"/>
      <c r="CC311" s="37"/>
      <c r="CD311" s="39"/>
      <c r="CE311" s="39"/>
      <c r="CF311" s="39"/>
      <c r="CG311" s="39"/>
      <c r="CH311" s="37"/>
      <c r="CI311" s="37"/>
      <c r="CJ311" s="39"/>
      <c r="CK311" s="39"/>
      <c r="CL311" s="39"/>
      <c r="CM311" s="40"/>
      <c r="CN311" s="41">
        <v>0.2</v>
      </c>
      <c r="CO311" s="41">
        <f t="shared" si="97"/>
        <v>0.5</v>
      </c>
      <c r="CW311" s="42" t="s">
        <v>576</v>
      </c>
      <c r="CX311" s="42" t="s">
        <v>558</v>
      </c>
      <c r="CY311" s="40">
        <v>1</v>
      </c>
      <c r="CZ311" s="153">
        <f t="shared" si="96"/>
        <v>21</v>
      </c>
      <c r="DA311" s="40" t="s">
        <v>563</v>
      </c>
      <c r="DB311" s="40">
        <f t="shared" si="95"/>
        <v>25</v>
      </c>
      <c r="DC311" s="40"/>
      <c r="DD311" s="40"/>
      <c r="DE311" s="40"/>
    </row>
    <row r="312" spans="5:115" s="42" customFormat="1" x14ac:dyDescent="0.25">
      <c r="E312" s="30"/>
      <c r="F312" s="30"/>
      <c r="G312" s="30"/>
      <c r="H312" s="30"/>
      <c r="I312" s="30"/>
      <c r="J312" s="30"/>
      <c r="K312" s="30"/>
      <c r="L312" s="30"/>
      <c r="M312" s="30"/>
      <c r="N312" s="30"/>
      <c r="O312" s="30"/>
      <c r="P312" s="30"/>
      <c r="Q312" s="30"/>
      <c r="R312" s="30"/>
      <c r="S312" s="30"/>
      <c r="T312" s="30"/>
      <c r="U312" s="30"/>
      <c r="V312" s="30"/>
      <c r="W312" s="30"/>
      <c r="X312" s="30"/>
      <c r="Y312" s="30"/>
      <c r="Z312" s="32"/>
      <c r="AA312" s="32"/>
      <c r="AB312" s="30"/>
      <c r="AC312" s="32"/>
      <c r="AD312" s="33"/>
      <c r="AE312" s="30"/>
      <c r="AF312" s="30"/>
      <c r="AG312" s="34"/>
      <c r="AH312" s="34"/>
      <c r="AI312" s="30"/>
      <c r="AJ312" s="32"/>
      <c r="AK312" s="30"/>
      <c r="AL312" s="30"/>
      <c r="AM312" s="30"/>
      <c r="AN312" s="30"/>
      <c r="AO312" s="30"/>
      <c r="AP312" s="30"/>
      <c r="AQ312" s="32"/>
      <c r="AR312" s="30"/>
      <c r="AS312" s="30"/>
      <c r="AT312" s="30"/>
      <c r="AU312" s="32"/>
      <c r="AV312" s="30"/>
      <c r="AW312" s="32"/>
      <c r="AX312" s="30"/>
      <c r="AY312" s="30"/>
      <c r="AZ312" s="30"/>
      <c r="BA312" s="32"/>
      <c r="BB312" s="32"/>
      <c r="BC312" s="30"/>
      <c r="BD312" s="32"/>
      <c r="BE312" s="30"/>
      <c r="BF312" s="30"/>
      <c r="BG312" s="235"/>
      <c r="BH312" s="30"/>
      <c r="BI312" s="479"/>
      <c r="BJ312" s="479"/>
      <c r="BK312" s="479"/>
      <c r="BL312" s="480"/>
      <c r="BM312" s="480"/>
      <c r="BN312" s="480"/>
      <c r="BO312" s="479"/>
      <c r="BP312" s="479"/>
      <c r="BQ312" s="479"/>
      <c r="BR312" s="479"/>
      <c r="BS312" s="479"/>
      <c r="BT312" s="37"/>
      <c r="BU312" s="37"/>
      <c r="BV312" s="37"/>
      <c r="BW312" s="37"/>
      <c r="BX312" s="37"/>
      <c r="BY312" s="37"/>
      <c r="BZ312" s="37"/>
      <c r="CA312" s="39"/>
      <c r="CB312" s="37"/>
      <c r="CC312" s="37"/>
      <c r="CD312" s="39"/>
      <c r="CE312" s="39"/>
      <c r="CF312" s="39"/>
      <c r="CG312" s="39"/>
      <c r="CH312" s="37"/>
      <c r="CI312" s="37"/>
      <c r="CJ312" s="39"/>
      <c r="CK312" s="39"/>
      <c r="CL312" s="39"/>
      <c r="CM312" s="40"/>
      <c r="CN312" s="41"/>
      <c r="CO312" s="41">
        <f t="shared" si="97"/>
        <v>0</v>
      </c>
      <c r="CW312" s="42">
        <v>0</v>
      </c>
      <c r="CX312" s="42">
        <v>0</v>
      </c>
      <c r="CY312" s="40">
        <v>0</v>
      </c>
      <c r="CZ312" s="42">
        <v>0</v>
      </c>
      <c r="DB312" s="40">
        <f>+CY337*25</f>
        <v>1050</v>
      </c>
      <c r="DC312" s="40"/>
      <c r="DD312" s="40"/>
      <c r="DE312" s="40"/>
    </row>
    <row r="313" spans="5:115" s="42" customFormat="1" ht="15.75" customHeight="1" thickBot="1" x14ac:dyDescent="0.3">
      <c r="E313" s="30"/>
      <c r="F313" s="30"/>
      <c r="G313" s="30"/>
      <c r="H313" s="30"/>
      <c r="I313" s="30"/>
      <c r="J313" s="30"/>
      <c r="K313" s="30"/>
      <c r="L313" s="30"/>
      <c r="M313" s="30"/>
      <c r="N313" s="30"/>
      <c r="O313" s="30"/>
      <c r="P313" s="30"/>
      <c r="Q313" s="30"/>
      <c r="R313" s="30"/>
      <c r="S313" s="30"/>
      <c r="T313" s="30"/>
      <c r="U313" s="30"/>
      <c r="V313" s="30"/>
      <c r="W313" s="30"/>
      <c r="X313" s="30"/>
      <c r="Y313" s="30"/>
      <c r="Z313" s="32"/>
      <c r="AA313" s="32"/>
      <c r="AB313" s="30"/>
      <c r="AC313" s="32"/>
      <c r="AD313" s="33"/>
      <c r="AE313" s="30"/>
      <c r="AF313" s="30"/>
      <c r="AG313" s="34"/>
      <c r="AH313" s="34"/>
      <c r="AI313" s="30"/>
      <c r="AJ313" s="32"/>
      <c r="AK313" s="30"/>
      <c r="AL313" s="30"/>
      <c r="AM313" s="30"/>
      <c r="AN313" s="30"/>
      <c r="AO313" s="30"/>
      <c r="AP313" s="30"/>
      <c r="AQ313" s="32"/>
      <c r="AR313" s="30"/>
      <c r="AS313" s="30"/>
      <c r="AT313" s="30"/>
      <c r="AU313" s="32"/>
      <c r="AV313" s="30"/>
      <c r="AW313" s="32"/>
      <c r="AX313" s="30"/>
      <c r="AY313" s="30"/>
      <c r="AZ313" s="30"/>
      <c r="BA313" s="32"/>
      <c r="BB313" s="32"/>
      <c r="BC313" s="30"/>
      <c r="BD313" s="32"/>
      <c r="BE313" s="30"/>
      <c r="BF313" s="30"/>
      <c r="BG313" s="235"/>
      <c r="BH313" s="30"/>
      <c r="BI313" s="479"/>
      <c r="BJ313" s="479"/>
      <c r="BK313" s="479"/>
      <c r="BL313" s="480"/>
      <c r="BM313" s="480"/>
      <c r="BN313" s="480"/>
      <c r="BO313" s="479"/>
      <c r="BP313" s="479"/>
      <c r="BQ313" s="479"/>
      <c r="BR313" s="479"/>
      <c r="BS313" s="479"/>
      <c r="BT313" s="37"/>
      <c r="BU313" s="37"/>
      <c r="BV313" s="37"/>
      <c r="BW313" s="37"/>
      <c r="BX313" s="37"/>
      <c r="BY313" s="37"/>
      <c r="BZ313" s="37"/>
      <c r="CA313" s="39"/>
      <c r="CB313" s="37"/>
      <c r="CC313" s="37"/>
      <c r="CD313" s="39"/>
      <c r="CE313" s="39"/>
      <c r="CF313" s="39"/>
      <c r="CG313" s="39"/>
      <c r="CH313" s="37"/>
      <c r="CI313" s="37"/>
      <c r="CJ313" s="39"/>
      <c r="CK313" s="39"/>
      <c r="CL313" s="39"/>
      <c r="CM313" s="40"/>
      <c r="CN313" s="41"/>
      <c r="CO313" s="41">
        <f t="shared" si="97"/>
        <v>0</v>
      </c>
      <c r="CY313" s="40"/>
      <c r="DB313" s="40"/>
      <c r="DC313" s="40"/>
      <c r="DD313" s="40"/>
      <c r="DE313" s="40"/>
    </row>
    <row r="314" spans="5:115" s="42" customFormat="1" ht="14.5" thickBot="1" x14ac:dyDescent="0.35">
      <c r="E314" s="30"/>
      <c r="F314" s="30"/>
      <c r="G314" s="30"/>
      <c r="H314" s="30"/>
      <c r="I314" s="30"/>
      <c r="J314" s="30"/>
      <c r="K314" s="30"/>
      <c r="L314" s="30"/>
      <c r="M314" s="30"/>
      <c r="N314" s="30"/>
      <c r="O314" s="30"/>
      <c r="P314" s="30"/>
      <c r="Q314" s="30"/>
      <c r="R314" s="30"/>
      <c r="S314" s="474" t="s">
        <v>580</v>
      </c>
      <c r="T314" s="30"/>
      <c r="U314" s="30"/>
      <c r="V314" s="30"/>
      <c r="W314" s="30"/>
      <c r="X314" s="30"/>
      <c r="Y314" s="30"/>
      <c r="Z314" s="32"/>
      <c r="AA314" s="32"/>
      <c r="AB314" s="30"/>
      <c r="AC314" s="32"/>
      <c r="AD314" s="30"/>
      <c r="AE314" s="32"/>
      <c r="AF314" s="30"/>
      <c r="AG314" s="30"/>
      <c r="AH314" s="474" t="s">
        <v>581</v>
      </c>
      <c r="AI314" s="474"/>
      <c r="AJ314" s="474"/>
      <c r="AK314" s="474"/>
      <c r="AL314" s="474"/>
      <c r="AM314" s="30"/>
      <c r="AN314" s="474"/>
      <c r="AO314" s="474"/>
      <c r="AP314" s="474"/>
      <c r="AQ314" s="474"/>
      <c r="AR314" s="474"/>
      <c r="AS314" s="474"/>
      <c r="AT314" s="474"/>
      <c r="AU314" s="474"/>
      <c r="AV314" s="474"/>
      <c r="AW314" s="474"/>
      <c r="AX314" s="474"/>
      <c r="AY314" s="474"/>
      <c r="AZ314" s="474"/>
      <c r="BA314" s="474"/>
      <c r="BB314" s="474"/>
      <c r="BC314" s="474"/>
      <c r="BD314" s="30"/>
      <c r="BE314" s="30"/>
      <c r="BF314" s="30"/>
      <c r="BG314" s="235"/>
      <c r="BH314" s="30"/>
      <c r="BI314" s="479"/>
      <c r="BJ314" s="618" t="s">
        <v>582</v>
      </c>
      <c r="BK314" s="619"/>
      <c r="BL314" s="619"/>
      <c r="BM314" s="619"/>
      <c r="BN314" s="620"/>
      <c r="BO314" s="618" t="s">
        <v>583</v>
      </c>
      <c r="BP314" s="619"/>
      <c r="BQ314" s="619"/>
      <c r="BR314" s="619"/>
      <c r="BS314" s="620"/>
      <c r="BT314" s="37"/>
      <c r="BU314" s="37"/>
      <c r="BV314" s="37"/>
      <c r="BW314" s="37"/>
      <c r="BX314" s="37"/>
      <c r="BY314" s="37"/>
      <c r="BZ314" s="37"/>
      <c r="CA314" s="39"/>
      <c r="CB314" s="37"/>
      <c r="CC314" s="37"/>
      <c r="CD314" s="39"/>
      <c r="CE314" s="39"/>
      <c r="CF314" s="39"/>
      <c r="CG314" s="39"/>
      <c r="CH314" s="37"/>
      <c r="CI314" s="37"/>
      <c r="CJ314" s="39"/>
      <c r="CK314" s="39"/>
      <c r="CL314" s="39"/>
      <c r="CM314" s="40"/>
      <c r="CN314" s="41"/>
      <c r="CO314" s="41">
        <f t="shared" si="97"/>
        <v>0</v>
      </c>
      <c r="CW314" s="40" t="s">
        <v>584</v>
      </c>
      <c r="CX314" s="617" t="s">
        <v>585</v>
      </c>
      <c r="CY314" s="617" t="s">
        <v>586</v>
      </c>
      <c r="CZ314" s="617"/>
      <c r="DA314" s="621" t="s">
        <v>587</v>
      </c>
      <c r="DB314" s="617" t="s">
        <v>588</v>
      </c>
      <c r="DC314" s="617" t="s">
        <v>589</v>
      </c>
      <c r="DD314" s="617" t="s">
        <v>590</v>
      </c>
      <c r="DE314" s="617" t="s">
        <v>591</v>
      </c>
      <c r="DF314" s="617" t="s">
        <v>586</v>
      </c>
      <c r="DG314" s="617"/>
      <c r="DH314" s="617" t="s">
        <v>592</v>
      </c>
      <c r="DI314" s="617"/>
    </row>
    <row r="315" spans="5:115" s="42" customFormat="1" ht="21.75" customHeight="1" x14ac:dyDescent="0.3">
      <c r="E315" s="30"/>
      <c r="F315" s="30"/>
      <c r="G315" s="30"/>
      <c r="H315" s="30"/>
      <c r="I315" s="30"/>
      <c r="J315" s="30"/>
      <c r="K315" s="30"/>
      <c r="L315" s="30"/>
      <c r="M315" s="30"/>
      <c r="N315" s="30"/>
      <c r="O315" s="30"/>
      <c r="P315" s="30"/>
      <c r="Q315" s="30"/>
      <c r="R315" s="30"/>
      <c r="S315" s="30">
        <v>0</v>
      </c>
      <c r="T315" s="30">
        <v>0</v>
      </c>
      <c r="U315" s="30">
        <v>5.0000000000000001E-3</v>
      </c>
      <c r="V315" s="30">
        <v>5.0000000000000001E-3</v>
      </c>
      <c r="W315" s="30">
        <v>0</v>
      </c>
      <c r="X315" s="30">
        <v>0.01</v>
      </c>
      <c r="Y315" s="30">
        <v>7.0000000000000007E-2</v>
      </c>
      <c r="Z315" s="32">
        <v>0</v>
      </c>
      <c r="AA315" s="32">
        <v>0</v>
      </c>
      <c r="AB315" s="30">
        <v>6.0000000000000001E-3</v>
      </c>
      <c r="AC315" s="32"/>
      <c r="AD315" s="30">
        <v>0.1</v>
      </c>
      <c r="AE315" s="32">
        <v>0.01</v>
      </c>
      <c r="AF315" s="30">
        <v>0.01</v>
      </c>
      <c r="AG315" s="30"/>
      <c r="AH315" s="624" t="s">
        <v>593</v>
      </c>
      <c r="AI315" s="624"/>
      <c r="AJ315" s="624"/>
      <c r="AK315" s="624"/>
      <c r="AL315" s="624"/>
      <c r="AM315" s="474" t="s">
        <v>594</v>
      </c>
      <c r="AN315" s="474"/>
      <c r="AO315" s="474"/>
      <c r="AP315" s="474"/>
      <c r="AQ315" s="474"/>
      <c r="AR315" s="474"/>
      <c r="AS315" s="474"/>
      <c r="AT315" s="474"/>
      <c r="AU315" s="474"/>
      <c r="AV315" s="474"/>
      <c r="AW315" s="474"/>
      <c r="AX315" s="474"/>
      <c r="AY315" s="474"/>
      <c r="AZ315" s="474"/>
      <c r="BA315" s="474"/>
      <c r="BB315" s="474"/>
      <c r="BC315" s="474"/>
      <c r="BD315" s="30"/>
      <c r="BE315" s="30"/>
      <c r="BF315" s="30"/>
      <c r="BG315" s="235"/>
      <c r="BH315" s="586" t="s">
        <v>595</v>
      </c>
      <c r="BI315" s="481"/>
      <c r="BJ315" s="586" t="s">
        <v>596</v>
      </c>
      <c r="BK315" s="481"/>
      <c r="BL315" s="586" t="s">
        <v>302</v>
      </c>
      <c r="BM315" s="586" t="s">
        <v>302</v>
      </c>
      <c r="BN315" s="586" t="s">
        <v>303</v>
      </c>
      <c r="BO315" s="586" t="s">
        <v>597</v>
      </c>
      <c r="BP315" s="481"/>
      <c r="BQ315" s="586" t="s">
        <v>302</v>
      </c>
      <c r="BR315" s="586" t="s">
        <v>302</v>
      </c>
      <c r="BS315" s="586" t="s">
        <v>303</v>
      </c>
      <c r="BT315" s="37"/>
      <c r="BU315" s="37"/>
      <c r="BV315" s="37"/>
      <c r="BW315" s="37"/>
      <c r="BX315" s="37"/>
      <c r="BY315" s="37"/>
      <c r="BZ315" s="37"/>
      <c r="CA315" s="39"/>
      <c r="CB315" s="37"/>
      <c r="CC315" s="37"/>
      <c r="CD315" s="39"/>
      <c r="CE315" s="39"/>
      <c r="CF315" s="39"/>
      <c r="CG315" s="39"/>
      <c r="CH315" s="37"/>
      <c r="CI315" s="37"/>
      <c r="CJ315" s="39"/>
      <c r="CK315" s="39"/>
      <c r="CL315" s="39"/>
      <c r="CM315" s="40"/>
      <c r="CN315" s="41"/>
      <c r="CO315" s="41" t="str">
        <f t="shared" si="97"/>
        <v>Incertidumbre (+/- %)</v>
      </c>
      <c r="CW315" s="40"/>
      <c r="CX315" s="617"/>
      <c r="CY315" s="154">
        <v>1995</v>
      </c>
      <c r="CZ315" s="40">
        <v>2007</v>
      </c>
      <c r="DA315" s="621"/>
      <c r="DB315" s="617"/>
      <c r="DC315" s="617"/>
      <c r="DD315" s="617"/>
      <c r="DE315" s="617"/>
      <c r="DF315" s="40">
        <v>1995</v>
      </c>
      <c r="DG315" s="40">
        <v>2007</v>
      </c>
      <c r="DH315" s="40">
        <v>1995</v>
      </c>
      <c r="DI315" s="40">
        <v>2007</v>
      </c>
    </row>
    <row r="316" spans="5:115" s="42" customFormat="1" ht="34.5" customHeight="1" thickBot="1" x14ac:dyDescent="0.35">
      <c r="E316" s="30"/>
      <c r="F316" s="30"/>
      <c r="G316" s="30"/>
      <c r="H316" s="30"/>
      <c r="I316" s="30"/>
      <c r="J316" s="30"/>
      <c r="K316" s="30"/>
      <c r="L316" s="30"/>
      <c r="M316" s="30"/>
      <c r="N316" s="30"/>
      <c r="O316" s="30"/>
      <c r="P316" s="30"/>
      <c r="Q316" s="474" t="s">
        <v>598</v>
      </c>
      <c r="R316" s="474" t="s">
        <v>599</v>
      </c>
      <c r="S316" s="474" t="s">
        <v>600</v>
      </c>
      <c r="T316" s="474" t="s">
        <v>601</v>
      </c>
      <c r="U316" s="474" t="s">
        <v>602</v>
      </c>
      <c r="V316" s="474" t="s">
        <v>603</v>
      </c>
      <c r="W316" s="474" t="s">
        <v>604</v>
      </c>
      <c r="X316" s="474" t="s">
        <v>605</v>
      </c>
      <c r="Y316" s="474" t="s">
        <v>606</v>
      </c>
      <c r="Z316" s="474" t="s">
        <v>607</v>
      </c>
      <c r="AA316" s="474" t="s">
        <v>608</v>
      </c>
      <c r="AB316" s="474" t="s">
        <v>609</v>
      </c>
      <c r="AC316" s="30"/>
      <c r="AD316" s="474" t="s">
        <v>610</v>
      </c>
      <c r="AE316" s="474" t="s">
        <v>611</v>
      </c>
      <c r="AF316" s="474" t="s">
        <v>612</v>
      </c>
      <c r="AG316" s="474" t="s">
        <v>613</v>
      </c>
      <c r="AH316" s="474" t="s">
        <v>614</v>
      </c>
      <c r="AI316" s="474" t="s">
        <v>615</v>
      </c>
      <c r="AJ316" s="30"/>
      <c r="AK316" s="474" t="s">
        <v>616</v>
      </c>
      <c r="AL316" s="474" t="s">
        <v>617</v>
      </c>
      <c r="AM316" s="30" t="s">
        <v>618</v>
      </c>
      <c r="AN316" s="30" t="s">
        <v>619</v>
      </c>
      <c r="AO316" s="474" t="s">
        <v>600</v>
      </c>
      <c r="AP316" s="474" t="s">
        <v>601</v>
      </c>
      <c r="AQ316" s="30"/>
      <c r="AR316" s="474" t="s">
        <v>602</v>
      </c>
      <c r="AS316" s="474" t="s">
        <v>620</v>
      </c>
      <c r="AT316" s="474" t="s">
        <v>603</v>
      </c>
      <c r="AU316" s="474" t="s">
        <v>604</v>
      </c>
      <c r="AV316" s="474" t="s">
        <v>605</v>
      </c>
      <c r="AW316" s="30"/>
      <c r="AX316" s="474" t="s">
        <v>606</v>
      </c>
      <c r="AY316" s="474" t="s">
        <v>607</v>
      </c>
      <c r="AZ316" s="474" t="s">
        <v>608</v>
      </c>
      <c r="BA316" s="474" t="s">
        <v>609</v>
      </c>
      <c r="BB316" s="474" t="s">
        <v>610</v>
      </c>
      <c r="BC316" s="474" t="s">
        <v>611</v>
      </c>
      <c r="BD316" s="474" t="s">
        <v>612</v>
      </c>
      <c r="BE316" s="30"/>
      <c r="BF316" s="30"/>
      <c r="BG316" s="235"/>
      <c r="BH316" s="587"/>
      <c r="BI316" s="482" t="s">
        <v>308</v>
      </c>
      <c r="BJ316" s="587"/>
      <c r="BK316" s="482" t="s">
        <v>309</v>
      </c>
      <c r="BL316" s="587"/>
      <c r="BM316" s="587"/>
      <c r="BN316" s="587"/>
      <c r="BO316" s="587"/>
      <c r="BP316" s="482" t="s">
        <v>309</v>
      </c>
      <c r="BQ316" s="587"/>
      <c r="BR316" s="587"/>
      <c r="BS316" s="587"/>
      <c r="BT316" s="37"/>
      <c r="BU316" s="37"/>
      <c r="BV316" s="37"/>
      <c r="BW316" s="37"/>
      <c r="BX316" s="37"/>
      <c r="BY316" s="37"/>
      <c r="BZ316" s="37"/>
      <c r="CA316" s="39"/>
      <c r="CB316" s="37"/>
      <c r="CC316" s="37"/>
      <c r="CD316" s="39"/>
      <c r="CE316" s="39"/>
      <c r="CF316" s="39"/>
      <c r="CG316" s="39"/>
      <c r="CH316" s="37"/>
      <c r="CI316" s="37"/>
      <c r="CJ316" s="39"/>
      <c r="CK316" s="39"/>
      <c r="CL316" s="39"/>
      <c r="CM316" s="40"/>
      <c r="CN316" s="41"/>
      <c r="CO316" s="41">
        <f t="shared" si="97"/>
        <v>0</v>
      </c>
      <c r="CV316" s="42" t="s">
        <v>595</v>
      </c>
      <c r="CW316" s="40">
        <v>0</v>
      </c>
      <c r="CX316" s="154">
        <v>0</v>
      </c>
      <c r="CY316" s="154">
        <v>0</v>
      </c>
      <c r="CZ316" s="40">
        <v>0</v>
      </c>
      <c r="DA316" s="40">
        <v>0</v>
      </c>
      <c r="DB316" s="154">
        <v>0</v>
      </c>
      <c r="DC316" s="154">
        <v>0</v>
      </c>
      <c r="DD316" s="154">
        <v>0</v>
      </c>
      <c r="DE316" s="154">
        <v>0</v>
      </c>
      <c r="DF316" s="40">
        <v>0</v>
      </c>
      <c r="DG316" s="40">
        <v>0</v>
      </c>
      <c r="DH316" s="40">
        <v>0</v>
      </c>
      <c r="DI316" s="40">
        <v>0</v>
      </c>
      <c r="DJ316" s="42">
        <v>0</v>
      </c>
    </row>
    <row r="317" spans="5:115" s="42" customFormat="1" ht="18" thickBot="1" x14ac:dyDescent="0.5">
      <c r="E317" s="30"/>
      <c r="F317" s="30"/>
      <c r="G317" s="30"/>
      <c r="H317" s="30"/>
      <c r="I317" s="30"/>
      <c r="J317" s="30"/>
      <c r="K317" s="30"/>
      <c r="L317" s="30"/>
      <c r="M317" s="30"/>
      <c r="N317" s="30"/>
      <c r="O317" s="474" t="s">
        <v>621</v>
      </c>
      <c r="P317" s="30"/>
      <c r="Q317" s="30">
        <v>0.48</v>
      </c>
      <c r="R317" s="30">
        <v>400</v>
      </c>
      <c r="S317" s="478">
        <f t="shared" ref="S317:S340" si="98">((($Q317*($R317/1000)*365)*1)*S$315)*(44/28)</f>
        <v>0</v>
      </c>
      <c r="T317" s="478">
        <f t="shared" ref="T317:AD322" si="99">((($Q317*($R317/1000)*365)*1)*T$315)*(44/28)</f>
        <v>0</v>
      </c>
      <c r="U317" s="478">
        <f t="shared" si="99"/>
        <v>0.55062857142857136</v>
      </c>
      <c r="V317" s="478">
        <f t="shared" si="99"/>
        <v>0.55062857142857136</v>
      </c>
      <c r="W317" s="478">
        <f t="shared" si="99"/>
        <v>0</v>
      </c>
      <c r="X317" s="478">
        <f t="shared" si="99"/>
        <v>1.1012571428571427</v>
      </c>
      <c r="Y317" s="478">
        <f t="shared" si="99"/>
        <v>7.708800000000001</v>
      </c>
      <c r="Z317" s="478">
        <f t="shared" si="99"/>
        <v>0</v>
      </c>
      <c r="AA317" s="478">
        <f t="shared" si="99"/>
        <v>0</v>
      </c>
      <c r="AB317" s="478">
        <f t="shared" si="99"/>
        <v>0.66075428571428574</v>
      </c>
      <c r="AC317" s="478">
        <f t="shared" si="99"/>
        <v>0</v>
      </c>
      <c r="AD317" s="478">
        <f t="shared" si="99"/>
        <v>11.012571428571428</v>
      </c>
      <c r="AE317" s="478">
        <v>0</v>
      </c>
      <c r="AF317" s="478">
        <f t="shared" ref="AF317:AF332" si="100">((($Q317*($R317/1000)*365)*1)*AF$315)*(44/28)</f>
        <v>1.1012571428571427</v>
      </c>
      <c r="AG317" s="30"/>
      <c r="AH317" s="30">
        <v>1</v>
      </c>
      <c r="AI317" s="30">
        <v>58</v>
      </c>
      <c r="AJ317" s="30"/>
      <c r="AK317" s="30">
        <v>29</v>
      </c>
      <c r="AL317" s="483">
        <v>0.3</v>
      </c>
      <c r="AM317" s="30">
        <v>2.9</v>
      </c>
      <c r="AN317" s="30">
        <v>0.13</v>
      </c>
      <c r="AO317" s="478">
        <f>(AM317*365)*(AN317*0.67*0.01*1)</f>
        <v>0.92195350000000009</v>
      </c>
      <c r="AP317" s="478">
        <f>(AM317*365)*(AN317*0.67*0.001*1)</f>
        <v>9.2195350000000023E-2</v>
      </c>
      <c r="AQ317" s="484"/>
      <c r="AR317" s="478">
        <f>(AM317*365)*(AN317*0.67*0.02*1)</f>
        <v>1.8439070000000002</v>
      </c>
      <c r="AS317" s="478">
        <f>(AM317*365)*(AN317*0.67*0.01*1)</f>
        <v>0.92195350000000009</v>
      </c>
      <c r="AT317" s="478">
        <f>(AM317*365)*(AN317*0.67*0.25*1)</f>
        <v>23.048837500000001</v>
      </c>
      <c r="AU317" s="478">
        <f>(AM317*365)*(AN317*0.67*0.73*1)</f>
        <v>67.302605499999999</v>
      </c>
      <c r="AV317" s="478">
        <f>(AM317*365)*(AN317*0.67*0.03*1)</f>
        <v>2.7658605000000005</v>
      </c>
      <c r="AW317" s="484"/>
      <c r="AX317" s="478">
        <f>(AM317*365)*(AN317*0.67*0.25*1)</f>
        <v>23.048837500000001</v>
      </c>
      <c r="AY317" s="478">
        <f t="shared" ref="AY317:AY352" si="101">(AM317*365)*(AN317*0.67*1*1)</f>
        <v>92.195350000000005</v>
      </c>
      <c r="AZ317" s="478">
        <f t="shared" ref="AZ317:AZ352" si="102">(AM317*365)*(AN317*0.67*0.1*1)</f>
        <v>9.2195350000000005</v>
      </c>
      <c r="BA317" s="478">
        <f t="shared" ref="BA317:BA352" si="103">(AM317*365)*(AN317*0.67*0.005*1)</f>
        <v>0.46097675000000005</v>
      </c>
      <c r="BB317" s="478">
        <f>(AM317*365)*(AN317*0.67*0.005*1)</f>
        <v>0.46097675000000005</v>
      </c>
      <c r="BC317" s="478">
        <v>0</v>
      </c>
      <c r="BD317" s="478">
        <v>0</v>
      </c>
      <c r="BE317" s="30"/>
      <c r="BF317" s="30"/>
      <c r="BG317" s="242" t="s">
        <v>595</v>
      </c>
      <c r="BH317" s="181" t="s">
        <v>622</v>
      </c>
      <c r="BI317" s="181" t="s">
        <v>623</v>
      </c>
      <c r="BJ317" s="485">
        <f>BU317/25</f>
        <v>1</v>
      </c>
      <c r="BK317" s="181" t="s">
        <v>624</v>
      </c>
      <c r="BL317" s="486">
        <v>0.2</v>
      </c>
      <c r="BM317" s="486">
        <v>0.5</v>
      </c>
      <c r="BN317" s="487" t="s">
        <v>429</v>
      </c>
      <c r="BO317" s="485">
        <f>BX317/298</f>
        <v>1.2445714285714284</v>
      </c>
      <c r="BP317" s="181" t="s">
        <v>625</v>
      </c>
      <c r="BQ317" s="486">
        <v>0.2</v>
      </c>
      <c r="BR317" s="486">
        <v>0.5</v>
      </c>
      <c r="BS317" s="487" t="s">
        <v>429</v>
      </c>
      <c r="BT317" s="37"/>
      <c r="BU317" s="188">
        <v>25</v>
      </c>
      <c r="BV317" s="177" t="s">
        <v>561</v>
      </c>
      <c r="BW317" s="37"/>
      <c r="BX317" s="188">
        <v>370.88228571428567</v>
      </c>
      <c r="BY317" s="177" t="s">
        <v>561</v>
      </c>
      <c r="BZ317" s="37"/>
      <c r="CA317" s="39"/>
      <c r="CB317" s="37"/>
      <c r="CC317" s="37"/>
      <c r="CD317" s="39"/>
      <c r="CE317" s="39"/>
      <c r="CF317" s="39"/>
      <c r="CG317" s="39"/>
      <c r="CH317" s="37"/>
      <c r="CI317" s="37"/>
      <c r="CJ317" s="39"/>
      <c r="CK317" s="39"/>
      <c r="CL317" s="39"/>
      <c r="CM317" s="40"/>
      <c r="CN317" s="41">
        <v>0.2</v>
      </c>
      <c r="CO317" s="41">
        <f t="shared" si="97"/>
        <v>0.5</v>
      </c>
      <c r="CV317" s="42" t="s">
        <v>595</v>
      </c>
      <c r="CW317" s="42" t="s">
        <v>626</v>
      </c>
      <c r="CX317" s="42">
        <v>1</v>
      </c>
      <c r="CY317" s="134">
        <f>+CX317*21</f>
        <v>21</v>
      </c>
      <c r="CZ317" s="134">
        <f>+CX317*25</f>
        <v>25</v>
      </c>
      <c r="DA317" s="42">
        <v>40</v>
      </c>
      <c r="DB317" s="42">
        <v>0.99</v>
      </c>
      <c r="DC317" s="134">
        <f>+DA317*DB317</f>
        <v>39.6</v>
      </c>
      <c r="DD317" s="42">
        <v>0.02</v>
      </c>
      <c r="DE317" s="155">
        <f>+DC317*DD317*44/28</f>
        <v>1.2445714285714284</v>
      </c>
      <c r="DF317" s="155">
        <f>+DE317*310</f>
        <v>385.81714285714281</v>
      </c>
      <c r="DG317" s="155">
        <f>+DE317*298</f>
        <v>370.88228571428567</v>
      </c>
      <c r="DH317" s="156">
        <f>+CY317+DF317</f>
        <v>406.81714285714281</v>
      </c>
      <c r="DI317" s="156">
        <f>+CZ317+DG317</f>
        <v>395.88228571428567</v>
      </c>
      <c r="DJ317" s="40" t="s">
        <v>623</v>
      </c>
      <c r="DK317" s="42" t="s">
        <v>627</v>
      </c>
    </row>
    <row r="318" spans="5:115" s="42" customFormat="1" ht="18" thickBot="1" x14ac:dyDescent="0.5">
      <c r="E318" s="30"/>
      <c r="F318" s="30"/>
      <c r="G318" s="30"/>
      <c r="H318" s="30"/>
      <c r="I318" s="30"/>
      <c r="J318" s="30"/>
      <c r="K318" s="30"/>
      <c r="L318" s="30"/>
      <c r="M318" s="30"/>
      <c r="N318" s="30"/>
      <c r="O318" s="474" t="s">
        <v>628</v>
      </c>
      <c r="P318" s="30"/>
      <c r="Q318" s="30">
        <v>0.48</v>
      </c>
      <c r="R318" s="30">
        <v>400</v>
      </c>
      <c r="S318" s="478">
        <f t="shared" si="98"/>
        <v>0</v>
      </c>
      <c r="T318" s="478">
        <f t="shared" si="99"/>
        <v>0</v>
      </c>
      <c r="U318" s="478">
        <f t="shared" si="99"/>
        <v>0.55062857142857136</v>
      </c>
      <c r="V318" s="478">
        <f t="shared" si="99"/>
        <v>0.55062857142857136</v>
      </c>
      <c r="W318" s="478">
        <f t="shared" si="99"/>
        <v>0</v>
      </c>
      <c r="X318" s="478">
        <f t="shared" si="99"/>
        <v>1.1012571428571427</v>
      </c>
      <c r="Y318" s="478">
        <f t="shared" si="99"/>
        <v>7.708800000000001</v>
      </c>
      <c r="Z318" s="478">
        <f t="shared" si="99"/>
        <v>0</v>
      </c>
      <c r="AA318" s="478">
        <f t="shared" si="99"/>
        <v>0</v>
      </c>
      <c r="AB318" s="478">
        <f t="shared" si="99"/>
        <v>0.66075428571428574</v>
      </c>
      <c r="AC318" s="478">
        <f t="shared" si="99"/>
        <v>0</v>
      </c>
      <c r="AD318" s="478">
        <f t="shared" si="99"/>
        <v>11.012571428571428</v>
      </c>
      <c r="AE318" s="478">
        <v>0</v>
      </c>
      <c r="AF318" s="478">
        <f t="shared" si="100"/>
        <v>1.1012571428571427</v>
      </c>
      <c r="AG318" s="30"/>
      <c r="AH318" s="30">
        <v>1</v>
      </c>
      <c r="AI318" s="30">
        <v>98</v>
      </c>
      <c r="AJ318" s="30"/>
      <c r="AK318" s="30">
        <v>75</v>
      </c>
      <c r="AL318" s="483">
        <v>0.3</v>
      </c>
      <c r="AM318" s="30">
        <v>2.9</v>
      </c>
      <c r="AN318" s="30">
        <v>0.13</v>
      </c>
      <c r="AO318" s="478">
        <f>(AM318*365)*(AN318*0.67*0.015*1)</f>
        <v>1.3829302500000002</v>
      </c>
      <c r="AP318" s="478">
        <f>(AM318*365)*(AN318*0.67*0.005*1)</f>
        <v>0.46097675000000005</v>
      </c>
      <c r="AQ318" s="484"/>
      <c r="AR318" s="478">
        <f>(AM318*365)*(AN318*0.67*0.04*1)</f>
        <v>3.6878140000000004</v>
      </c>
      <c r="AS318" s="478">
        <f>(AM318*365)*(AN318*0.67*0.015*1)</f>
        <v>1.3829302500000002</v>
      </c>
      <c r="AT318" s="478">
        <f>(AM318*365)*(AN318*0.67*0.65*1)</f>
        <v>59.926977500000007</v>
      </c>
      <c r="AU318" s="478">
        <f>(AM318*365)*(AN318*0.67*0.79*1)</f>
        <v>72.834326500000003</v>
      </c>
      <c r="AV318" s="478">
        <f>(AM318*365)*(AN318*0.67*0.03*1)</f>
        <v>2.7658605000000005</v>
      </c>
      <c r="AW318" s="484"/>
      <c r="AX318" s="478">
        <f>(AM318*365)*(AN318*0.67*0.65*1)</f>
        <v>59.926977500000007</v>
      </c>
      <c r="AY318" s="478">
        <f t="shared" si="101"/>
        <v>92.195350000000005</v>
      </c>
      <c r="AZ318" s="478">
        <f t="shared" si="102"/>
        <v>9.2195350000000005</v>
      </c>
      <c r="BA318" s="478">
        <f t="shared" si="103"/>
        <v>0.46097675000000005</v>
      </c>
      <c r="BB318" s="478">
        <f>(AM318*365)*(AN318*0.67*0.01*1)</f>
        <v>0.92195350000000009</v>
      </c>
      <c r="BC318" s="478">
        <v>0</v>
      </c>
      <c r="BD318" s="478">
        <v>0</v>
      </c>
      <c r="BE318" s="30"/>
      <c r="BF318" s="30"/>
      <c r="BG318" s="242"/>
      <c r="BH318" s="181" t="s">
        <v>629</v>
      </c>
      <c r="BI318" s="181" t="s">
        <v>623</v>
      </c>
      <c r="BJ318" s="485">
        <f t="shared" ref="BJ318:BJ346" si="104">BU318/25</f>
        <v>1</v>
      </c>
      <c r="BK318" s="181" t="s">
        <v>624</v>
      </c>
      <c r="BL318" s="486">
        <v>0.2</v>
      </c>
      <c r="BM318" s="486">
        <v>0.5</v>
      </c>
      <c r="BN318" s="487" t="s">
        <v>429</v>
      </c>
      <c r="BO318" s="485">
        <f t="shared" ref="BO318:BO346" si="105">BX318/298</f>
        <v>1.2445714285714284</v>
      </c>
      <c r="BP318" s="181" t="s">
        <v>625</v>
      </c>
      <c r="BQ318" s="486">
        <v>0.2</v>
      </c>
      <c r="BR318" s="486">
        <v>0.5</v>
      </c>
      <c r="BS318" s="487" t="s">
        <v>429</v>
      </c>
      <c r="BT318" s="37"/>
      <c r="BU318" s="188">
        <v>25</v>
      </c>
      <c r="BV318" s="177" t="s">
        <v>561</v>
      </c>
      <c r="BW318" s="37"/>
      <c r="BX318" s="188">
        <v>370.88228571428567</v>
      </c>
      <c r="BY318" s="177" t="s">
        <v>561</v>
      </c>
      <c r="BZ318" s="37"/>
      <c r="CA318" s="39"/>
      <c r="CB318" s="37"/>
      <c r="CC318" s="37"/>
      <c r="CD318" s="39"/>
      <c r="CE318" s="39"/>
      <c r="CF318" s="39"/>
      <c r="CG318" s="39"/>
      <c r="CH318" s="37"/>
      <c r="CI318" s="37"/>
      <c r="CJ318" s="39"/>
      <c r="CK318" s="39"/>
      <c r="CL318" s="39"/>
      <c r="CM318" s="40"/>
      <c r="CN318" s="41">
        <v>0.2</v>
      </c>
      <c r="CO318" s="41">
        <f t="shared" si="97"/>
        <v>0.5</v>
      </c>
      <c r="CW318" s="42" t="s">
        <v>629</v>
      </c>
      <c r="CX318" s="42">
        <v>1</v>
      </c>
      <c r="CY318" s="134">
        <f t="shared" ref="CY318:CY346" si="106">+CX318*21</f>
        <v>21</v>
      </c>
      <c r="CZ318" s="134">
        <f t="shared" ref="CZ318:CZ346" si="107">+CX318*25</f>
        <v>25</v>
      </c>
      <c r="DA318" s="42">
        <v>40</v>
      </c>
      <c r="DB318" s="42">
        <v>0.99</v>
      </c>
      <c r="DC318" s="134">
        <f t="shared" ref="DC318:DC346" si="108">+DA318*DB318</f>
        <v>39.6</v>
      </c>
      <c r="DD318" s="42">
        <v>0.02</v>
      </c>
      <c r="DE318" s="155">
        <f t="shared" ref="DE318:DE346" si="109">+DC318*DD318*44/28</f>
        <v>1.2445714285714284</v>
      </c>
      <c r="DF318" s="155">
        <f t="shared" ref="DF318:DF346" si="110">+DE318*310</f>
        <v>385.81714285714281</v>
      </c>
      <c r="DG318" s="155">
        <f t="shared" ref="DG318:DG346" si="111">+DE318*298</f>
        <v>370.88228571428567</v>
      </c>
      <c r="DH318" s="156">
        <f t="shared" ref="DH318:DI346" si="112">+CY318+DF318</f>
        <v>406.81714285714281</v>
      </c>
      <c r="DI318" s="156">
        <f t="shared" si="112"/>
        <v>395.88228571428567</v>
      </c>
      <c r="DJ318" s="40" t="s">
        <v>623</v>
      </c>
      <c r="DK318" s="42" t="s">
        <v>627</v>
      </c>
    </row>
    <row r="319" spans="5:115" s="42" customFormat="1" ht="18" thickBot="1" x14ac:dyDescent="0.5">
      <c r="E319" s="30"/>
      <c r="F319" s="30"/>
      <c r="G319" s="30"/>
      <c r="H319" s="30"/>
      <c r="I319" s="30"/>
      <c r="J319" s="30"/>
      <c r="K319" s="30"/>
      <c r="L319" s="30"/>
      <c r="M319" s="30"/>
      <c r="N319" s="30"/>
      <c r="O319" s="474" t="s">
        <v>630</v>
      </c>
      <c r="P319" s="30"/>
      <c r="Q319" s="30">
        <v>0.48</v>
      </c>
      <c r="R319" s="30">
        <v>400</v>
      </c>
      <c r="S319" s="478">
        <f t="shared" si="98"/>
        <v>0</v>
      </c>
      <c r="T319" s="478">
        <f t="shared" si="99"/>
        <v>0</v>
      </c>
      <c r="U319" s="478">
        <f t="shared" si="99"/>
        <v>0.55062857142857136</v>
      </c>
      <c r="V319" s="478">
        <f t="shared" si="99"/>
        <v>0.55062857142857136</v>
      </c>
      <c r="W319" s="478">
        <f t="shared" si="99"/>
        <v>0</v>
      </c>
      <c r="X319" s="478">
        <f t="shared" si="99"/>
        <v>1.1012571428571427</v>
      </c>
      <c r="Y319" s="478">
        <f t="shared" si="99"/>
        <v>7.708800000000001</v>
      </c>
      <c r="Z319" s="478">
        <f t="shared" si="99"/>
        <v>0</v>
      </c>
      <c r="AA319" s="478">
        <f t="shared" si="99"/>
        <v>0</v>
      </c>
      <c r="AB319" s="478">
        <f t="shared" si="99"/>
        <v>0.66075428571428574</v>
      </c>
      <c r="AC319" s="478">
        <f t="shared" si="99"/>
        <v>0</v>
      </c>
      <c r="AD319" s="478">
        <f t="shared" si="99"/>
        <v>11.012571428571428</v>
      </c>
      <c r="AE319" s="478">
        <v>0</v>
      </c>
      <c r="AF319" s="478">
        <f t="shared" si="100"/>
        <v>1.1012571428571427</v>
      </c>
      <c r="AG319" s="30"/>
      <c r="AH319" s="30">
        <v>1</v>
      </c>
      <c r="AI319" s="30">
        <v>112</v>
      </c>
      <c r="AJ319" s="30"/>
      <c r="AK319" s="30">
        <v>92</v>
      </c>
      <c r="AL319" s="483">
        <v>0.3</v>
      </c>
      <c r="AM319" s="30">
        <v>2.9</v>
      </c>
      <c r="AN319" s="30">
        <v>0.13</v>
      </c>
      <c r="AO319" s="478">
        <f>(AM319*365)*(AN319*0.67*0.02*1)</f>
        <v>1.8439070000000002</v>
      </c>
      <c r="AP319" s="478">
        <f>(AM319*365)*(AN319*0.67*0.01*1)</f>
        <v>0.92195350000000009</v>
      </c>
      <c r="AQ319" s="484"/>
      <c r="AR319" s="478">
        <f>(AM319*365)*(AN319*0.67*0.05*1)</f>
        <v>4.6097675000000002</v>
      </c>
      <c r="AS319" s="478">
        <f>(AM319*365)*(AN319*0.67*0.02*1)</f>
        <v>1.8439070000000002</v>
      </c>
      <c r="AT319" s="478">
        <f>(AM319*365)*(AN319*0.67*0.8*1)</f>
        <v>73.756280000000004</v>
      </c>
      <c r="AU319" s="478">
        <f>(AM319*365)*(AN319*0.67*0.8*1)</f>
        <v>73.756280000000004</v>
      </c>
      <c r="AV319" s="478">
        <f>(AM319*365)*(AN319*0.67*0.3*1)</f>
        <v>27.658605000000005</v>
      </c>
      <c r="AW319" s="484"/>
      <c r="AX319" s="478">
        <f>(AM319*365)*(AN319*0.67*0.8*1)</f>
        <v>73.756280000000004</v>
      </c>
      <c r="AY319" s="478">
        <f t="shared" si="101"/>
        <v>92.195350000000005</v>
      </c>
      <c r="AZ319" s="478">
        <f t="shared" si="102"/>
        <v>9.2195350000000005</v>
      </c>
      <c r="BA319" s="478">
        <f t="shared" si="103"/>
        <v>0.46097675000000005</v>
      </c>
      <c r="BB319" s="478">
        <f>(AM319*365)*(AN319*0.67*0.015*1)</f>
        <v>1.3829302500000002</v>
      </c>
      <c r="BC319" s="478">
        <v>0</v>
      </c>
      <c r="BD319" s="478">
        <v>0</v>
      </c>
      <c r="BE319" s="30"/>
      <c r="BF319" s="30"/>
      <c r="BG319" s="242"/>
      <c r="BH319" s="181" t="s">
        <v>631</v>
      </c>
      <c r="BI319" s="181" t="s">
        <v>623</v>
      </c>
      <c r="BJ319" s="485">
        <f t="shared" si="104"/>
        <v>1</v>
      </c>
      <c r="BK319" s="181" t="s">
        <v>624</v>
      </c>
      <c r="BL319" s="486">
        <v>0.2</v>
      </c>
      <c r="BM319" s="486">
        <v>0.5</v>
      </c>
      <c r="BN319" s="487" t="s">
        <v>429</v>
      </c>
      <c r="BO319" s="485">
        <f t="shared" si="105"/>
        <v>1.2445714285714284</v>
      </c>
      <c r="BP319" s="181" t="s">
        <v>625</v>
      </c>
      <c r="BQ319" s="486">
        <v>0.2</v>
      </c>
      <c r="BR319" s="486">
        <v>0.5</v>
      </c>
      <c r="BS319" s="487" t="s">
        <v>429</v>
      </c>
      <c r="BT319" s="37"/>
      <c r="BU319" s="188">
        <v>25</v>
      </c>
      <c r="BV319" s="177" t="s">
        <v>561</v>
      </c>
      <c r="BW319" s="37"/>
      <c r="BX319" s="188">
        <v>370.88228571428567</v>
      </c>
      <c r="BY319" s="177" t="s">
        <v>561</v>
      </c>
      <c r="BZ319" s="37"/>
      <c r="CA319" s="39"/>
      <c r="CB319" s="37"/>
      <c r="CC319" s="37"/>
      <c r="CD319" s="39"/>
      <c r="CE319" s="39"/>
      <c r="CF319" s="39"/>
      <c r="CG319" s="39"/>
      <c r="CH319" s="37"/>
      <c r="CI319" s="37"/>
      <c r="CJ319" s="39"/>
      <c r="CK319" s="39"/>
      <c r="CL319" s="39"/>
      <c r="CM319" s="40"/>
      <c r="CN319" s="41">
        <v>0.2</v>
      </c>
      <c r="CO319" s="41">
        <f t="shared" si="97"/>
        <v>0.5</v>
      </c>
      <c r="CW319" s="42" t="s">
        <v>631</v>
      </c>
      <c r="CX319" s="42">
        <v>1</v>
      </c>
      <c r="CY319" s="134">
        <f t="shared" si="106"/>
        <v>21</v>
      </c>
      <c r="CZ319" s="134">
        <f t="shared" si="107"/>
        <v>25</v>
      </c>
      <c r="DA319" s="42">
        <v>40</v>
      </c>
      <c r="DB319" s="42">
        <v>0.99</v>
      </c>
      <c r="DC319" s="134">
        <f t="shared" si="108"/>
        <v>39.6</v>
      </c>
      <c r="DD319" s="42">
        <v>0.02</v>
      </c>
      <c r="DE319" s="155">
        <f t="shared" si="109"/>
        <v>1.2445714285714284</v>
      </c>
      <c r="DF319" s="155">
        <f t="shared" si="110"/>
        <v>385.81714285714281</v>
      </c>
      <c r="DG319" s="155">
        <f t="shared" si="111"/>
        <v>370.88228571428567</v>
      </c>
      <c r="DH319" s="156">
        <f t="shared" si="112"/>
        <v>406.81714285714281</v>
      </c>
      <c r="DI319" s="156">
        <f t="shared" si="112"/>
        <v>395.88228571428567</v>
      </c>
      <c r="DJ319" s="40" t="s">
        <v>623</v>
      </c>
      <c r="DK319" s="42" t="s">
        <v>627</v>
      </c>
    </row>
    <row r="320" spans="5:115" s="42" customFormat="1" ht="18" thickBot="1" x14ac:dyDescent="0.5">
      <c r="E320" s="30"/>
      <c r="F320" s="30"/>
      <c r="G320" s="30"/>
      <c r="H320" s="30"/>
      <c r="I320" s="30"/>
      <c r="J320" s="30"/>
      <c r="K320" s="30"/>
      <c r="L320" s="30"/>
      <c r="M320" s="30"/>
      <c r="N320" s="30"/>
      <c r="O320" s="474" t="s">
        <v>626</v>
      </c>
      <c r="P320" s="30"/>
      <c r="Q320" s="30">
        <v>0.36</v>
      </c>
      <c r="R320" s="30">
        <v>305</v>
      </c>
      <c r="S320" s="478">
        <f t="shared" si="98"/>
        <v>0</v>
      </c>
      <c r="T320" s="478">
        <f t="shared" si="99"/>
        <v>0</v>
      </c>
      <c r="U320" s="478">
        <f t="shared" si="99"/>
        <v>0.3148907142857143</v>
      </c>
      <c r="V320" s="478">
        <f t="shared" si="99"/>
        <v>0.3148907142857143</v>
      </c>
      <c r="W320" s="478">
        <f t="shared" si="99"/>
        <v>0</v>
      </c>
      <c r="X320" s="478">
        <f t="shared" si="99"/>
        <v>0.6297814285714286</v>
      </c>
      <c r="Y320" s="478">
        <f t="shared" si="99"/>
        <v>4.4084700000000003</v>
      </c>
      <c r="Z320" s="478">
        <f t="shared" si="99"/>
        <v>0</v>
      </c>
      <c r="AA320" s="478">
        <f t="shared" si="99"/>
        <v>0</v>
      </c>
      <c r="AB320" s="478">
        <f t="shared" si="99"/>
        <v>0.37786885714285712</v>
      </c>
      <c r="AC320" s="478">
        <f t="shared" si="99"/>
        <v>0</v>
      </c>
      <c r="AD320" s="478">
        <f t="shared" si="99"/>
        <v>6.2978142857142849</v>
      </c>
      <c r="AE320" s="478">
        <v>0</v>
      </c>
      <c r="AF320" s="478">
        <f t="shared" si="100"/>
        <v>0.6297814285714286</v>
      </c>
      <c r="AG320" s="30"/>
      <c r="AH320" s="30">
        <v>1</v>
      </c>
      <c r="AI320" s="30">
        <v>0</v>
      </c>
      <c r="AJ320" s="30"/>
      <c r="AK320" s="30">
        <v>8</v>
      </c>
      <c r="AL320" s="483">
        <v>0.3</v>
      </c>
      <c r="AM320" s="30">
        <v>2.5</v>
      </c>
      <c r="AN320" s="30">
        <v>0.1</v>
      </c>
      <c r="AO320" s="478">
        <f>(AM320*365)*(AN320*0.67*0.01*1)</f>
        <v>0.611375</v>
      </c>
      <c r="AP320" s="478">
        <f>(AM320*365)*(AN320*0.67*0.001*1)</f>
        <v>6.1137500000000004E-2</v>
      </c>
      <c r="AQ320" s="484"/>
      <c r="AR320" s="478">
        <f>(AM320*365)*(AN320*0.67*0.02*1)</f>
        <v>1.22275</v>
      </c>
      <c r="AS320" s="478">
        <f>(AM320*365)*(AN320*0.67*0.01*1)</f>
        <v>0.611375</v>
      </c>
      <c r="AT320" s="478">
        <f>(AM320*365)*(AN320*0.67*0.25*1)</f>
        <v>15.284375000000001</v>
      </c>
      <c r="AU320" s="478">
        <f>(AM320*365)*(AN320*0.67*0.73*1)</f>
        <v>44.630375000000001</v>
      </c>
      <c r="AV320" s="478">
        <f>(AM320*365)*(AN320*0.67*0.03*1)</f>
        <v>1.834125</v>
      </c>
      <c r="AW320" s="484"/>
      <c r="AX320" s="478">
        <f>(AM320*365)*(AN320*0.67*0.25*1)</f>
        <v>15.284375000000001</v>
      </c>
      <c r="AY320" s="478">
        <f t="shared" si="101"/>
        <v>61.137500000000003</v>
      </c>
      <c r="AZ320" s="478">
        <f t="shared" si="102"/>
        <v>6.1137500000000014</v>
      </c>
      <c r="BA320" s="478">
        <f t="shared" si="103"/>
        <v>0.3056875</v>
      </c>
      <c r="BB320" s="478">
        <f>(AM320*365)*(AN320*0.67*0.005*1)</f>
        <v>0.3056875</v>
      </c>
      <c r="BC320" s="478">
        <v>0</v>
      </c>
      <c r="BD320" s="478">
        <v>0</v>
      </c>
      <c r="BE320" s="30"/>
      <c r="BF320" s="30"/>
      <c r="BG320" s="242"/>
      <c r="BH320" s="181" t="s">
        <v>621</v>
      </c>
      <c r="BI320" s="181" t="s">
        <v>623</v>
      </c>
      <c r="BJ320" s="485">
        <f t="shared" si="104"/>
        <v>0</v>
      </c>
      <c r="BK320" s="181" t="s">
        <v>624</v>
      </c>
      <c r="BL320" s="486">
        <v>0.2</v>
      </c>
      <c r="BM320" s="486">
        <v>0.5</v>
      </c>
      <c r="BN320" s="487" t="s">
        <v>429</v>
      </c>
      <c r="BO320" s="485">
        <f t="shared" si="105"/>
        <v>0.79200000000000004</v>
      </c>
      <c r="BP320" s="181" t="s">
        <v>625</v>
      </c>
      <c r="BQ320" s="486">
        <v>0.2</v>
      </c>
      <c r="BR320" s="486">
        <v>0.5</v>
      </c>
      <c r="BS320" s="487" t="s">
        <v>429</v>
      </c>
      <c r="BT320" s="37"/>
      <c r="BU320" s="188">
        <v>0</v>
      </c>
      <c r="BV320" s="177" t="s">
        <v>561</v>
      </c>
      <c r="BW320" s="37"/>
      <c r="BX320" s="188">
        <v>236.01600000000002</v>
      </c>
      <c r="BY320" s="177" t="s">
        <v>561</v>
      </c>
      <c r="BZ320" s="37"/>
      <c r="CA320" s="39"/>
      <c r="CB320" s="37"/>
      <c r="CC320" s="37"/>
      <c r="CD320" s="39"/>
      <c r="CE320" s="39"/>
      <c r="CF320" s="39"/>
      <c r="CG320" s="39"/>
      <c r="CH320" s="37"/>
      <c r="CI320" s="37"/>
      <c r="CJ320" s="39"/>
      <c r="CK320" s="39"/>
      <c r="CL320" s="39"/>
      <c r="CM320" s="40"/>
      <c r="CN320" s="41">
        <v>0.2</v>
      </c>
      <c r="CO320" s="41">
        <f t="shared" si="97"/>
        <v>0.5</v>
      </c>
      <c r="CW320" s="42" t="s">
        <v>621</v>
      </c>
      <c r="CX320" s="42">
        <v>0</v>
      </c>
      <c r="CY320" s="134">
        <f t="shared" si="106"/>
        <v>0</v>
      </c>
      <c r="CZ320" s="134">
        <f t="shared" si="107"/>
        <v>0</v>
      </c>
      <c r="DA320" s="42">
        <v>70</v>
      </c>
      <c r="DB320" s="42">
        <v>0.36</v>
      </c>
      <c r="DC320" s="134">
        <f t="shared" si="108"/>
        <v>25.2</v>
      </c>
      <c r="DD320" s="42">
        <v>0.02</v>
      </c>
      <c r="DE320" s="155">
        <f t="shared" si="109"/>
        <v>0.79200000000000004</v>
      </c>
      <c r="DF320" s="155">
        <f t="shared" si="110"/>
        <v>245.52</v>
      </c>
      <c r="DG320" s="155">
        <f t="shared" si="111"/>
        <v>236.01600000000002</v>
      </c>
      <c r="DH320" s="156">
        <f t="shared" si="112"/>
        <v>245.52</v>
      </c>
      <c r="DI320" s="156">
        <f t="shared" si="112"/>
        <v>236.01600000000002</v>
      </c>
      <c r="DJ320" s="40" t="s">
        <v>623</v>
      </c>
      <c r="DK320" s="42" t="s">
        <v>627</v>
      </c>
    </row>
    <row r="321" spans="5:115" s="42" customFormat="1" ht="18" thickBot="1" x14ac:dyDescent="0.5">
      <c r="E321" s="30"/>
      <c r="F321" s="30"/>
      <c r="G321" s="30"/>
      <c r="H321" s="30"/>
      <c r="I321" s="30"/>
      <c r="J321" s="30"/>
      <c r="K321" s="30"/>
      <c r="L321" s="30"/>
      <c r="M321" s="30"/>
      <c r="N321" s="30"/>
      <c r="O321" s="474" t="s">
        <v>629</v>
      </c>
      <c r="P321" s="30"/>
      <c r="Q321" s="30">
        <v>0.36</v>
      </c>
      <c r="R321" s="30">
        <v>305</v>
      </c>
      <c r="S321" s="478">
        <f t="shared" si="98"/>
        <v>0</v>
      </c>
      <c r="T321" s="478">
        <f t="shared" si="99"/>
        <v>0</v>
      </c>
      <c r="U321" s="478">
        <f t="shared" si="99"/>
        <v>0.3148907142857143</v>
      </c>
      <c r="V321" s="478">
        <f t="shared" si="99"/>
        <v>0.3148907142857143</v>
      </c>
      <c r="W321" s="478">
        <f t="shared" si="99"/>
        <v>0</v>
      </c>
      <c r="X321" s="478">
        <f t="shared" si="99"/>
        <v>0.6297814285714286</v>
      </c>
      <c r="Y321" s="478">
        <f t="shared" si="99"/>
        <v>4.4084700000000003</v>
      </c>
      <c r="Z321" s="478">
        <f t="shared" si="99"/>
        <v>0</v>
      </c>
      <c r="AA321" s="478">
        <f t="shared" si="99"/>
        <v>0</v>
      </c>
      <c r="AB321" s="478">
        <f t="shared" si="99"/>
        <v>0.37786885714285712</v>
      </c>
      <c r="AC321" s="478">
        <f t="shared" si="99"/>
        <v>0</v>
      </c>
      <c r="AD321" s="478">
        <f t="shared" si="99"/>
        <v>6.2978142857142849</v>
      </c>
      <c r="AE321" s="478">
        <v>0</v>
      </c>
      <c r="AF321" s="478">
        <f t="shared" si="100"/>
        <v>0.6297814285714286</v>
      </c>
      <c r="AG321" s="30"/>
      <c r="AH321" s="30">
        <v>1</v>
      </c>
      <c r="AI321" s="30">
        <v>0</v>
      </c>
      <c r="AJ321" s="30"/>
      <c r="AK321" s="30">
        <v>21</v>
      </c>
      <c r="AL321" s="483">
        <v>0.3</v>
      </c>
      <c r="AM321" s="30">
        <v>2.5</v>
      </c>
      <c r="AN321" s="30">
        <v>0.1</v>
      </c>
      <c r="AO321" s="478">
        <f>(AM321*365)*(AN321*0.67*0.015*1)</f>
        <v>0.9170625</v>
      </c>
      <c r="AP321" s="478">
        <f>(AM321*365)*(AN321*0.67*0.005*1)</f>
        <v>0.3056875</v>
      </c>
      <c r="AQ321" s="484"/>
      <c r="AR321" s="478">
        <f>(AM321*365)*(AN321*0.67*0.04*1)</f>
        <v>2.4455</v>
      </c>
      <c r="AS321" s="478">
        <f>(AM321*365)*(AN321*0.67*0.015*1)</f>
        <v>0.9170625</v>
      </c>
      <c r="AT321" s="478">
        <f>(AM321*365)*(AN321*0.67*0.65*1)</f>
        <v>39.739375000000003</v>
      </c>
      <c r="AU321" s="478">
        <f>(AM321*365)*(AN321*0.67*0.79*1)</f>
        <v>48.298625000000001</v>
      </c>
      <c r="AV321" s="478">
        <f>(AM321*365)*(AN321*0.67*0.03*1)</f>
        <v>1.834125</v>
      </c>
      <c r="AW321" s="484"/>
      <c r="AX321" s="478">
        <f>(AM321*365)*(AN321*0.67*0.65*1)</f>
        <v>39.739375000000003</v>
      </c>
      <c r="AY321" s="478">
        <f t="shared" si="101"/>
        <v>61.137500000000003</v>
      </c>
      <c r="AZ321" s="478">
        <f t="shared" si="102"/>
        <v>6.1137500000000014</v>
      </c>
      <c r="BA321" s="478">
        <f t="shared" si="103"/>
        <v>0.3056875</v>
      </c>
      <c r="BB321" s="478">
        <f>(AM321*365)*(AN321*0.67*0.01*1)</f>
        <v>0.611375</v>
      </c>
      <c r="BC321" s="478">
        <v>0</v>
      </c>
      <c r="BD321" s="478">
        <v>0</v>
      </c>
      <c r="BE321" s="30"/>
      <c r="BF321" s="30"/>
      <c r="BG321" s="242"/>
      <c r="BH321" s="181" t="s">
        <v>628</v>
      </c>
      <c r="BI321" s="181" t="s">
        <v>623</v>
      </c>
      <c r="BJ321" s="485">
        <f t="shared" si="104"/>
        <v>1</v>
      </c>
      <c r="BK321" s="181" t="s">
        <v>624</v>
      </c>
      <c r="BL321" s="486">
        <v>0.2</v>
      </c>
      <c r="BM321" s="486">
        <v>0.5</v>
      </c>
      <c r="BN321" s="487" t="s">
        <v>429</v>
      </c>
      <c r="BO321" s="485">
        <f t="shared" si="105"/>
        <v>0.79200000000000004</v>
      </c>
      <c r="BP321" s="181" t="s">
        <v>625</v>
      </c>
      <c r="BQ321" s="486">
        <v>0.2</v>
      </c>
      <c r="BR321" s="486">
        <v>0.5</v>
      </c>
      <c r="BS321" s="487" t="s">
        <v>429</v>
      </c>
      <c r="BT321" s="37"/>
      <c r="BU321" s="188">
        <v>25</v>
      </c>
      <c r="BV321" s="177" t="s">
        <v>561</v>
      </c>
      <c r="BW321" s="37"/>
      <c r="BX321" s="188">
        <v>236.01600000000002</v>
      </c>
      <c r="BY321" s="177" t="s">
        <v>561</v>
      </c>
      <c r="BZ321" s="37"/>
      <c r="CA321" s="39"/>
      <c r="CB321" s="37"/>
      <c r="CC321" s="37"/>
      <c r="CD321" s="39"/>
      <c r="CE321" s="39"/>
      <c r="CF321" s="39"/>
      <c r="CG321" s="39"/>
      <c r="CH321" s="37"/>
      <c r="CI321" s="37"/>
      <c r="CJ321" s="39"/>
      <c r="CK321" s="39"/>
      <c r="CL321" s="39"/>
      <c r="CM321" s="40"/>
      <c r="CN321" s="41">
        <v>0.2</v>
      </c>
      <c r="CO321" s="41">
        <f t="shared" si="97"/>
        <v>0.5</v>
      </c>
      <c r="CW321" s="42" t="s">
        <v>628</v>
      </c>
      <c r="CX321" s="42">
        <v>1</v>
      </c>
      <c r="CY321" s="134">
        <f t="shared" si="106"/>
        <v>21</v>
      </c>
      <c r="CZ321" s="134">
        <f t="shared" si="107"/>
        <v>25</v>
      </c>
      <c r="DA321" s="42">
        <v>70</v>
      </c>
      <c r="DB321" s="42">
        <v>0.36</v>
      </c>
      <c r="DC321" s="134">
        <f t="shared" si="108"/>
        <v>25.2</v>
      </c>
      <c r="DD321" s="42">
        <v>0.02</v>
      </c>
      <c r="DE321" s="155">
        <f t="shared" si="109"/>
        <v>0.79200000000000004</v>
      </c>
      <c r="DF321" s="155">
        <f t="shared" si="110"/>
        <v>245.52</v>
      </c>
      <c r="DG321" s="155">
        <f t="shared" si="111"/>
        <v>236.01600000000002</v>
      </c>
      <c r="DH321" s="156">
        <f t="shared" si="112"/>
        <v>266.52</v>
      </c>
      <c r="DI321" s="156">
        <f t="shared" si="112"/>
        <v>261.01600000000002</v>
      </c>
      <c r="DJ321" s="40" t="s">
        <v>623</v>
      </c>
      <c r="DK321" s="42" t="s">
        <v>627</v>
      </c>
    </row>
    <row r="322" spans="5:115" s="42" customFormat="1" ht="18" thickBot="1" x14ac:dyDescent="0.5">
      <c r="E322" s="30"/>
      <c r="F322" s="30"/>
      <c r="G322" s="30"/>
      <c r="H322" s="30"/>
      <c r="I322" s="30"/>
      <c r="J322" s="30"/>
      <c r="K322" s="30"/>
      <c r="L322" s="30"/>
      <c r="M322" s="30"/>
      <c r="N322" s="30"/>
      <c r="O322" s="474" t="s">
        <v>631</v>
      </c>
      <c r="P322" s="30"/>
      <c r="Q322" s="30">
        <v>0.36</v>
      </c>
      <c r="R322" s="30">
        <v>305</v>
      </c>
      <c r="S322" s="478">
        <f t="shared" si="98"/>
        <v>0</v>
      </c>
      <c r="T322" s="478">
        <f t="shared" si="99"/>
        <v>0</v>
      </c>
      <c r="U322" s="478">
        <f t="shared" si="99"/>
        <v>0.3148907142857143</v>
      </c>
      <c r="V322" s="478">
        <f t="shared" si="99"/>
        <v>0.3148907142857143</v>
      </c>
      <c r="W322" s="478">
        <f t="shared" si="99"/>
        <v>0</v>
      </c>
      <c r="X322" s="478">
        <f t="shared" si="99"/>
        <v>0.6297814285714286</v>
      </c>
      <c r="Y322" s="478">
        <f t="shared" si="99"/>
        <v>4.4084700000000003</v>
      </c>
      <c r="Z322" s="478">
        <f t="shared" si="99"/>
        <v>0</v>
      </c>
      <c r="AA322" s="478">
        <f t="shared" si="99"/>
        <v>0</v>
      </c>
      <c r="AB322" s="478">
        <f t="shared" si="99"/>
        <v>0.37786885714285712</v>
      </c>
      <c r="AC322" s="478">
        <f t="shared" si="99"/>
        <v>0</v>
      </c>
      <c r="AD322" s="478">
        <f t="shared" si="99"/>
        <v>6.2978142857142849</v>
      </c>
      <c r="AE322" s="478">
        <v>0</v>
      </c>
      <c r="AF322" s="478">
        <f t="shared" si="100"/>
        <v>0.6297814285714286</v>
      </c>
      <c r="AG322" s="30"/>
      <c r="AH322" s="30">
        <v>2</v>
      </c>
      <c r="AI322" s="30">
        <v>0</v>
      </c>
      <c r="AJ322" s="30"/>
      <c r="AK322" s="30">
        <v>26</v>
      </c>
      <c r="AL322" s="483">
        <v>0.3</v>
      </c>
      <c r="AM322" s="30">
        <v>2.5</v>
      </c>
      <c r="AN322" s="30">
        <v>0.1</v>
      </c>
      <c r="AO322" s="478">
        <f>(AM322*365)*(AN322*0.67*0.02*1)</f>
        <v>1.22275</v>
      </c>
      <c r="AP322" s="478">
        <f>(AM322*365)*(AN322*0.67*0.01*1)</f>
        <v>0.611375</v>
      </c>
      <c r="AQ322" s="484"/>
      <c r="AR322" s="478">
        <f>(AM322*365)*(AN322*0.67*0.05*1)</f>
        <v>3.0568750000000007</v>
      </c>
      <c r="AS322" s="478">
        <f>(AM322*365)*(AN322*0.67*0.02*1)</f>
        <v>1.22275</v>
      </c>
      <c r="AT322" s="478">
        <f>(AM322*365)*(AN322*0.67*0.8*1)</f>
        <v>48.910000000000011</v>
      </c>
      <c r="AU322" s="478">
        <f>(AM322*365)*(AN322*0.67*0.8*1)</f>
        <v>48.910000000000011</v>
      </c>
      <c r="AV322" s="478">
        <f>(AM322*365)*(AN322*0.67*0.3*1)</f>
        <v>18.341249999999999</v>
      </c>
      <c r="AW322" s="484"/>
      <c r="AX322" s="478">
        <f>(AM322*365)*(AN322*0.67*0.8*1)</f>
        <v>48.910000000000011</v>
      </c>
      <c r="AY322" s="478">
        <f t="shared" si="101"/>
        <v>61.137500000000003</v>
      </c>
      <c r="AZ322" s="478">
        <f t="shared" si="102"/>
        <v>6.1137500000000014</v>
      </c>
      <c r="BA322" s="478">
        <f t="shared" si="103"/>
        <v>0.3056875</v>
      </c>
      <c r="BB322" s="478">
        <f>(AM322*365)*(AN322*0.67*0.015*1)</f>
        <v>0.9170625</v>
      </c>
      <c r="BC322" s="478">
        <v>0</v>
      </c>
      <c r="BD322" s="478">
        <v>0</v>
      </c>
      <c r="BE322" s="30"/>
      <c r="BF322" s="30"/>
      <c r="BG322" s="242"/>
      <c r="BH322" s="181" t="s">
        <v>630</v>
      </c>
      <c r="BI322" s="181" t="s">
        <v>623</v>
      </c>
      <c r="BJ322" s="485">
        <f t="shared" si="104"/>
        <v>2</v>
      </c>
      <c r="BK322" s="181" t="s">
        <v>624</v>
      </c>
      <c r="BL322" s="486">
        <v>0.2</v>
      </c>
      <c r="BM322" s="486">
        <v>0.5</v>
      </c>
      <c r="BN322" s="487" t="s">
        <v>429</v>
      </c>
      <c r="BO322" s="485">
        <f t="shared" si="105"/>
        <v>0.79200000000000004</v>
      </c>
      <c r="BP322" s="181" t="s">
        <v>625</v>
      </c>
      <c r="BQ322" s="486">
        <v>0.2</v>
      </c>
      <c r="BR322" s="486">
        <v>0.5</v>
      </c>
      <c r="BS322" s="487" t="s">
        <v>429</v>
      </c>
      <c r="BT322" s="37"/>
      <c r="BU322" s="188">
        <v>50</v>
      </c>
      <c r="BV322" s="177" t="s">
        <v>561</v>
      </c>
      <c r="BW322" s="37"/>
      <c r="BX322" s="188">
        <v>236.01600000000002</v>
      </c>
      <c r="BY322" s="177" t="s">
        <v>561</v>
      </c>
      <c r="BZ322" s="37"/>
      <c r="CA322" s="39"/>
      <c r="CB322" s="37"/>
      <c r="CC322" s="37"/>
      <c r="CD322" s="39"/>
      <c r="CE322" s="39"/>
      <c r="CF322" s="39"/>
      <c r="CG322" s="39"/>
      <c r="CH322" s="37"/>
      <c r="CI322" s="37"/>
      <c r="CJ322" s="39"/>
      <c r="CK322" s="39"/>
      <c r="CL322" s="39"/>
      <c r="CM322" s="40"/>
      <c r="CN322" s="41">
        <v>0.2</v>
      </c>
      <c r="CO322" s="41">
        <f t="shared" si="97"/>
        <v>0.5</v>
      </c>
      <c r="CW322" s="42" t="s">
        <v>630</v>
      </c>
      <c r="CX322" s="42">
        <v>2</v>
      </c>
      <c r="CY322" s="134">
        <f t="shared" si="106"/>
        <v>42</v>
      </c>
      <c r="CZ322" s="134">
        <f t="shared" si="107"/>
        <v>50</v>
      </c>
      <c r="DA322" s="42">
        <v>70</v>
      </c>
      <c r="DB322" s="42">
        <v>0.36</v>
      </c>
      <c r="DC322" s="134">
        <f t="shared" si="108"/>
        <v>25.2</v>
      </c>
      <c r="DD322" s="42">
        <v>0.02</v>
      </c>
      <c r="DE322" s="155">
        <f t="shared" si="109"/>
        <v>0.79200000000000004</v>
      </c>
      <c r="DF322" s="155">
        <f t="shared" si="110"/>
        <v>245.52</v>
      </c>
      <c r="DG322" s="155">
        <f t="shared" si="111"/>
        <v>236.01600000000002</v>
      </c>
      <c r="DH322" s="156">
        <f t="shared" si="112"/>
        <v>287.52</v>
      </c>
      <c r="DI322" s="156">
        <f t="shared" si="112"/>
        <v>286.01600000000002</v>
      </c>
      <c r="DJ322" s="40" t="s">
        <v>623</v>
      </c>
      <c r="DK322" s="42" t="s">
        <v>627</v>
      </c>
    </row>
    <row r="323" spans="5:115" s="42" customFormat="1" ht="18" thickBot="1" x14ac:dyDescent="0.5">
      <c r="E323" s="30"/>
      <c r="F323" s="30"/>
      <c r="G323" s="30"/>
      <c r="H323" s="30"/>
      <c r="I323" s="30"/>
      <c r="J323" s="30"/>
      <c r="K323" s="30"/>
      <c r="L323" s="30"/>
      <c r="M323" s="30"/>
      <c r="N323" s="30"/>
      <c r="O323" s="474" t="s">
        <v>632</v>
      </c>
      <c r="P323" s="30"/>
      <c r="Q323" s="30">
        <v>0.82</v>
      </c>
      <c r="R323" s="30">
        <v>1.8</v>
      </c>
      <c r="S323" s="478">
        <f t="shared" si="98"/>
        <v>0</v>
      </c>
      <c r="T323" s="478">
        <f t="shared" ref="T323:W349" si="113">((($Q323*($R323/1000)*365)*1)*T$315)*(44/28)</f>
        <v>0</v>
      </c>
      <c r="U323" s="478">
        <f t="shared" si="113"/>
        <v>4.2329571428571426E-3</v>
      </c>
      <c r="V323" s="478">
        <f t="shared" si="113"/>
        <v>4.2329571428571426E-3</v>
      </c>
      <c r="W323" s="478">
        <f t="shared" si="113"/>
        <v>0</v>
      </c>
      <c r="X323" s="478">
        <v>0</v>
      </c>
      <c r="Y323" s="478">
        <v>0</v>
      </c>
      <c r="Z323" s="478">
        <f t="shared" ref="Z323:AE325" si="114">((($Q323*($R323/1000)*365)*1)*Z$315)*(44/28)</f>
        <v>0</v>
      </c>
      <c r="AA323" s="478">
        <f t="shared" si="114"/>
        <v>0</v>
      </c>
      <c r="AB323" s="478">
        <f t="shared" si="114"/>
        <v>5.0795485714285717E-3</v>
      </c>
      <c r="AC323" s="478">
        <f t="shared" si="114"/>
        <v>0</v>
      </c>
      <c r="AD323" s="478">
        <f t="shared" si="114"/>
        <v>8.4659142857142863E-2</v>
      </c>
      <c r="AE323" s="478">
        <f t="shared" si="114"/>
        <v>8.4659142857142853E-3</v>
      </c>
      <c r="AF323" s="478">
        <f t="shared" si="100"/>
        <v>8.4659142857142853E-3</v>
      </c>
      <c r="AG323" s="30"/>
      <c r="AH323" s="30">
        <v>0.01</v>
      </c>
      <c r="AI323" s="30">
        <v>1.2</v>
      </c>
      <c r="AJ323" s="30"/>
      <c r="AK323" s="30">
        <v>0</v>
      </c>
      <c r="AL323" s="483">
        <v>0.3</v>
      </c>
      <c r="AM323" s="30">
        <v>0.1</v>
      </c>
      <c r="AN323" s="30">
        <v>0.24</v>
      </c>
      <c r="AO323" s="478">
        <f>(AM323*365)*(AN323*0.67*0.01*1)</f>
        <v>5.8692000000000001E-2</v>
      </c>
      <c r="AP323" s="478">
        <f>(AM323*365)*(AN323*0.67*0.001*1)</f>
        <v>5.8691999999999998E-3</v>
      </c>
      <c r="AQ323" s="484"/>
      <c r="AR323" s="478">
        <f>(AM323*365)*(AN323*0.67*0.02*1)</f>
        <v>0.117384</v>
      </c>
      <c r="AS323" s="478">
        <f>(AM323*365)*(AN323*0.67*0.01*1)</f>
        <v>5.8692000000000001E-2</v>
      </c>
      <c r="AT323" s="478">
        <f>(AM323*365)*(AN323*0.67*0.25*1)</f>
        <v>1.4673</v>
      </c>
      <c r="AU323" s="478">
        <f>(AM323*365)*(AN323*0.67*0.73*1)</f>
        <v>4.284516</v>
      </c>
      <c r="AV323" s="478">
        <v>0</v>
      </c>
      <c r="AW323" s="478" t="s">
        <v>633</v>
      </c>
      <c r="AX323" s="478">
        <v>0</v>
      </c>
      <c r="AY323" s="478">
        <f t="shared" si="101"/>
        <v>5.8692000000000002</v>
      </c>
      <c r="AZ323" s="478">
        <f t="shared" si="102"/>
        <v>0.58692</v>
      </c>
      <c r="BA323" s="478">
        <f t="shared" si="103"/>
        <v>2.9346000000000001E-2</v>
      </c>
      <c r="BB323" s="478">
        <f>(AM323*365)*(AN323*0.67*0.005*1)</f>
        <v>2.9346000000000001E-2</v>
      </c>
      <c r="BC323" s="478">
        <f>(AM323*365)*(AN323*0.67*0.0015*1)</f>
        <v>8.8038000000000005E-3</v>
      </c>
      <c r="BD323" s="478">
        <v>0</v>
      </c>
      <c r="BE323" s="30"/>
      <c r="BF323" s="30"/>
      <c r="BG323" s="242"/>
      <c r="BH323" s="181" t="s">
        <v>632</v>
      </c>
      <c r="BI323" s="181" t="s">
        <v>634</v>
      </c>
      <c r="BJ323" s="485">
        <f t="shared" si="104"/>
        <v>1.2E-2</v>
      </c>
      <c r="BK323" s="181" t="s">
        <v>624</v>
      </c>
      <c r="BL323" s="486">
        <v>0.2</v>
      </c>
      <c r="BM323" s="486">
        <v>0.5</v>
      </c>
      <c r="BN323" s="487" t="s">
        <v>429</v>
      </c>
      <c r="BO323" s="485">
        <f t="shared" si="105"/>
        <v>7.92E-3</v>
      </c>
      <c r="BP323" s="181" t="s">
        <v>625</v>
      </c>
      <c r="BQ323" s="486">
        <v>0.2</v>
      </c>
      <c r="BR323" s="486">
        <v>0.5</v>
      </c>
      <c r="BS323" s="487" t="s">
        <v>429</v>
      </c>
      <c r="BT323" s="37"/>
      <c r="BU323" s="188">
        <v>0.3</v>
      </c>
      <c r="BV323" s="177" t="s">
        <v>561</v>
      </c>
      <c r="BW323" s="37"/>
      <c r="BX323" s="188">
        <v>2.36016</v>
      </c>
      <c r="BY323" s="177" t="s">
        <v>561</v>
      </c>
      <c r="BZ323" s="37"/>
      <c r="CA323" s="39"/>
      <c r="CB323" s="37"/>
      <c r="CC323" s="37"/>
      <c r="CD323" s="39"/>
      <c r="CE323" s="39"/>
      <c r="CF323" s="39"/>
      <c r="CG323" s="39"/>
      <c r="CH323" s="37"/>
      <c r="CI323" s="37"/>
      <c r="CJ323" s="39"/>
      <c r="CK323" s="39"/>
      <c r="CL323" s="39"/>
      <c r="CM323" s="40"/>
      <c r="CN323" s="41">
        <v>0.2</v>
      </c>
      <c r="CO323" s="41">
        <f t="shared" si="97"/>
        <v>0.5</v>
      </c>
      <c r="CW323" s="42" t="s">
        <v>632</v>
      </c>
      <c r="CX323" s="42">
        <v>1.2E-2</v>
      </c>
      <c r="CY323" s="134">
        <f t="shared" si="106"/>
        <v>0.252</v>
      </c>
      <c r="CZ323" s="134">
        <f t="shared" si="107"/>
        <v>0.3</v>
      </c>
      <c r="DA323" s="42">
        <v>0.6</v>
      </c>
      <c r="DB323" s="42">
        <v>0.42</v>
      </c>
      <c r="DC323" s="134">
        <f t="shared" si="108"/>
        <v>0.252</v>
      </c>
      <c r="DD323" s="42">
        <v>0.02</v>
      </c>
      <c r="DE323" s="155">
        <f t="shared" si="109"/>
        <v>7.92E-3</v>
      </c>
      <c r="DF323" s="155">
        <f t="shared" si="110"/>
        <v>2.4552</v>
      </c>
      <c r="DG323" s="155">
        <f t="shared" si="111"/>
        <v>2.36016</v>
      </c>
      <c r="DH323" s="156">
        <f t="shared" si="112"/>
        <v>2.7072000000000003</v>
      </c>
      <c r="DI323" s="156">
        <f t="shared" si="112"/>
        <v>2.6601599999999999</v>
      </c>
      <c r="DJ323" s="40" t="s">
        <v>634</v>
      </c>
      <c r="DK323" s="42" t="s">
        <v>635</v>
      </c>
    </row>
    <row r="324" spans="5:115" s="42" customFormat="1" ht="18" thickBot="1" x14ac:dyDescent="0.5">
      <c r="E324" s="30"/>
      <c r="F324" s="30"/>
      <c r="G324" s="30"/>
      <c r="H324" s="30"/>
      <c r="I324" s="30"/>
      <c r="J324" s="30"/>
      <c r="K324" s="30"/>
      <c r="L324" s="30"/>
      <c r="M324" s="30"/>
      <c r="N324" s="30"/>
      <c r="O324" s="474" t="s">
        <v>636</v>
      </c>
      <c r="P324" s="30"/>
      <c r="Q324" s="30">
        <v>0.82</v>
      </c>
      <c r="R324" s="30">
        <v>1.8</v>
      </c>
      <c r="S324" s="478">
        <f t="shared" si="98"/>
        <v>0</v>
      </c>
      <c r="T324" s="478">
        <f t="shared" si="113"/>
        <v>0</v>
      </c>
      <c r="U324" s="478">
        <f t="shared" si="113"/>
        <v>4.2329571428571426E-3</v>
      </c>
      <c r="V324" s="478">
        <f t="shared" si="113"/>
        <v>4.2329571428571426E-3</v>
      </c>
      <c r="W324" s="478">
        <f t="shared" si="113"/>
        <v>0</v>
      </c>
      <c r="X324" s="478">
        <v>0</v>
      </c>
      <c r="Y324" s="478">
        <v>0</v>
      </c>
      <c r="Z324" s="478">
        <f t="shared" si="114"/>
        <v>0</v>
      </c>
      <c r="AA324" s="478">
        <f t="shared" si="114"/>
        <v>0</v>
      </c>
      <c r="AB324" s="478">
        <f t="shared" si="114"/>
        <v>5.0795485714285717E-3</v>
      </c>
      <c r="AC324" s="478">
        <f t="shared" si="114"/>
        <v>0</v>
      </c>
      <c r="AD324" s="478">
        <f t="shared" si="114"/>
        <v>8.4659142857142863E-2</v>
      </c>
      <c r="AE324" s="478">
        <f t="shared" si="114"/>
        <v>8.4659142857142853E-3</v>
      </c>
      <c r="AF324" s="478">
        <f t="shared" si="100"/>
        <v>8.4659142857142853E-3</v>
      </c>
      <c r="AG324" s="30"/>
      <c r="AH324" s="30">
        <v>0.02</v>
      </c>
      <c r="AI324" s="30">
        <v>1.4</v>
      </c>
      <c r="AJ324" s="30"/>
      <c r="AK324" s="30">
        <v>0</v>
      </c>
      <c r="AL324" s="483">
        <v>0.3</v>
      </c>
      <c r="AM324" s="30">
        <v>0.1</v>
      </c>
      <c r="AN324" s="30">
        <v>0.24</v>
      </c>
      <c r="AO324" s="478">
        <f>(AM324*365)*(AN324*0.67*0.015*1)</f>
        <v>8.8038000000000005E-2</v>
      </c>
      <c r="AP324" s="478">
        <f>(AM324*365)*(AN324*0.67*0.005*1)</f>
        <v>2.9346000000000001E-2</v>
      </c>
      <c r="AQ324" s="484"/>
      <c r="AR324" s="478">
        <f>(AM324*365)*(AN324*0.67*0.04*1)</f>
        <v>0.234768</v>
      </c>
      <c r="AS324" s="478">
        <f>(AM324*365)*(AN324*0.67*0.015*1)</f>
        <v>8.8038000000000005E-2</v>
      </c>
      <c r="AT324" s="478">
        <f>(AM324*365)*(AN324*0.67*0.65*1)</f>
        <v>3.8149800000000003</v>
      </c>
      <c r="AU324" s="478">
        <f>(AM324*365)*(AN324*0.67*0.79*1)</f>
        <v>4.6366680000000002</v>
      </c>
      <c r="AV324" s="478">
        <v>0</v>
      </c>
      <c r="AW324" s="478" t="s">
        <v>633</v>
      </c>
      <c r="AX324" s="478">
        <v>0</v>
      </c>
      <c r="AY324" s="478">
        <f t="shared" si="101"/>
        <v>5.8692000000000002</v>
      </c>
      <c r="AZ324" s="478">
        <f t="shared" si="102"/>
        <v>0.58692</v>
      </c>
      <c r="BA324" s="478">
        <f t="shared" si="103"/>
        <v>2.9346000000000001E-2</v>
      </c>
      <c r="BB324" s="478">
        <f>(AM324*365)*(AN324*0.67*0.01*1)</f>
        <v>5.8692000000000001E-2</v>
      </c>
      <c r="BC324" s="478">
        <f>(AM324*365)*(AN324*0.67*0.0015*1)</f>
        <v>8.8038000000000005E-3</v>
      </c>
      <c r="BD324" s="478">
        <v>0</v>
      </c>
      <c r="BE324" s="30"/>
      <c r="BF324" s="30"/>
      <c r="BG324" s="242"/>
      <c r="BH324" s="181" t="s">
        <v>636</v>
      </c>
      <c r="BI324" s="181" t="s">
        <v>634</v>
      </c>
      <c r="BJ324" s="485">
        <f t="shared" si="104"/>
        <v>1.7999999999999999E-2</v>
      </c>
      <c r="BK324" s="181" t="s">
        <v>624</v>
      </c>
      <c r="BL324" s="486">
        <v>0.2</v>
      </c>
      <c r="BM324" s="486">
        <v>0.5</v>
      </c>
      <c r="BN324" s="487" t="s">
        <v>429</v>
      </c>
      <c r="BO324" s="485">
        <f t="shared" si="105"/>
        <v>7.92E-3</v>
      </c>
      <c r="BP324" s="181" t="s">
        <v>625</v>
      </c>
      <c r="BQ324" s="486">
        <v>0.2</v>
      </c>
      <c r="BR324" s="486">
        <v>0.5</v>
      </c>
      <c r="BS324" s="487" t="s">
        <v>429</v>
      </c>
      <c r="BT324" s="37"/>
      <c r="BU324" s="188">
        <v>0.44999999999999996</v>
      </c>
      <c r="BV324" s="177" t="s">
        <v>561</v>
      </c>
      <c r="BW324" s="37"/>
      <c r="BX324" s="188">
        <v>2.36016</v>
      </c>
      <c r="BY324" s="177" t="s">
        <v>561</v>
      </c>
      <c r="BZ324" s="37"/>
      <c r="CA324" s="39"/>
      <c r="CB324" s="37"/>
      <c r="CC324" s="37"/>
      <c r="CD324" s="39"/>
      <c r="CE324" s="39"/>
      <c r="CF324" s="39"/>
      <c r="CG324" s="39"/>
      <c r="CH324" s="37"/>
      <c r="CI324" s="37"/>
      <c r="CJ324" s="39"/>
      <c r="CK324" s="39"/>
      <c r="CL324" s="39"/>
      <c r="CM324" s="40"/>
      <c r="CN324" s="41">
        <v>0.2</v>
      </c>
      <c r="CO324" s="41">
        <f t="shared" si="97"/>
        <v>0.5</v>
      </c>
      <c r="CW324" s="42" t="s">
        <v>636</v>
      </c>
      <c r="CX324" s="42">
        <v>1.7999999999999999E-2</v>
      </c>
      <c r="CY324" s="134">
        <f t="shared" si="106"/>
        <v>0.37799999999999995</v>
      </c>
      <c r="CZ324" s="134">
        <f t="shared" si="107"/>
        <v>0.44999999999999996</v>
      </c>
      <c r="DA324" s="42">
        <v>0.6</v>
      </c>
      <c r="DB324" s="42">
        <v>0.42</v>
      </c>
      <c r="DC324" s="134">
        <f t="shared" si="108"/>
        <v>0.252</v>
      </c>
      <c r="DD324" s="42">
        <v>0.02</v>
      </c>
      <c r="DE324" s="155">
        <f t="shared" si="109"/>
        <v>7.92E-3</v>
      </c>
      <c r="DF324" s="155">
        <f t="shared" si="110"/>
        <v>2.4552</v>
      </c>
      <c r="DG324" s="155">
        <f t="shared" si="111"/>
        <v>2.36016</v>
      </c>
      <c r="DH324" s="156">
        <f t="shared" si="112"/>
        <v>2.8332000000000002</v>
      </c>
      <c r="DI324" s="156">
        <f t="shared" si="112"/>
        <v>2.8101599999999998</v>
      </c>
      <c r="DJ324" s="40" t="s">
        <v>634</v>
      </c>
      <c r="DK324" s="42" t="s">
        <v>635</v>
      </c>
    </row>
    <row r="325" spans="5:115" s="42" customFormat="1" ht="18" thickBot="1" x14ac:dyDescent="0.5">
      <c r="E325" s="30"/>
      <c r="F325" s="30"/>
      <c r="G325" s="30"/>
      <c r="H325" s="30"/>
      <c r="I325" s="30"/>
      <c r="J325" s="30"/>
      <c r="K325" s="30"/>
      <c r="L325" s="30"/>
      <c r="M325" s="30"/>
      <c r="N325" s="30"/>
      <c r="O325" s="474" t="s">
        <v>637</v>
      </c>
      <c r="P325" s="30"/>
      <c r="Q325" s="30">
        <v>0.82</v>
      </c>
      <c r="R325" s="30">
        <v>1.8</v>
      </c>
      <c r="S325" s="478">
        <f t="shared" si="98"/>
        <v>0</v>
      </c>
      <c r="T325" s="478">
        <f t="shared" si="113"/>
        <v>0</v>
      </c>
      <c r="U325" s="478">
        <f t="shared" si="113"/>
        <v>4.2329571428571426E-3</v>
      </c>
      <c r="V325" s="478">
        <f t="shared" si="113"/>
        <v>4.2329571428571426E-3</v>
      </c>
      <c r="W325" s="478">
        <f t="shared" si="113"/>
        <v>0</v>
      </c>
      <c r="X325" s="478">
        <v>0</v>
      </c>
      <c r="Y325" s="478">
        <v>0</v>
      </c>
      <c r="Z325" s="478">
        <f t="shared" si="114"/>
        <v>0</v>
      </c>
      <c r="AA325" s="478">
        <f t="shared" si="114"/>
        <v>0</v>
      </c>
      <c r="AB325" s="478">
        <f t="shared" si="114"/>
        <v>5.0795485714285717E-3</v>
      </c>
      <c r="AC325" s="478">
        <f t="shared" si="114"/>
        <v>0</v>
      </c>
      <c r="AD325" s="478">
        <f t="shared" si="114"/>
        <v>8.4659142857142863E-2</v>
      </c>
      <c r="AE325" s="478">
        <f t="shared" si="114"/>
        <v>8.4659142857142853E-3</v>
      </c>
      <c r="AF325" s="478">
        <f t="shared" si="100"/>
        <v>8.4659142857142853E-3</v>
      </c>
      <c r="AG325" s="30"/>
      <c r="AH325" s="30">
        <v>0.02</v>
      </c>
      <c r="AI325" s="30">
        <v>1.4</v>
      </c>
      <c r="AJ325" s="30"/>
      <c r="AK325" s="30">
        <v>0</v>
      </c>
      <c r="AL325" s="483">
        <v>0.3</v>
      </c>
      <c r="AM325" s="30">
        <v>0.1</v>
      </c>
      <c r="AN325" s="30">
        <v>0.24</v>
      </c>
      <c r="AO325" s="478">
        <f>(AM325*365)*(AN325*0.67*0.02*1)</f>
        <v>0.117384</v>
      </c>
      <c r="AP325" s="478">
        <f>(AM325*365)*(AN325*0.67*0.01*1)</f>
        <v>5.8692000000000001E-2</v>
      </c>
      <c r="AQ325" s="484"/>
      <c r="AR325" s="478">
        <f>(AM325*365)*(AN325*0.67*0.05*1)</f>
        <v>0.29346</v>
      </c>
      <c r="AS325" s="478">
        <f>(AM325*365)*(AN325*0.67*0.02*1)</f>
        <v>0.117384</v>
      </c>
      <c r="AT325" s="478">
        <f>(AM325*365)*(AN325*0.67*0.8*1)</f>
        <v>4.69536</v>
      </c>
      <c r="AU325" s="478">
        <f>(AM325*365)*(AN325*0.67*0.8*1)</f>
        <v>4.69536</v>
      </c>
      <c r="AV325" s="478">
        <v>0</v>
      </c>
      <c r="AW325" s="478" t="s">
        <v>633</v>
      </c>
      <c r="AX325" s="478">
        <v>0</v>
      </c>
      <c r="AY325" s="478">
        <f t="shared" si="101"/>
        <v>5.8692000000000002</v>
      </c>
      <c r="AZ325" s="478">
        <f t="shared" si="102"/>
        <v>0.58692</v>
      </c>
      <c r="BA325" s="478">
        <f t="shared" si="103"/>
        <v>2.9346000000000001E-2</v>
      </c>
      <c r="BB325" s="478">
        <f>(AM325*365)*(AN325*0.67*0.015*1)</f>
        <v>8.8038000000000005E-2</v>
      </c>
      <c r="BC325" s="478">
        <f>(AM325*365)*(AN325*0.67*0.0015*1)</f>
        <v>8.8038000000000005E-3</v>
      </c>
      <c r="BD325" s="478">
        <v>0</v>
      </c>
      <c r="BE325" s="30"/>
      <c r="BF325" s="30"/>
      <c r="BG325" s="242"/>
      <c r="BH325" s="181" t="s">
        <v>637</v>
      </c>
      <c r="BI325" s="181" t="s">
        <v>634</v>
      </c>
      <c r="BJ325" s="485">
        <f t="shared" si="104"/>
        <v>2.3E-2</v>
      </c>
      <c r="BK325" s="181" t="s">
        <v>624</v>
      </c>
      <c r="BL325" s="486">
        <v>0.2</v>
      </c>
      <c r="BM325" s="486">
        <v>0.5</v>
      </c>
      <c r="BN325" s="487" t="s">
        <v>429</v>
      </c>
      <c r="BO325" s="485">
        <f t="shared" si="105"/>
        <v>7.92E-3</v>
      </c>
      <c r="BP325" s="181" t="s">
        <v>625</v>
      </c>
      <c r="BQ325" s="486">
        <v>0.2</v>
      </c>
      <c r="BR325" s="486">
        <v>0.5</v>
      </c>
      <c r="BS325" s="487" t="s">
        <v>429</v>
      </c>
      <c r="BT325" s="37"/>
      <c r="BU325" s="188">
        <v>0.57499999999999996</v>
      </c>
      <c r="BV325" s="177" t="s">
        <v>561</v>
      </c>
      <c r="BW325" s="37"/>
      <c r="BX325" s="188">
        <v>2.36016</v>
      </c>
      <c r="BY325" s="177" t="s">
        <v>561</v>
      </c>
      <c r="BZ325" s="37"/>
      <c r="CA325" s="39"/>
      <c r="CB325" s="37"/>
      <c r="CC325" s="37"/>
      <c r="CD325" s="39"/>
      <c r="CE325" s="39"/>
      <c r="CF325" s="39"/>
      <c r="CG325" s="39"/>
      <c r="CH325" s="37"/>
      <c r="CI325" s="37"/>
      <c r="CJ325" s="39"/>
      <c r="CK325" s="39"/>
      <c r="CL325" s="39"/>
      <c r="CM325" s="40"/>
      <c r="CN325" s="41">
        <v>0.2</v>
      </c>
      <c r="CO325" s="41">
        <f t="shared" si="97"/>
        <v>0.5</v>
      </c>
      <c r="CW325" s="42" t="s">
        <v>637</v>
      </c>
      <c r="CX325" s="42">
        <v>2.3E-2</v>
      </c>
      <c r="CY325" s="134">
        <f t="shared" si="106"/>
        <v>0.48299999999999998</v>
      </c>
      <c r="CZ325" s="134">
        <f t="shared" si="107"/>
        <v>0.57499999999999996</v>
      </c>
      <c r="DA325" s="42">
        <v>0.6</v>
      </c>
      <c r="DB325" s="42">
        <v>0.42</v>
      </c>
      <c r="DC325" s="134">
        <f t="shared" si="108"/>
        <v>0.252</v>
      </c>
      <c r="DD325" s="42">
        <v>0.02</v>
      </c>
      <c r="DE325" s="155">
        <f t="shared" si="109"/>
        <v>7.92E-3</v>
      </c>
      <c r="DF325" s="155">
        <f t="shared" si="110"/>
        <v>2.4552</v>
      </c>
      <c r="DG325" s="155">
        <f t="shared" si="111"/>
        <v>2.36016</v>
      </c>
      <c r="DH325" s="156">
        <f t="shared" si="112"/>
        <v>2.9382000000000001</v>
      </c>
      <c r="DI325" s="156">
        <f t="shared" si="112"/>
        <v>2.9351599999999998</v>
      </c>
      <c r="DJ325" s="40" t="s">
        <v>634</v>
      </c>
      <c r="DK325" s="42" t="s">
        <v>635</v>
      </c>
    </row>
    <row r="326" spans="5:115" s="42" customFormat="1" ht="18" thickBot="1" x14ac:dyDescent="0.5">
      <c r="E326" s="30"/>
      <c r="F326" s="30"/>
      <c r="G326" s="30"/>
      <c r="H326" s="30"/>
      <c r="I326" s="30"/>
      <c r="J326" s="30"/>
      <c r="K326" s="30"/>
      <c r="L326" s="30"/>
      <c r="M326" s="30"/>
      <c r="N326" s="30"/>
      <c r="O326" s="474" t="s">
        <v>638</v>
      </c>
      <c r="P326" s="30"/>
      <c r="Q326" s="30">
        <v>1.17</v>
      </c>
      <c r="R326" s="30">
        <v>28</v>
      </c>
      <c r="S326" s="478">
        <f t="shared" si="98"/>
        <v>0</v>
      </c>
      <c r="T326" s="478">
        <f t="shared" si="113"/>
        <v>0</v>
      </c>
      <c r="U326" s="478">
        <f t="shared" si="113"/>
        <v>9.3950999999999993E-2</v>
      </c>
      <c r="V326" s="478">
        <f t="shared" si="113"/>
        <v>9.3950999999999993E-2</v>
      </c>
      <c r="W326" s="478">
        <f t="shared" si="113"/>
        <v>0</v>
      </c>
      <c r="X326" s="478">
        <f t="shared" ref="X326:AD335" si="115">((($Q326*($R326/1000)*365)*1)*X$315)*(44/28)</f>
        <v>0.18790199999999999</v>
      </c>
      <c r="Y326" s="478">
        <f t="shared" si="115"/>
        <v>1.3153140000000001</v>
      </c>
      <c r="Z326" s="478">
        <f t="shared" si="115"/>
        <v>0</v>
      </c>
      <c r="AA326" s="478">
        <f t="shared" si="115"/>
        <v>0</v>
      </c>
      <c r="AB326" s="478">
        <f t="shared" si="115"/>
        <v>0.1127412</v>
      </c>
      <c r="AC326" s="478">
        <f t="shared" si="115"/>
        <v>0</v>
      </c>
      <c r="AD326" s="478">
        <f t="shared" si="115"/>
        <v>1.8790199999999999</v>
      </c>
      <c r="AE326" s="478">
        <v>0</v>
      </c>
      <c r="AF326" s="478">
        <f t="shared" si="100"/>
        <v>0.18790199999999999</v>
      </c>
      <c r="AG326" s="30"/>
      <c r="AH326" s="30">
        <v>0.1</v>
      </c>
      <c r="AI326" s="30">
        <v>0</v>
      </c>
      <c r="AJ326" s="30"/>
      <c r="AK326" s="30">
        <v>0</v>
      </c>
      <c r="AL326" s="483">
        <v>0.3</v>
      </c>
      <c r="AM326" s="30">
        <v>0.32</v>
      </c>
      <c r="AN326" s="30">
        <v>0.13</v>
      </c>
      <c r="AO326" s="478">
        <f>(AM326*365)*(AN326*0.67*0.01*1)</f>
        <v>0.10173280000000001</v>
      </c>
      <c r="AP326" s="478">
        <f>(AM326*365)*(AN326*0.67*0.001*1)</f>
        <v>1.0173280000000002E-2</v>
      </c>
      <c r="AQ326" s="484"/>
      <c r="AR326" s="478">
        <f>(AM326*365)*(AN326*0.67*0.02*1)</f>
        <v>0.20346560000000002</v>
      </c>
      <c r="AS326" s="478">
        <f>(AM326*365)*(AN326*0.67*0.01*1)</f>
        <v>0.10173280000000001</v>
      </c>
      <c r="AT326" s="478">
        <f>(AM326*365)*(AN326*0.67*0.25*1)</f>
        <v>2.5433200000000005</v>
      </c>
      <c r="AU326" s="478">
        <f>(AM326*365)*(AN326*0.67*0.73*1)</f>
        <v>7.4264944000000002</v>
      </c>
      <c r="AV326" s="478">
        <f>(AM326*365)*(AN326*0.67*0.03*1)</f>
        <v>0.30519840000000004</v>
      </c>
      <c r="AW326" s="484"/>
      <c r="AX326" s="478">
        <f>(AM326*365)*(AN326*0.67*0.25*1)</f>
        <v>2.5433200000000005</v>
      </c>
      <c r="AY326" s="478">
        <f t="shared" si="101"/>
        <v>10.173280000000002</v>
      </c>
      <c r="AZ326" s="478">
        <f t="shared" si="102"/>
        <v>1.017328</v>
      </c>
      <c r="BA326" s="478">
        <f t="shared" si="103"/>
        <v>5.0866400000000006E-2</v>
      </c>
      <c r="BB326" s="478">
        <f>(AM326*365)*(AN326*0.67*0.005*1)</f>
        <v>5.0866400000000006E-2</v>
      </c>
      <c r="BC326" s="478">
        <v>0</v>
      </c>
      <c r="BD326" s="478">
        <v>0</v>
      </c>
      <c r="BE326" s="30"/>
      <c r="BF326" s="30"/>
      <c r="BG326" s="242"/>
      <c r="BH326" s="181" t="s">
        <v>638</v>
      </c>
      <c r="BI326" s="181" t="s">
        <v>623</v>
      </c>
      <c r="BJ326" s="485">
        <f t="shared" si="104"/>
        <v>0.1</v>
      </c>
      <c r="BK326" s="181" t="s">
        <v>624</v>
      </c>
      <c r="BL326" s="486">
        <v>0.2</v>
      </c>
      <c r="BM326" s="486">
        <v>0.5</v>
      </c>
      <c r="BN326" s="487" t="s">
        <v>429</v>
      </c>
      <c r="BO326" s="485">
        <f t="shared" si="105"/>
        <v>0.37714285714285711</v>
      </c>
      <c r="BP326" s="181" t="s">
        <v>625</v>
      </c>
      <c r="BQ326" s="486">
        <v>0.2</v>
      </c>
      <c r="BR326" s="486">
        <v>0.5</v>
      </c>
      <c r="BS326" s="487" t="s">
        <v>429</v>
      </c>
      <c r="BT326" s="37"/>
      <c r="BU326" s="188">
        <v>2.5</v>
      </c>
      <c r="BV326" s="177" t="s">
        <v>561</v>
      </c>
      <c r="BW326" s="37"/>
      <c r="BX326" s="188">
        <v>112.38857142857142</v>
      </c>
      <c r="BY326" s="177" t="s">
        <v>561</v>
      </c>
      <c r="BZ326" s="37"/>
      <c r="CA326" s="39"/>
      <c r="CB326" s="37"/>
      <c r="CC326" s="37"/>
      <c r="CD326" s="39"/>
      <c r="CE326" s="39"/>
      <c r="CF326" s="39"/>
      <c r="CG326" s="39"/>
      <c r="CH326" s="37"/>
      <c r="CI326" s="37"/>
      <c r="CJ326" s="39"/>
      <c r="CK326" s="39"/>
      <c r="CL326" s="39"/>
      <c r="CM326" s="40"/>
      <c r="CN326" s="41">
        <v>0.2</v>
      </c>
      <c r="CO326" s="41">
        <f t="shared" si="97"/>
        <v>0.5</v>
      </c>
      <c r="CW326" s="42" t="s">
        <v>638</v>
      </c>
      <c r="CX326" s="42">
        <v>0.1</v>
      </c>
      <c r="CY326" s="134">
        <f t="shared" si="106"/>
        <v>2.1</v>
      </c>
      <c r="CZ326" s="134">
        <f t="shared" si="107"/>
        <v>2.5</v>
      </c>
      <c r="DA326" s="42">
        <v>12</v>
      </c>
      <c r="DB326" s="42">
        <v>1</v>
      </c>
      <c r="DC326" s="134">
        <f t="shared" si="108"/>
        <v>12</v>
      </c>
      <c r="DD326" s="42">
        <v>0.02</v>
      </c>
      <c r="DE326" s="155">
        <f t="shared" si="109"/>
        <v>0.37714285714285711</v>
      </c>
      <c r="DF326" s="155">
        <f t="shared" si="110"/>
        <v>116.91428571428571</v>
      </c>
      <c r="DG326" s="155">
        <f t="shared" si="111"/>
        <v>112.38857142857142</v>
      </c>
      <c r="DH326" s="156">
        <f t="shared" si="112"/>
        <v>119.01428571428571</v>
      </c>
      <c r="DI326" s="156">
        <f t="shared" si="112"/>
        <v>114.88857142857142</v>
      </c>
      <c r="DJ326" s="40" t="s">
        <v>623</v>
      </c>
      <c r="DK326" s="42" t="s">
        <v>627</v>
      </c>
    </row>
    <row r="327" spans="5:115" s="42" customFormat="1" ht="18" thickBot="1" x14ac:dyDescent="0.5">
      <c r="E327" s="30"/>
      <c r="F327" s="30"/>
      <c r="G327" s="30"/>
      <c r="H327" s="30"/>
      <c r="I327" s="30"/>
      <c r="J327" s="30"/>
      <c r="K327" s="30"/>
      <c r="L327" s="30"/>
      <c r="M327" s="30"/>
      <c r="N327" s="30"/>
      <c r="O327" s="474" t="s">
        <v>639</v>
      </c>
      <c r="P327" s="30"/>
      <c r="Q327" s="30">
        <v>1.17</v>
      </c>
      <c r="R327" s="30">
        <v>28</v>
      </c>
      <c r="S327" s="478">
        <f t="shared" si="98"/>
        <v>0</v>
      </c>
      <c r="T327" s="478">
        <f t="shared" si="113"/>
        <v>0</v>
      </c>
      <c r="U327" s="478">
        <f t="shared" si="113"/>
        <v>9.3950999999999993E-2</v>
      </c>
      <c r="V327" s="478">
        <f t="shared" si="113"/>
        <v>9.3950999999999993E-2</v>
      </c>
      <c r="W327" s="478">
        <f t="shared" si="113"/>
        <v>0</v>
      </c>
      <c r="X327" s="478">
        <f t="shared" si="115"/>
        <v>0.18790199999999999</v>
      </c>
      <c r="Y327" s="478">
        <f t="shared" si="115"/>
        <v>1.3153140000000001</v>
      </c>
      <c r="Z327" s="478">
        <f t="shared" si="115"/>
        <v>0</v>
      </c>
      <c r="AA327" s="478">
        <f t="shared" si="115"/>
        <v>0</v>
      </c>
      <c r="AB327" s="478">
        <f t="shared" si="115"/>
        <v>0.1127412</v>
      </c>
      <c r="AC327" s="478">
        <f t="shared" si="115"/>
        <v>0</v>
      </c>
      <c r="AD327" s="478">
        <f t="shared" si="115"/>
        <v>1.8790199999999999</v>
      </c>
      <c r="AE327" s="478">
        <v>0</v>
      </c>
      <c r="AF327" s="478">
        <f t="shared" si="100"/>
        <v>0.18790199999999999</v>
      </c>
      <c r="AG327" s="30"/>
      <c r="AH327" s="30">
        <v>0.15</v>
      </c>
      <c r="AI327" s="30">
        <v>0</v>
      </c>
      <c r="AJ327" s="30"/>
      <c r="AK327" s="30">
        <v>0</v>
      </c>
      <c r="AL327" s="483">
        <v>0.3</v>
      </c>
      <c r="AM327" s="30">
        <v>0.32</v>
      </c>
      <c r="AN327" s="30">
        <v>0.13</v>
      </c>
      <c r="AO327" s="478">
        <f>(AM327*365)*(AN327*0.67*0.015*1)</f>
        <v>0.15259920000000002</v>
      </c>
      <c r="AP327" s="478">
        <f>(AM327*365)*(AN327*0.67*0.005*1)</f>
        <v>5.0866400000000006E-2</v>
      </c>
      <c r="AQ327" s="484"/>
      <c r="AR327" s="478">
        <f>(AM327*365)*(AN327*0.67*0.04*1)</f>
        <v>0.40693120000000005</v>
      </c>
      <c r="AS327" s="478">
        <f>(AM327*365)*(AN327*0.67*0.015*1)</f>
        <v>0.15259920000000002</v>
      </c>
      <c r="AT327" s="478">
        <f>(AM327*365)*(AN327*0.67*0.65*1)</f>
        <v>6.6126320000000005</v>
      </c>
      <c r="AU327" s="478">
        <f>(AM327*365)*(AN327*0.67*0.79*1)</f>
        <v>8.0368912000000012</v>
      </c>
      <c r="AV327" s="478">
        <f>(AM327*365)*(AN327*0.67*0.03*1)</f>
        <v>0.30519840000000004</v>
      </c>
      <c r="AW327" s="484"/>
      <c r="AX327" s="478">
        <f>(AM327*365)*(AN327*0.67*0.65*1)</f>
        <v>6.6126320000000005</v>
      </c>
      <c r="AY327" s="478">
        <f t="shared" si="101"/>
        <v>10.173280000000002</v>
      </c>
      <c r="AZ327" s="478">
        <f t="shared" si="102"/>
        <v>1.017328</v>
      </c>
      <c r="BA327" s="478">
        <f t="shared" si="103"/>
        <v>5.0866400000000006E-2</v>
      </c>
      <c r="BB327" s="478">
        <f>(AM327*365)*(AN327*0.67*0.01*1)</f>
        <v>0.10173280000000001</v>
      </c>
      <c r="BC327" s="478">
        <v>0</v>
      </c>
      <c r="BD327" s="478">
        <v>0</v>
      </c>
      <c r="BE327" s="30"/>
      <c r="BF327" s="30"/>
      <c r="BG327" s="242"/>
      <c r="BH327" s="181" t="s">
        <v>639</v>
      </c>
      <c r="BI327" s="181" t="s">
        <v>623</v>
      </c>
      <c r="BJ327" s="485">
        <f t="shared" si="104"/>
        <v>0.16</v>
      </c>
      <c r="BK327" s="181" t="s">
        <v>624</v>
      </c>
      <c r="BL327" s="486">
        <v>0.2</v>
      </c>
      <c r="BM327" s="486">
        <v>0.5</v>
      </c>
      <c r="BN327" s="487" t="s">
        <v>429</v>
      </c>
      <c r="BO327" s="485">
        <f t="shared" si="105"/>
        <v>0.37714285714285711</v>
      </c>
      <c r="BP327" s="181" t="s">
        <v>625</v>
      </c>
      <c r="BQ327" s="486">
        <v>0.2</v>
      </c>
      <c r="BR327" s="486">
        <v>0.5</v>
      </c>
      <c r="BS327" s="487" t="s">
        <v>429</v>
      </c>
      <c r="BT327" s="39"/>
      <c r="BU327" s="188">
        <v>4</v>
      </c>
      <c r="BV327" s="177" t="s">
        <v>561</v>
      </c>
      <c r="BW327" s="39"/>
      <c r="BX327" s="188">
        <v>112.38857142857142</v>
      </c>
      <c r="BY327" s="177" t="s">
        <v>561</v>
      </c>
      <c r="BZ327" s="37"/>
      <c r="CA327" s="39"/>
      <c r="CB327" s="37"/>
      <c r="CC327" s="37"/>
      <c r="CD327" s="39"/>
      <c r="CE327" s="39"/>
      <c r="CF327" s="39"/>
      <c r="CG327" s="39"/>
      <c r="CH327" s="37"/>
      <c r="CI327" s="37"/>
      <c r="CJ327" s="39"/>
      <c r="CK327" s="39"/>
      <c r="CL327" s="39"/>
      <c r="CM327" s="40"/>
      <c r="CN327" s="41">
        <v>0.2</v>
      </c>
      <c r="CO327" s="41">
        <f t="shared" si="97"/>
        <v>0.5</v>
      </c>
      <c r="CW327" s="42" t="s">
        <v>639</v>
      </c>
      <c r="CX327" s="42">
        <v>0.16</v>
      </c>
      <c r="CY327" s="134">
        <f t="shared" si="106"/>
        <v>3.36</v>
      </c>
      <c r="CZ327" s="134">
        <f t="shared" si="107"/>
        <v>4</v>
      </c>
      <c r="DA327" s="42">
        <v>12</v>
      </c>
      <c r="DB327" s="42">
        <v>1</v>
      </c>
      <c r="DC327" s="134">
        <f t="shared" si="108"/>
        <v>12</v>
      </c>
      <c r="DD327" s="42">
        <v>0.02</v>
      </c>
      <c r="DE327" s="155">
        <f t="shared" si="109"/>
        <v>0.37714285714285711</v>
      </c>
      <c r="DF327" s="155">
        <f t="shared" si="110"/>
        <v>116.91428571428571</v>
      </c>
      <c r="DG327" s="155">
        <f t="shared" si="111"/>
        <v>112.38857142857142</v>
      </c>
      <c r="DH327" s="156">
        <f t="shared" si="112"/>
        <v>120.27428571428571</v>
      </c>
      <c r="DI327" s="156">
        <f t="shared" si="112"/>
        <v>116.38857142857142</v>
      </c>
      <c r="DJ327" s="40" t="s">
        <v>623</v>
      </c>
      <c r="DK327" s="42" t="s">
        <v>627</v>
      </c>
    </row>
    <row r="328" spans="5:115" s="42" customFormat="1" ht="18" thickBot="1" x14ac:dyDescent="0.5">
      <c r="E328" s="30"/>
      <c r="F328" s="30"/>
      <c r="G328" s="30"/>
      <c r="H328" s="30"/>
      <c r="I328" s="30"/>
      <c r="J328" s="30"/>
      <c r="K328" s="30"/>
      <c r="L328" s="30"/>
      <c r="M328" s="30"/>
      <c r="N328" s="30"/>
      <c r="O328" s="474" t="s">
        <v>640</v>
      </c>
      <c r="P328" s="30"/>
      <c r="Q328" s="30">
        <v>1.17</v>
      </c>
      <c r="R328" s="30">
        <v>28</v>
      </c>
      <c r="S328" s="478">
        <f t="shared" si="98"/>
        <v>0</v>
      </c>
      <c r="T328" s="478">
        <f t="shared" si="113"/>
        <v>0</v>
      </c>
      <c r="U328" s="478">
        <f t="shared" si="113"/>
        <v>9.3950999999999993E-2</v>
      </c>
      <c r="V328" s="478">
        <f t="shared" si="113"/>
        <v>9.3950999999999993E-2</v>
      </c>
      <c r="W328" s="478">
        <f t="shared" si="113"/>
        <v>0</v>
      </c>
      <c r="X328" s="478">
        <f t="shared" si="115"/>
        <v>0.18790199999999999</v>
      </c>
      <c r="Y328" s="478">
        <f t="shared" si="115"/>
        <v>1.3153140000000001</v>
      </c>
      <c r="Z328" s="478">
        <f t="shared" si="115"/>
        <v>0</v>
      </c>
      <c r="AA328" s="478">
        <f t="shared" si="115"/>
        <v>0</v>
      </c>
      <c r="AB328" s="478">
        <f t="shared" si="115"/>
        <v>0.1127412</v>
      </c>
      <c r="AC328" s="478">
        <f t="shared" si="115"/>
        <v>0</v>
      </c>
      <c r="AD328" s="478">
        <f t="shared" si="115"/>
        <v>1.8790199999999999</v>
      </c>
      <c r="AE328" s="478">
        <v>0</v>
      </c>
      <c r="AF328" s="478">
        <f t="shared" si="100"/>
        <v>0.18790199999999999</v>
      </c>
      <c r="AG328" s="30"/>
      <c r="AH328" s="30">
        <v>0.2</v>
      </c>
      <c r="AI328" s="30">
        <v>0</v>
      </c>
      <c r="AJ328" s="30"/>
      <c r="AK328" s="30">
        <v>0</v>
      </c>
      <c r="AL328" s="483">
        <v>0.3</v>
      </c>
      <c r="AM328" s="30">
        <v>0.32</v>
      </c>
      <c r="AN328" s="30">
        <v>0.13</v>
      </c>
      <c r="AO328" s="478">
        <f>(AM328*365)*(AN328*0.67*0.02*1)</f>
        <v>0.20346560000000002</v>
      </c>
      <c r="AP328" s="478">
        <f>(AM328*365)*(AN328*0.67*0.01*1)</f>
        <v>0.10173280000000001</v>
      </c>
      <c r="AQ328" s="484"/>
      <c r="AR328" s="478">
        <f>(AM328*365)*(AN328*0.67*0.05*1)</f>
        <v>0.50866400000000001</v>
      </c>
      <c r="AS328" s="478">
        <f>(AM328*365)*(AN328*0.67*0.02*1)</f>
        <v>0.20346560000000002</v>
      </c>
      <c r="AT328" s="478">
        <f>(AM328*365)*(AN328*0.67*0.8*1)</f>
        <v>8.1386240000000001</v>
      </c>
      <c r="AU328" s="478">
        <f>(AM328*365)*(AN328*0.67*0.8*1)</f>
        <v>8.1386240000000001</v>
      </c>
      <c r="AV328" s="478">
        <f>(AM328*365)*(AN328*0.67*0.3*1)</f>
        <v>3.0519840000000005</v>
      </c>
      <c r="AW328" s="484"/>
      <c r="AX328" s="478">
        <f>(AM328*365)*(AN328*0.67*0.8*1)</f>
        <v>8.1386240000000001</v>
      </c>
      <c r="AY328" s="478">
        <f t="shared" si="101"/>
        <v>10.173280000000002</v>
      </c>
      <c r="AZ328" s="478">
        <f t="shared" si="102"/>
        <v>1.017328</v>
      </c>
      <c r="BA328" s="478">
        <f t="shared" si="103"/>
        <v>5.0866400000000006E-2</v>
      </c>
      <c r="BB328" s="478">
        <f>(AM328*365)*(AN328*0.67*0.015*1)</f>
        <v>0.15259920000000002</v>
      </c>
      <c r="BC328" s="478">
        <v>0</v>
      </c>
      <c r="BD328" s="478">
        <v>0</v>
      </c>
      <c r="BE328" s="30"/>
      <c r="BF328" s="30"/>
      <c r="BG328" s="242"/>
      <c r="BH328" s="181" t="s">
        <v>640</v>
      </c>
      <c r="BI328" s="181" t="s">
        <v>623</v>
      </c>
      <c r="BJ328" s="485">
        <f t="shared" si="104"/>
        <v>0.21</v>
      </c>
      <c r="BK328" s="181" t="s">
        <v>624</v>
      </c>
      <c r="BL328" s="486">
        <v>0.2</v>
      </c>
      <c r="BM328" s="486">
        <v>0.5</v>
      </c>
      <c r="BN328" s="487" t="s">
        <v>429</v>
      </c>
      <c r="BO328" s="485">
        <f t="shared" si="105"/>
        <v>0.37714285714285711</v>
      </c>
      <c r="BP328" s="181" t="s">
        <v>625</v>
      </c>
      <c r="BQ328" s="486">
        <v>0.2</v>
      </c>
      <c r="BR328" s="486">
        <v>0.5</v>
      </c>
      <c r="BS328" s="487" t="s">
        <v>429</v>
      </c>
      <c r="BT328" s="39"/>
      <c r="BU328" s="188">
        <v>5.25</v>
      </c>
      <c r="BV328" s="177" t="s">
        <v>561</v>
      </c>
      <c r="BW328" s="39"/>
      <c r="BX328" s="188">
        <v>112.38857142857142</v>
      </c>
      <c r="BY328" s="177" t="s">
        <v>561</v>
      </c>
      <c r="BZ328" s="37"/>
      <c r="CA328" s="39"/>
      <c r="CB328" s="37"/>
      <c r="CC328" s="37"/>
      <c r="CD328" s="39"/>
      <c r="CE328" s="39"/>
      <c r="CF328" s="39"/>
      <c r="CG328" s="39"/>
      <c r="CH328" s="37"/>
      <c r="CI328" s="37"/>
      <c r="CJ328" s="39"/>
      <c r="CK328" s="39"/>
      <c r="CL328" s="39"/>
      <c r="CM328" s="40"/>
      <c r="CN328" s="41">
        <v>0.2</v>
      </c>
      <c r="CO328" s="41">
        <f t="shared" si="97"/>
        <v>0.5</v>
      </c>
      <c r="CW328" s="42" t="s">
        <v>640</v>
      </c>
      <c r="CX328" s="42">
        <v>0.21</v>
      </c>
      <c r="CY328" s="134">
        <f t="shared" si="106"/>
        <v>4.41</v>
      </c>
      <c r="CZ328" s="134">
        <f t="shared" si="107"/>
        <v>5.25</v>
      </c>
      <c r="DA328" s="42">
        <v>12</v>
      </c>
      <c r="DB328" s="42">
        <v>1</v>
      </c>
      <c r="DC328" s="134">
        <f t="shared" si="108"/>
        <v>12</v>
      </c>
      <c r="DD328" s="42">
        <v>0.02</v>
      </c>
      <c r="DE328" s="155">
        <f t="shared" si="109"/>
        <v>0.37714285714285711</v>
      </c>
      <c r="DF328" s="155">
        <f t="shared" si="110"/>
        <v>116.91428571428571</v>
      </c>
      <c r="DG328" s="155">
        <f t="shared" si="111"/>
        <v>112.38857142857142</v>
      </c>
      <c r="DH328" s="156">
        <f t="shared" si="112"/>
        <v>121.32428571428571</v>
      </c>
      <c r="DI328" s="156">
        <f t="shared" si="112"/>
        <v>117.63857142857142</v>
      </c>
      <c r="DJ328" s="40" t="s">
        <v>623</v>
      </c>
      <c r="DK328" s="42" t="s">
        <v>627</v>
      </c>
    </row>
    <row r="329" spans="5:115" s="42" customFormat="1" ht="18" thickBot="1" x14ac:dyDescent="0.5">
      <c r="E329" s="30"/>
      <c r="F329" s="30"/>
      <c r="G329" s="30"/>
      <c r="H329" s="30"/>
      <c r="I329" s="30"/>
      <c r="J329" s="30"/>
      <c r="K329" s="30"/>
      <c r="L329" s="30"/>
      <c r="M329" s="30"/>
      <c r="N329" s="30"/>
      <c r="O329" s="474" t="s">
        <v>641</v>
      </c>
      <c r="P329" s="30"/>
      <c r="Q329" s="30">
        <v>1.57</v>
      </c>
      <c r="R329" s="30">
        <v>28</v>
      </c>
      <c r="S329" s="478">
        <f t="shared" si="98"/>
        <v>0</v>
      </c>
      <c r="T329" s="478">
        <f t="shared" si="113"/>
        <v>0</v>
      </c>
      <c r="U329" s="478">
        <f t="shared" si="113"/>
        <v>0.12607100000000002</v>
      </c>
      <c r="V329" s="478">
        <f t="shared" si="113"/>
        <v>0.12607100000000002</v>
      </c>
      <c r="W329" s="478">
        <f t="shared" si="113"/>
        <v>0</v>
      </c>
      <c r="X329" s="478">
        <f t="shared" si="115"/>
        <v>0.25214200000000003</v>
      </c>
      <c r="Y329" s="478">
        <f t="shared" si="115"/>
        <v>1.7649940000000004</v>
      </c>
      <c r="Z329" s="478">
        <f t="shared" si="115"/>
        <v>0</v>
      </c>
      <c r="AA329" s="478">
        <f t="shared" si="115"/>
        <v>0</v>
      </c>
      <c r="AB329" s="478">
        <f t="shared" si="115"/>
        <v>0.15128520000000001</v>
      </c>
      <c r="AC329" s="478">
        <f t="shared" si="115"/>
        <v>0</v>
      </c>
      <c r="AD329" s="478">
        <f t="shared" si="115"/>
        <v>2.52142</v>
      </c>
      <c r="AE329" s="478">
        <v>0</v>
      </c>
      <c r="AF329" s="478">
        <f t="shared" si="100"/>
        <v>0.25214200000000003</v>
      </c>
      <c r="AG329" s="30"/>
      <c r="AH329" s="30">
        <v>1</v>
      </c>
      <c r="AI329" s="30">
        <v>12</v>
      </c>
      <c r="AJ329" s="30"/>
      <c r="AK329" s="30">
        <v>8</v>
      </c>
      <c r="AL329" s="483">
        <v>0.3</v>
      </c>
      <c r="AM329" s="30">
        <v>0.3</v>
      </c>
      <c r="AN329" s="30">
        <v>0.28999999999999998</v>
      </c>
      <c r="AO329" s="478">
        <f>(AM329*365)*(AN329*0.67*0.01*1)</f>
        <v>0.21275850000000002</v>
      </c>
      <c r="AP329" s="478">
        <f>(AM329*365)*(AN329*0.67*0.001*1)</f>
        <v>2.1275850000000002E-2</v>
      </c>
      <c r="AQ329" s="484"/>
      <c r="AR329" s="478">
        <f>(AM329*365)*(AN329*0.67*0.02*1)</f>
        <v>0.42551700000000003</v>
      </c>
      <c r="AS329" s="478">
        <f>(AM329*365)*(AN329*0.67*0.01*1)</f>
        <v>0.21275850000000002</v>
      </c>
      <c r="AT329" s="478">
        <f>(AM329*365)*(AN329*0.67*0.25*1)</f>
        <v>5.3189624999999996</v>
      </c>
      <c r="AU329" s="478">
        <f>(AM329*365)*(AN329*0.67*0.73*1)</f>
        <v>15.5313705</v>
      </c>
      <c r="AV329" s="478">
        <f>(AM329*365)*(AN329*0.67*0.03*1)</f>
        <v>0.6382755</v>
      </c>
      <c r="AW329" s="484"/>
      <c r="AX329" s="478">
        <f>(AM329*365)*(AN329*0.67*0.25*1)</f>
        <v>5.3189624999999996</v>
      </c>
      <c r="AY329" s="478">
        <f t="shared" si="101"/>
        <v>21.275849999999998</v>
      </c>
      <c r="AZ329" s="478">
        <f t="shared" si="102"/>
        <v>2.1275850000000003</v>
      </c>
      <c r="BA329" s="478">
        <f t="shared" si="103"/>
        <v>0.10637925000000001</v>
      </c>
      <c r="BB329" s="478">
        <f>(AM329*365)*(AN329*0.67*0.005*1)</f>
        <v>0.10637925000000001</v>
      </c>
      <c r="BC329" s="478">
        <v>0</v>
      </c>
      <c r="BD329" s="478">
        <v>0</v>
      </c>
      <c r="BE329" s="30"/>
      <c r="BF329" s="30"/>
      <c r="BG329" s="242"/>
      <c r="BH329" s="181" t="s">
        <v>642</v>
      </c>
      <c r="BI329" s="181" t="s">
        <v>623</v>
      </c>
      <c r="BJ329" s="485">
        <f t="shared" si="104"/>
        <v>0</v>
      </c>
      <c r="BK329" s="181" t="s">
        <v>624</v>
      </c>
      <c r="BL329" s="486">
        <v>0.2</v>
      </c>
      <c r="BM329" s="486">
        <v>0.5</v>
      </c>
      <c r="BN329" s="487" t="s">
        <v>429</v>
      </c>
      <c r="BO329" s="485">
        <f t="shared" si="105"/>
        <v>0.25645714285714288</v>
      </c>
      <c r="BP329" s="181" t="s">
        <v>625</v>
      </c>
      <c r="BQ329" s="486">
        <v>0.2</v>
      </c>
      <c r="BR329" s="486">
        <v>0.5</v>
      </c>
      <c r="BS329" s="487" t="s">
        <v>429</v>
      </c>
      <c r="BT329" s="39"/>
      <c r="BU329" s="188">
        <v>0</v>
      </c>
      <c r="BV329" s="177" t="s">
        <v>561</v>
      </c>
      <c r="BW329" s="39"/>
      <c r="BX329" s="188">
        <v>76.424228571428586</v>
      </c>
      <c r="BY329" s="177" t="s">
        <v>561</v>
      </c>
      <c r="BZ329" s="37"/>
      <c r="CA329" s="39"/>
      <c r="CB329" s="37"/>
      <c r="CC329" s="37"/>
      <c r="CD329" s="39"/>
      <c r="CE329" s="39"/>
      <c r="CF329" s="39"/>
      <c r="CG329" s="39"/>
      <c r="CH329" s="37"/>
      <c r="CI329" s="37"/>
      <c r="CJ329" s="39"/>
      <c r="CK329" s="39"/>
      <c r="CL329" s="39"/>
      <c r="CM329" s="40"/>
      <c r="CN329" s="41">
        <v>0.2</v>
      </c>
      <c r="CO329" s="41">
        <f t="shared" si="97"/>
        <v>0.5</v>
      </c>
      <c r="CW329" s="42" t="s">
        <v>642</v>
      </c>
      <c r="CX329" s="42">
        <v>0</v>
      </c>
      <c r="CY329" s="134">
        <f t="shared" si="106"/>
        <v>0</v>
      </c>
      <c r="CZ329" s="134">
        <f t="shared" si="107"/>
        <v>0</v>
      </c>
      <c r="DA329" s="42">
        <v>16</v>
      </c>
      <c r="DB329" s="42">
        <v>0.51</v>
      </c>
      <c r="DC329" s="134">
        <f t="shared" si="108"/>
        <v>8.16</v>
      </c>
      <c r="DD329" s="42">
        <v>0.02</v>
      </c>
      <c r="DE329" s="155">
        <f t="shared" si="109"/>
        <v>0.25645714285714288</v>
      </c>
      <c r="DF329" s="155">
        <f t="shared" si="110"/>
        <v>79.5017142857143</v>
      </c>
      <c r="DG329" s="155">
        <f t="shared" si="111"/>
        <v>76.424228571428586</v>
      </c>
      <c r="DH329" s="156">
        <f t="shared" si="112"/>
        <v>79.5017142857143</v>
      </c>
      <c r="DI329" s="156">
        <f t="shared" si="112"/>
        <v>76.424228571428586</v>
      </c>
      <c r="DJ329" s="40" t="s">
        <v>623</v>
      </c>
      <c r="DK329" s="42" t="s">
        <v>627</v>
      </c>
    </row>
    <row r="330" spans="5:115" s="42" customFormat="1" ht="18" thickBot="1" x14ac:dyDescent="0.5">
      <c r="E330" s="30"/>
      <c r="F330" s="30"/>
      <c r="G330" s="30"/>
      <c r="H330" s="30"/>
      <c r="I330" s="30"/>
      <c r="J330" s="30"/>
      <c r="K330" s="30"/>
      <c r="L330" s="30"/>
      <c r="M330" s="30"/>
      <c r="N330" s="30"/>
      <c r="O330" s="474" t="s">
        <v>643</v>
      </c>
      <c r="P330" s="30"/>
      <c r="Q330" s="30">
        <v>1.57</v>
      </c>
      <c r="R330" s="30">
        <v>28</v>
      </c>
      <c r="S330" s="478">
        <f t="shared" si="98"/>
        <v>0</v>
      </c>
      <c r="T330" s="478">
        <f t="shared" si="113"/>
        <v>0</v>
      </c>
      <c r="U330" s="478">
        <f t="shared" si="113"/>
        <v>0.12607100000000002</v>
      </c>
      <c r="V330" s="478">
        <f t="shared" si="113"/>
        <v>0.12607100000000002</v>
      </c>
      <c r="W330" s="478">
        <f t="shared" si="113"/>
        <v>0</v>
      </c>
      <c r="X330" s="478">
        <f t="shared" si="115"/>
        <v>0.25214200000000003</v>
      </c>
      <c r="Y330" s="478">
        <f t="shared" si="115"/>
        <v>1.7649940000000004</v>
      </c>
      <c r="Z330" s="478">
        <f t="shared" si="115"/>
        <v>0</v>
      </c>
      <c r="AA330" s="478">
        <f t="shared" si="115"/>
        <v>0</v>
      </c>
      <c r="AB330" s="478">
        <f t="shared" si="115"/>
        <v>0.15128520000000001</v>
      </c>
      <c r="AC330" s="478">
        <f t="shared" si="115"/>
        <v>0</v>
      </c>
      <c r="AD330" s="478">
        <f t="shared" si="115"/>
        <v>2.52142</v>
      </c>
      <c r="AE330" s="478">
        <v>0</v>
      </c>
      <c r="AF330" s="478">
        <f t="shared" si="100"/>
        <v>0.25214200000000003</v>
      </c>
      <c r="AG330" s="30"/>
      <c r="AH330" s="30">
        <v>1</v>
      </c>
      <c r="AI330" s="30">
        <v>20</v>
      </c>
      <c r="AJ330" s="30"/>
      <c r="AK330" s="30">
        <v>18</v>
      </c>
      <c r="AL330" s="483">
        <v>0.3</v>
      </c>
      <c r="AM330" s="30">
        <v>0.3</v>
      </c>
      <c r="AN330" s="30">
        <v>0.28999999999999998</v>
      </c>
      <c r="AO330" s="478">
        <f>(AM330*365)*(AN330*0.67*0.015*1)</f>
        <v>0.31913775</v>
      </c>
      <c r="AP330" s="478">
        <f>(AM330*365)*(AN330*0.67*0.005*1)</f>
        <v>0.10637925000000001</v>
      </c>
      <c r="AQ330" s="484"/>
      <c r="AR330" s="478">
        <f>(AM330*365)*(AN330*0.67*0.04*1)</f>
        <v>0.85103400000000007</v>
      </c>
      <c r="AS330" s="478">
        <f>(AM330*365)*(AN330*0.67*0.015*1)</f>
        <v>0.31913775</v>
      </c>
      <c r="AT330" s="478">
        <f>(AM330*365)*(AN330*0.67*0.65*1)</f>
        <v>13.829302500000002</v>
      </c>
      <c r="AU330" s="478">
        <f>(AM330*365)*(AN330*0.67*0.79*1)</f>
        <v>16.807921499999999</v>
      </c>
      <c r="AV330" s="478">
        <f>(AM330*365)*(AN330*0.67*0.03*1)</f>
        <v>0.6382755</v>
      </c>
      <c r="AW330" s="484"/>
      <c r="AX330" s="478">
        <f>(AM330*365)*(AN330*0.67*0.65*1)</f>
        <v>13.829302500000002</v>
      </c>
      <c r="AY330" s="478">
        <f t="shared" si="101"/>
        <v>21.275849999999998</v>
      </c>
      <c r="AZ330" s="478">
        <f t="shared" si="102"/>
        <v>2.1275850000000003</v>
      </c>
      <c r="BA330" s="478">
        <f t="shared" si="103"/>
        <v>0.10637925000000001</v>
      </c>
      <c r="BB330" s="478">
        <f>(AM330*365)*(AN330*0.67*0.01*1)</f>
        <v>0.21275850000000002</v>
      </c>
      <c r="BC330" s="478">
        <v>0</v>
      </c>
      <c r="BD330" s="478">
        <v>0</v>
      </c>
      <c r="BE330" s="30"/>
      <c r="BF330" s="30"/>
      <c r="BG330" s="242"/>
      <c r="BH330" s="181" t="s">
        <v>644</v>
      </c>
      <c r="BI330" s="181" t="s">
        <v>623</v>
      </c>
      <c r="BJ330" s="485">
        <f t="shared" si="104"/>
        <v>1</v>
      </c>
      <c r="BK330" s="181" t="s">
        <v>624</v>
      </c>
      <c r="BL330" s="486">
        <v>0.2</v>
      </c>
      <c r="BM330" s="486">
        <v>0.5</v>
      </c>
      <c r="BN330" s="487" t="s">
        <v>429</v>
      </c>
      <c r="BO330" s="485">
        <f t="shared" si="105"/>
        <v>0.25645714285714288</v>
      </c>
      <c r="BP330" s="181" t="s">
        <v>625</v>
      </c>
      <c r="BQ330" s="486">
        <v>0.2</v>
      </c>
      <c r="BR330" s="486">
        <v>0.5</v>
      </c>
      <c r="BS330" s="487" t="s">
        <v>429</v>
      </c>
      <c r="BT330" s="39"/>
      <c r="BU330" s="188">
        <v>25</v>
      </c>
      <c r="BV330" s="177" t="s">
        <v>561</v>
      </c>
      <c r="BW330" s="39"/>
      <c r="BX330" s="188">
        <v>76.424228571428586</v>
      </c>
      <c r="BY330" s="177" t="s">
        <v>561</v>
      </c>
      <c r="BZ330" s="39"/>
      <c r="CA330" s="39"/>
      <c r="CB330" s="37"/>
      <c r="CC330" s="37"/>
      <c r="CD330" s="39"/>
      <c r="CE330" s="39"/>
      <c r="CF330" s="39"/>
      <c r="CG330" s="39"/>
      <c r="CH330" s="37"/>
      <c r="CI330" s="37"/>
      <c r="CJ330" s="39"/>
      <c r="CK330" s="39"/>
      <c r="CL330" s="39"/>
      <c r="CM330" s="40"/>
      <c r="CN330" s="41">
        <v>0.2</v>
      </c>
      <c r="CO330" s="41">
        <f t="shared" si="97"/>
        <v>0.5</v>
      </c>
      <c r="CW330" s="42" t="s">
        <v>644</v>
      </c>
      <c r="CX330" s="42">
        <v>1</v>
      </c>
      <c r="CY330" s="134">
        <f t="shared" si="106"/>
        <v>21</v>
      </c>
      <c r="CZ330" s="134">
        <f t="shared" si="107"/>
        <v>25</v>
      </c>
      <c r="DA330" s="42">
        <v>16</v>
      </c>
      <c r="DB330" s="42">
        <v>0.51</v>
      </c>
      <c r="DC330" s="134">
        <f t="shared" si="108"/>
        <v>8.16</v>
      </c>
      <c r="DD330" s="42">
        <v>0.02</v>
      </c>
      <c r="DE330" s="155">
        <f t="shared" si="109"/>
        <v>0.25645714285714288</v>
      </c>
      <c r="DF330" s="155">
        <f t="shared" si="110"/>
        <v>79.5017142857143</v>
      </c>
      <c r="DG330" s="155">
        <f t="shared" si="111"/>
        <v>76.424228571428586</v>
      </c>
      <c r="DH330" s="156">
        <f t="shared" si="112"/>
        <v>100.5017142857143</v>
      </c>
      <c r="DI330" s="156">
        <f t="shared" si="112"/>
        <v>101.42422857142859</v>
      </c>
      <c r="DJ330" s="40" t="s">
        <v>623</v>
      </c>
      <c r="DK330" s="42" t="s">
        <v>627</v>
      </c>
    </row>
    <row r="331" spans="5:115" s="42" customFormat="1" ht="18" thickBot="1" x14ac:dyDescent="0.5">
      <c r="E331" s="30"/>
      <c r="F331" s="30"/>
      <c r="G331" s="30"/>
      <c r="H331" s="30"/>
      <c r="I331" s="30"/>
      <c r="J331" s="30"/>
      <c r="K331" s="30"/>
      <c r="L331" s="30"/>
      <c r="M331" s="30"/>
      <c r="N331" s="30"/>
      <c r="O331" s="474" t="s">
        <v>645</v>
      </c>
      <c r="P331" s="30"/>
      <c r="Q331" s="30">
        <v>1.57</v>
      </c>
      <c r="R331" s="30">
        <v>28</v>
      </c>
      <c r="S331" s="478">
        <f t="shared" si="98"/>
        <v>0</v>
      </c>
      <c r="T331" s="478">
        <f t="shared" si="113"/>
        <v>0</v>
      </c>
      <c r="U331" s="478">
        <f t="shared" si="113"/>
        <v>0.12607100000000002</v>
      </c>
      <c r="V331" s="478">
        <f t="shared" si="113"/>
        <v>0.12607100000000002</v>
      </c>
      <c r="W331" s="478">
        <f t="shared" si="113"/>
        <v>0</v>
      </c>
      <c r="X331" s="478">
        <f t="shared" si="115"/>
        <v>0.25214200000000003</v>
      </c>
      <c r="Y331" s="478">
        <f t="shared" si="115"/>
        <v>1.7649940000000004</v>
      </c>
      <c r="Z331" s="478">
        <f t="shared" si="115"/>
        <v>0</v>
      </c>
      <c r="AA331" s="478">
        <f t="shared" si="115"/>
        <v>0</v>
      </c>
      <c r="AB331" s="478">
        <f t="shared" si="115"/>
        <v>0.15128520000000001</v>
      </c>
      <c r="AC331" s="478">
        <f t="shared" si="115"/>
        <v>0</v>
      </c>
      <c r="AD331" s="478">
        <f t="shared" si="115"/>
        <v>2.52142</v>
      </c>
      <c r="AE331" s="478">
        <v>0</v>
      </c>
      <c r="AF331" s="478">
        <f t="shared" si="100"/>
        <v>0.25214200000000003</v>
      </c>
      <c r="AG331" s="30"/>
      <c r="AH331" s="30">
        <v>2</v>
      </c>
      <c r="AI331" s="30">
        <v>23</v>
      </c>
      <c r="AJ331" s="30"/>
      <c r="AK331" s="30">
        <v>21</v>
      </c>
      <c r="AL331" s="483">
        <v>0.3</v>
      </c>
      <c r="AM331" s="30">
        <v>0.3</v>
      </c>
      <c r="AN331" s="30">
        <v>0.28999999999999998</v>
      </c>
      <c r="AO331" s="478">
        <f>(AM331*365)*(AN331*0.67*0.02*1)</f>
        <v>0.42551700000000003</v>
      </c>
      <c r="AP331" s="478">
        <f>(AM331*365)*(AN331*0.67*0.01*1)</f>
        <v>0.21275850000000002</v>
      </c>
      <c r="AQ331" s="484"/>
      <c r="AR331" s="478">
        <f>(AM331*365)*(AN331*0.67*0.05*1)</f>
        <v>1.0637925000000001</v>
      </c>
      <c r="AS331" s="478">
        <f>(AM331*365)*(AN331*0.67*0.02*1)</f>
        <v>0.42551700000000003</v>
      </c>
      <c r="AT331" s="478">
        <f>(AM331*365)*(AN331*0.67*0.8*1)</f>
        <v>17.020680000000002</v>
      </c>
      <c r="AU331" s="478">
        <f>(AM331*365)*(AN331*0.67*0.8*1)</f>
        <v>17.020680000000002</v>
      </c>
      <c r="AV331" s="478">
        <f>(AM331*365)*(AN331*0.67*0.3*1)</f>
        <v>6.3827549999999995</v>
      </c>
      <c r="AW331" s="484"/>
      <c r="AX331" s="478">
        <f>(AM331*365)*(AN331*0.67*0.8*1)</f>
        <v>17.020680000000002</v>
      </c>
      <c r="AY331" s="478">
        <f t="shared" si="101"/>
        <v>21.275849999999998</v>
      </c>
      <c r="AZ331" s="478">
        <f t="shared" si="102"/>
        <v>2.1275850000000003</v>
      </c>
      <c r="BA331" s="478">
        <f t="shared" si="103"/>
        <v>0.10637925000000001</v>
      </c>
      <c r="BB331" s="478">
        <f>(AM331*365)*(AN331*0.67*0.015*1)</f>
        <v>0.31913775</v>
      </c>
      <c r="BC331" s="478">
        <v>0</v>
      </c>
      <c r="BD331" s="478">
        <v>0</v>
      </c>
      <c r="BE331" s="30"/>
      <c r="BF331" s="30"/>
      <c r="BG331" s="242"/>
      <c r="BH331" s="181" t="s">
        <v>646</v>
      </c>
      <c r="BI331" s="181" t="s">
        <v>623</v>
      </c>
      <c r="BJ331" s="485">
        <f t="shared" si="104"/>
        <v>2</v>
      </c>
      <c r="BK331" s="181" t="s">
        <v>624</v>
      </c>
      <c r="BL331" s="486">
        <v>0.2</v>
      </c>
      <c r="BM331" s="486">
        <v>0.5</v>
      </c>
      <c r="BN331" s="487" t="s">
        <v>429</v>
      </c>
      <c r="BO331" s="485">
        <f t="shared" si="105"/>
        <v>0.25645714285714288</v>
      </c>
      <c r="BP331" s="181" t="s">
        <v>625</v>
      </c>
      <c r="BQ331" s="486">
        <v>0.2</v>
      </c>
      <c r="BR331" s="486">
        <v>0.5</v>
      </c>
      <c r="BS331" s="487" t="s">
        <v>429</v>
      </c>
      <c r="BT331" s="39"/>
      <c r="BU331" s="188">
        <v>50</v>
      </c>
      <c r="BV331" s="177" t="s">
        <v>561</v>
      </c>
      <c r="BW331" s="39"/>
      <c r="BX331" s="188">
        <v>76.424228571428586</v>
      </c>
      <c r="BY331" s="177" t="s">
        <v>561</v>
      </c>
      <c r="BZ331" s="39"/>
      <c r="CA331" s="39"/>
      <c r="CB331" s="37"/>
      <c r="CC331" s="37"/>
      <c r="CD331" s="39"/>
      <c r="CE331" s="39"/>
      <c r="CF331" s="39"/>
      <c r="CG331" s="39"/>
      <c r="CH331" s="37"/>
      <c r="CI331" s="37"/>
      <c r="CJ331" s="39"/>
      <c r="CK331" s="39"/>
      <c r="CL331" s="39"/>
      <c r="CM331" s="40"/>
      <c r="CN331" s="41">
        <v>0.2</v>
      </c>
      <c r="CO331" s="41">
        <f t="shared" si="97"/>
        <v>0.5</v>
      </c>
      <c r="CW331" s="42" t="s">
        <v>646</v>
      </c>
      <c r="CX331" s="42">
        <v>2</v>
      </c>
      <c r="CY331" s="134">
        <f t="shared" si="106"/>
        <v>42</v>
      </c>
      <c r="CZ331" s="134">
        <f t="shared" si="107"/>
        <v>50</v>
      </c>
      <c r="DA331" s="42">
        <v>16</v>
      </c>
      <c r="DB331" s="42">
        <v>0.51</v>
      </c>
      <c r="DC331" s="134">
        <f t="shared" si="108"/>
        <v>8.16</v>
      </c>
      <c r="DD331" s="42">
        <v>0.02</v>
      </c>
      <c r="DE331" s="155">
        <f t="shared" si="109"/>
        <v>0.25645714285714288</v>
      </c>
      <c r="DF331" s="155">
        <f t="shared" si="110"/>
        <v>79.5017142857143</v>
      </c>
      <c r="DG331" s="155">
        <f t="shared" si="111"/>
        <v>76.424228571428586</v>
      </c>
      <c r="DH331" s="156">
        <f t="shared" si="112"/>
        <v>121.5017142857143</v>
      </c>
      <c r="DI331" s="156">
        <f t="shared" si="112"/>
        <v>126.42422857142859</v>
      </c>
      <c r="DJ331" s="40" t="s">
        <v>623</v>
      </c>
      <c r="DK331" s="42" t="s">
        <v>627</v>
      </c>
    </row>
    <row r="332" spans="5:115" s="42" customFormat="1" ht="18.75" customHeight="1" thickBot="1" x14ac:dyDescent="0.5">
      <c r="E332" s="30"/>
      <c r="F332" s="30"/>
      <c r="G332" s="30"/>
      <c r="H332" s="30"/>
      <c r="I332" s="30"/>
      <c r="J332" s="30"/>
      <c r="K332" s="30"/>
      <c r="L332" s="30"/>
      <c r="M332" s="30"/>
      <c r="N332" s="30"/>
      <c r="O332" s="474" t="s">
        <v>647</v>
      </c>
      <c r="P332" s="30"/>
      <c r="Q332" s="30">
        <v>0.55000000000000004</v>
      </c>
      <c r="R332" s="30">
        <v>28</v>
      </c>
      <c r="S332" s="478">
        <f t="shared" si="98"/>
        <v>0</v>
      </c>
      <c r="T332" s="478">
        <f t="shared" si="113"/>
        <v>0</v>
      </c>
      <c r="U332" s="478">
        <f t="shared" si="113"/>
        <v>4.4165000000000003E-2</v>
      </c>
      <c r="V332" s="478">
        <f t="shared" si="113"/>
        <v>4.4165000000000003E-2</v>
      </c>
      <c r="W332" s="478">
        <f t="shared" si="113"/>
        <v>0</v>
      </c>
      <c r="X332" s="478">
        <f t="shared" si="115"/>
        <v>8.8330000000000006E-2</v>
      </c>
      <c r="Y332" s="478">
        <f t="shared" si="115"/>
        <v>0.61831000000000003</v>
      </c>
      <c r="Z332" s="478">
        <f t="shared" si="115"/>
        <v>0</v>
      </c>
      <c r="AA332" s="478">
        <f t="shared" si="115"/>
        <v>0</v>
      </c>
      <c r="AB332" s="478">
        <f t="shared" si="115"/>
        <v>5.299800000000001E-2</v>
      </c>
      <c r="AC332" s="478">
        <f t="shared" si="115"/>
        <v>0</v>
      </c>
      <c r="AD332" s="478">
        <f t="shared" si="115"/>
        <v>0.88330000000000009</v>
      </c>
      <c r="AE332" s="478">
        <v>0</v>
      </c>
      <c r="AF332" s="478">
        <f t="shared" si="100"/>
        <v>8.8330000000000006E-2</v>
      </c>
      <c r="AG332" s="30"/>
      <c r="AH332" s="30">
        <v>1</v>
      </c>
      <c r="AI332" s="30">
        <v>23</v>
      </c>
      <c r="AJ332" s="30"/>
      <c r="AK332" s="30">
        <v>12</v>
      </c>
      <c r="AL332" s="483">
        <v>0.3</v>
      </c>
      <c r="AM332" s="30">
        <v>0.3</v>
      </c>
      <c r="AN332" s="30">
        <v>0.28999999999999998</v>
      </c>
      <c r="AO332" s="478">
        <f>(AM332*365)*(AN332*0.67*0.01*1)</f>
        <v>0.21275850000000002</v>
      </c>
      <c r="AP332" s="478">
        <f>(AM332*365)*(AN332*0.67*0.001*1)</f>
        <v>2.1275850000000002E-2</v>
      </c>
      <c r="AQ332" s="484"/>
      <c r="AR332" s="478">
        <f>(AM332*365)*(AN332*0.67*0.02*1)</f>
        <v>0.42551700000000003</v>
      </c>
      <c r="AS332" s="478">
        <f>(AM332*365)*(AN332*0.67*0.01*1)</f>
        <v>0.21275850000000002</v>
      </c>
      <c r="AT332" s="478">
        <f>(AM332*365)*(AN332*0.67*0.25*1)</f>
        <v>5.3189624999999996</v>
      </c>
      <c r="AU332" s="478">
        <f>(AM332*365)*(AN332*0.67*0.73*1)</f>
        <v>15.5313705</v>
      </c>
      <c r="AV332" s="478">
        <f>(AM332*365)*(AN332*0.67*0.03*1)</f>
        <v>0.6382755</v>
      </c>
      <c r="AW332" s="484"/>
      <c r="AX332" s="478">
        <f>(AM332*365)*(AN332*0.67*0.25*1)</f>
        <v>5.3189624999999996</v>
      </c>
      <c r="AY332" s="478">
        <f t="shared" si="101"/>
        <v>21.275849999999998</v>
      </c>
      <c r="AZ332" s="478">
        <f t="shared" si="102"/>
        <v>2.1275850000000003</v>
      </c>
      <c r="BA332" s="478">
        <f t="shared" si="103"/>
        <v>0.10637925000000001</v>
      </c>
      <c r="BB332" s="478">
        <f>(AM332*365)*(AN332*0.67*0.005*1)</f>
        <v>0.10637925000000001</v>
      </c>
      <c r="BC332" s="478">
        <v>0</v>
      </c>
      <c r="BD332" s="478">
        <v>0</v>
      </c>
      <c r="BE332" s="30"/>
      <c r="BF332" s="30"/>
      <c r="BG332" s="242"/>
      <c r="BH332" s="181" t="s">
        <v>648</v>
      </c>
      <c r="BI332" s="181" t="s">
        <v>623</v>
      </c>
      <c r="BJ332" s="485">
        <f t="shared" si="104"/>
        <v>0</v>
      </c>
      <c r="BK332" s="181" t="s">
        <v>624</v>
      </c>
      <c r="BL332" s="486">
        <v>0.2</v>
      </c>
      <c r="BM332" s="486">
        <v>0.5</v>
      </c>
      <c r="BN332" s="487" t="s">
        <v>429</v>
      </c>
      <c r="BO332" s="485">
        <f t="shared" si="105"/>
        <v>5.0285714285714281E-2</v>
      </c>
      <c r="BP332" s="181" t="s">
        <v>625</v>
      </c>
      <c r="BQ332" s="486">
        <v>0.2</v>
      </c>
      <c r="BR332" s="486">
        <v>0.5</v>
      </c>
      <c r="BS332" s="487" t="s">
        <v>429</v>
      </c>
      <c r="BT332" s="39"/>
      <c r="BU332" s="188">
        <v>0</v>
      </c>
      <c r="BV332" s="177" t="s">
        <v>561</v>
      </c>
      <c r="BW332" s="39"/>
      <c r="BX332" s="188">
        <v>14.985142857142856</v>
      </c>
      <c r="BY332" s="177" t="s">
        <v>561</v>
      </c>
      <c r="BZ332" s="39"/>
      <c r="CA332" s="39"/>
      <c r="CB332" s="37"/>
      <c r="CC332" s="37"/>
      <c r="CD332" s="39"/>
      <c r="CE332" s="39"/>
      <c r="CF332" s="39"/>
      <c r="CG332" s="39"/>
      <c r="CH332" s="37"/>
      <c r="CI332" s="37"/>
      <c r="CJ332" s="39"/>
      <c r="CK332" s="39"/>
      <c r="CL332" s="39"/>
      <c r="CM332" s="40"/>
      <c r="CN332" s="41">
        <v>0.2</v>
      </c>
      <c r="CO332" s="41">
        <f t="shared" si="97"/>
        <v>0.5</v>
      </c>
      <c r="CW332" s="42" t="s">
        <v>648</v>
      </c>
      <c r="CX332" s="42">
        <v>0</v>
      </c>
      <c r="CY332" s="134">
        <f t="shared" si="106"/>
        <v>0</v>
      </c>
      <c r="CZ332" s="134">
        <f t="shared" si="107"/>
        <v>0</v>
      </c>
      <c r="DA332" s="42">
        <v>16</v>
      </c>
      <c r="DB332" s="42">
        <v>0.4</v>
      </c>
      <c r="DC332" s="134">
        <f t="shared" si="108"/>
        <v>6.4</v>
      </c>
      <c r="DD332" s="42">
        <v>5.0000000000000001E-3</v>
      </c>
      <c r="DE332" s="155">
        <f t="shared" si="109"/>
        <v>5.0285714285714281E-2</v>
      </c>
      <c r="DF332" s="155">
        <f t="shared" si="110"/>
        <v>15.588571428571427</v>
      </c>
      <c r="DG332" s="155">
        <f t="shared" si="111"/>
        <v>14.985142857142856</v>
      </c>
      <c r="DH332" s="156">
        <f t="shared" si="112"/>
        <v>15.588571428571427</v>
      </c>
      <c r="DI332" s="156">
        <f t="shared" si="112"/>
        <v>14.985142857142856</v>
      </c>
      <c r="DJ332" s="40" t="s">
        <v>623</v>
      </c>
      <c r="DK332" s="42" t="s">
        <v>627</v>
      </c>
    </row>
    <row r="333" spans="5:115" s="42" customFormat="1" ht="18" thickBot="1" x14ac:dyDescent="0.5">
      <c r="E333" s="30"/>
      <c r="F333" s="30"/>
      <c r="G333" s="30"/>
      <c r="H333" s="30"/>
      <c r="I333" s="30"/>
      <c r="J333" s="30"/>
      <c r="K333" s="30"/>
      <c r="L333" s="30"/>
      <c r="M333" s="30"/>
      <c r="N333" s="30"/>
      <c r="O333" s="474" t="s">
        <v>649</v>
      </c>
      <c r="P333" s="30"/>
      <c r="Q333" s="30">
        <v>0.55000000000000004</v>
      </c>
      <c r="R333" s="30">
        <v>28</v>
      </c>
      <c r="S333" s="478">
        <f t="shared" si="98"/>
        <v>0</v>
      </c>
      <c r="T333" s="478">
        <f t="shared" si="113"/>
        <v>0</v>
      </c>
      <c r="U333" s="478">
        <f t="shared" si="113"/>
        <v>4.4165000000000003E-2</v>
      </c>
      <c r="V333" s="478">
        <f t="shared" si="113"/>
        <v>4.4165000000000003E-2</v>
      </c>
      <c r="W333" s="478">
        <f t="shared" si="113"/>
        <v>0</v>
      </c>
      <c r="X333" s="478">
        <f t="shared" si="115"/>
        <v>8.8330000000000006E-2</v>
      </c>
      <c r="Y333" s="478">
        <f t="shared" si="115"/>
        <v>0.61831000000000003</v>
      </c>
      <c r="Z333" s="478">
        <f t="shared" si="115"/>
        <v>0</v>
      </c>
      <c r="AA333" s="478">
        <f t="shared" si="115"/>
        <v>0</v>
      </c>
      <c r="AB333" s="478">
        <f t="shared" si="115"/>
        <v>5.299800000000001E-2</v>
      </c>
      <c r="AC333" s="478">
        <f t="shared" si="115"/>
        <v>0</v>
      </c>
      <c r="AD333" s="478">
        <f t="shared" si="115"/>
        <v>0.88330000000000009</v>
      </c>
      <c r="AE333" s="478">
        <v>0</v>
      </c>
      <c r="AF333" s="478">
        <f t="shared" ref="AF333:AF340" si="116">((($Q333*($R333/1000)*365)*1)*AF$315)*(44/28)</f>
        <v>8.8330000000000006E-2</v>
      </c>
      <c r="AG333" s="30"/>
      <c r="AH333" s="30">
        <v>1</v>
      </c>
      <c r="AI333" s="30">
        <v>39</v>
      </c>
      <c r="AJ333" s="30"/>
      <c r="AK333" s="30">
        <v>27</v>
      </c>
      <c r="AL333" s="483">
        <v>0.3</v>
      </c>
      <c r="AM333" s="30">
        <v>0.3</v>
      </c>
      <c r="AN333" s="30">
        <v>0.28999999999999998</v>
      </c>
      <c r="AO333" s="478">
        <f>(AM333*365)*(AN333*0.67*0.015*1)</f>
        <v>0.31913775</v>
      </c>
      <c r="AP333" s="478">
        <f>(AM333*365)*(AN333*0.67*0.005*1)</f>
        <v>0.10637925000000001</v>
      </c>
      <c r="AQ333" s="484"/>
      <c r="AR333" s="478">
        <f>(AM333*365)*(AN333*0.67*0.04*1)</f>
        <v>0.85103400000000007</v>
      </c>
      <c r="AS333" s="478">
        <f>(AM333*365)*(AN333*0.67*0.015*1)</f>
        <v>0.31913775</v>
      </c>
      <c r="AT333" s="478">
        <f>(AM333*365)*(AN333*0.67*0.65*1)</f>
        <v>13.829302500000002</v>
      </c>
      <c r="AU333" s="478">
        <f>(AM333*365)*(AN333*0.67*0.79*1)</f>
        <v>16.807921499999999</v>
      </c>
      <c r="AV333" s="478">
        <f>(AM333*365)*(AN333*0.67*0.03*1)</f>
        <v>0.6382755</v>
      </c>
      <c r="AW333" s="484"/>
      <c r="AX333" s="478">
        <f>(AM333*365)*(AN333*0.67*0.65*1)</f>
        <v>13.829302500000002</v>
      </c>
      <c r="AY333" s="478">
        <f t="shared" si="101"/>
        <v>21.275849999999998</v>
      </c>
      <c r="AZ333" s="478">
        <f t="shared" si="102"/>
        <v>2.1275850000000003</v>
      </c>
      <c r="BA333" s="478">
        <f t="shared" si="103"/>
        <v>0.10637925000000001</v>
      </c>
      <c r="BB333" s="478">
        <f>(AM333*365)*(AN333*0.67*0.01*1)</f>
        <v>0.21275850000000002</v>
      </c>
      <c r="BC333" s="478">
        <v>0</v>
      </c>
      <c r="BD333" s="478">
        <v>0</v>
      </c>
      <c r="BE333" s="30"/>
      <c r="BF333" s="30"/>
      <c r="BG333" s="242"/>
      <c r="BH333" s="181" t="s">
        <v>650</v>
      </c>
      <c r="BI333" s="181" t="s">
        <v>623</v>
      </c>
      <c r="BJ333" s="485">
        <f t="shared" si="104"/>
        <v>1</v>
      </c>
      <c r="BK333" s="181" t="s">
        <v>624</v>
      </c>
      <c r="BL333" s="486">
        <v>0.2</v>
      </c>
      <c r="BM333" s="486">
        <v>0.5</v>
      </c>
      <c r="BN333" s="487" t="s">
        <v>429</v>
      </c>
      <c r="BO333" s="485">
        <f t="shared" si="105"/>
        <v>5.0285714285714281E-2</v>
      </c>
      <c r="BP333" s="181" t="s">
        <v>625</v>
      </c>
      <c r="BQ333" s="486">
        <v>0.2</v>
      </c>
      <c r="BR333" s="486">
        <v>0.5</v>
      </c>
      <c r="BS333" s="487" t="s">
        <v>429</v>
      </c>
      <c r="BT333" s="39"/>
      <c r="BU333" s="188">
        <v>25</v>
      </c>
      <c r="BV333" s="177" t="s">
        <v>561</v>
      </c>
      <c r="BW333" s="39"/>
      <c r="BX333" s="188">
        <v>14.985142857142856</v>
      </c>
      <c r="BY333" s="177" t="s">
        <v>561</v>
      </c>
      <c r="BZ333" s="39"/>
      <c r="CA333" s="39"/>
      <c r="CB333" s="37"/>
      <c r="CC333" s="37"/>
      <c r="CD333" s="39"/>
      <c r="CE333" s="39"/>
      <c r="CF333" s="39"/>
      <c r="CG333" s="39"/>
      <c r="CH333" s="37"/>
      <c r="CI333" s="37"/>
      <c r="CJ333" s="39"/>
      <c r="CK333" s="39"/>
      <c r="CL333" s="39"/>
      <c r="CM333" s="40"/>
      <c r="CN333" s="41">
        <v>0.2</v>
      </c>
      <c r="CO333" s="41">
        <f t="shared" si="97"/>
        <v>0.5</v>
      </c>
      <c r="CW333" s="42" t="s">
        <v>650</v>
      </c>
      <c r="CX333" s="42">
        <v>1</v>
      </c>
      <c r="CY333" s="134">
        <f t="shared" si="106"/>
        <v>21</v>
      </c>
      <c r="CZ333" s="134">
        <f t="shared" si="107"/>
        <v>25</v>
      </c>
      <c r="DA333" s="42">
        <v>16</v>
      </c>
      <c r="DB333" s="42">
        <v>0.4</v>
      </c>
      <c r="DC333" s="134">
        <f t="shared" si="108"/>
        <v>6.4</v>
      </c>
      <c r="DD333" s="42">
        <v>5.0000000000000001E-3</v>
      </c>
      <c r="DE333" s="155">
        <f t="shared" si="109"/>
        <v>5.0285714285714281E-2</v>
      </c>
      <c r="DF333" s="155">
        <f t="shared" si="110"/>
        <v>15.588571428571427</v>
      </c>
      <c r="DG333" s="155">
        <f t="shared" si="111"/>
        <v>14.985142857142856</v>
      </c>
      <c r="DH333" s="156">
        <f t="shared" si="112"/>
        <v>36.588571428571427</v>
      </c>
      <c r="DI333" s="156">
        <f t="shared" si="112"/>
        <v>39.985142857142854</v>
      </c>
      <c r="DJ333" s="40" t="s">
        <v>623</v>
      </c>
      <c r="DK333" s="42" t="s">
        <v>627</v>
      </c>
    </row>
    <row r="334" spans="5:115" s="42" customFormat="1" ht="18" thickBot="1" x14ac:dyDescent="0.5">
      <c r="E334" s="30"/>
      <c r="F334" s="30"/>
      <c r="G334" s="30"/>
      <c r="H334" s="30"/>
      <c r="I334" s="30"/>
      <c r="J334" s="30"/>
      <c r="K334" s="30"/>
      <c r="L334" s="30"/>
      <c r="M334" s="30"/>
      <c r="N334" s="30"/>
      <c r="O334" s="474" t="s">
        <v>651</v>
      </c>
      <c r="P334" s="30"/>
      <c r="Q334" s="30">
        <v>0.55000000000000004</v>
      </c>
      <c r="R334" s="30">
        <v>28</v>
      </c>
      <c r="S334" s="478">
        <f t="shared" si="98"/>
        <v>0</v>
      </c>
      <c r="T334" s="478">
        <f t="shared" si="113"/>
        <v>0</v>
      </c>
      <c r="U334" s="478">
        <f t="shared" si="113"/>
        <v>4.4165000000000003E-2</v>
      </c>
      <c r="V334" s="478">
        <f t="shared" si="113"/>
        <v>4.4165000000000003E-2</v>
      </c>
      <c r="W334" s="478">
        <f t="shared" si="113"/>
        <v>0</v>
      </c>
      <c r="X334" s="478">
        <f t="shared" si="115"/>
        <v>8.8330000000000006E-2</v>
      </c>
      <c r="Y334" s="478">
        <f t="shared" si="115"/>
        <v>0.61831000000000003</v>
      </c>
      <c r="Z334" s="478">
        <f t="shared" si="115"/>
        <v>0</v>
      </c>
      <c r="AA334" s="478">
        <f t="shared" si="115"/>
        <v>0</v>
      </c>
      <c r="AB334" s="478">
        <f t="shared" si="115"/>
        <v>5.299800000000001E-2</v>
      </c>
      <c r="AC334" s="478">
        <f t="shared" si="115"/>
        <v>0</v>
      </c>
      <c r="AD334" s="478">
        <f t="shared" si="115"/>
        <v>0.88330000000000009</v>
      </c>
      <c r="AE334" s="478">
        <v>0</v>
      </c>
      <c r="AF334" s="478">
        <f t="shared" si="116"/>
        <v>8.8330000000000006E-2</v>
      </c>
      <c r="AG334" s="30"/>
      <c r="AH334" s="30">
        <v>2</v>
      </c>
      <c r="AI334" s="30">
        <v>45</v>
      </c>
      <c r="AJ334" s="30"/>
      <c r="AK334" s="30">
        <v>33</v>
      </c>
      <c r="AL334" s="483">
        <v>0.3</v>
      </c>
      <c r="AM334" s="30">
        <v>0.3</v>
      </c>
      <c r="AN334" s="30">
        <v>0.28999999999999998</v>
      </c>
      <c r="AO334" s="478">
        <f>(AM334*365)*(AN334*0.67*0.02*1)</f>
        <v>0.42551700000000003</v>
      </c>
      <c r="AP334" s="478">
        <f>(AM334*365)*(AN334*0.67*0.01*1)</f>
        <v>0.21275850000000002</v>
      </c>
      <c r="AQ334" s="484"/>
      <c r="AR334" s="478">
        <f>(AM334*365)*(AN334*0.67*0.05*1)</f>
        <v>1.0637925000000001</v>
      </c>
      <c r="AS334" s="478">
        <f>(AM334*365)*(AN334*0.67*0.02*1)</f>
        <v>0.42551700000000003</v>
      </c>
      <c r="AT334" s="478">
        <f>(AM334*365)*(AN334*0.67*0.8*1)</f>
        <v>17.020680000000002</v>
      </c>
      <c r="AU334" s="478">
        <f>(AM334*365)*(AN334*0.67*0.8*1)</f>
        <v>17.020680000000002</v>
      </c>
      <c r="AV334" s="478">
        <f>(AM334*365)*(AN334*0.67*0.3*1)</f>
        <v>6.3827549999999995</v>
      </c>
      <c r="AW334" s="484"/>
      <c r="AX334" s="478">
        <f>(AM334*365)*(AN334*0.67*0.8*1)</f>
        <v>17.020680000000002</v>
      </c>
      <c r="AY334" s="478">
        <f t="shared" si="101"/>
        <v>21.275849999999998</v>
      </c>
      <c r="AZ334" s="478">
        <f t="shared" si="102"/>
        <v>2.1275850000000003</v>
      </c>
      <c r="BA334" s="478">
        <f t="shared" si="103"/>
        <v>0.10637925000000001</v>
      </c>
      <c r="BB334" s="478">
        <f>(AM334*365)*(AN334*0.67*0.015*1)</f>
        <v>0.31913775</v>
      </c>
      <c r="BC334" s="478">
        <v>0</v>
      </c>
      <c r="BD334" s="478">
        <v>0</v>
      </c>
      <c r="BE334" s="30"/>
      <c r="BF334" s="30"/>
      <c r="BG334" s="242"/>
      <c r="BH334" s="181" t="s">
        <v>652</v>
      </c>
      <c r="BI334" s="181" t="s">
        <v>623</v>
      </c>
      <c r="BJ334" s="485">
        <f t="shared" si="104"/>
        <v>2</v>
      </c>
      <c r="BK334" s="181" t="s">
        <v>624</v>
      </c>
      <c r="BL334" s="486">
        <v>0.2</v>
      </c>
      <c r="BM334" s="486">
        <v>0.5</v>
      </c>
      <c r="BN334" s="487" t="s">
        <v>429</v>
      </c>
      <c r="BO334" s="485">
        <f t="shared" si="105"/>
        <v>5.0285714285714281E-2</v>
      </c>
      <c r="BP334" s="181" t="s">
        <v>625</v>
      </c>
      <c r="BQ334" s="486">
        <v>0.2</v>
      </c>
      <c r="BR334" s="486">
        <v>0.5</v>
      </c>
      <c r="BS334" s="487" t="s">
        <v>429</v>
      </c>
      <c r="BT334" s="39"/>
      <c r="BU334" s="188">
        <v>50</v>
      </c>
      <c r="BV334" s="177" t="s">
        <v>561</v>
      </c>
      <c r="BW334" s="39"/>
      <c r="BX334" s="188">
        <v>14.985142857142856</v>
      </c>
      <c r="BY334" s="177" t="s">
        <v>561</v>
      </c>
      <c r="BZ334" s="39"/>
      <c r="CA334" s="39"/>
      <c r="CB334" s="37"/>
      <c r="CC334" s="37"/>
      <c r="CD334" s="39"/>
      <c r="CE334" s="39"/>
      <c r="CF334" s="39"/>
      <c r="CG334" s="39"/>
      <c r="CH334" s="37"/>
      <c r="CI334" s="37"/>
      <c r="CJ334" s="39"/>
      <c r="CK334" s="39"/>
      <c r="CL334" s="39"/>
      <c r="CM334" s="40"/>
      <c r="CN334" s="41">
        <v>0.2</v>
      </c>
      <c r="CO334" s="41">
        <f t="shared" si="97"/>
        <v>0.5</v>
      </c>
      <c r="CW334" s="42" t="s">
        <v>652</v>
      </c>
      <c r="CX334" s="42">
        <v>2</v>
      </c>
      <c r="CY334" s="134">
        <f t="shared" si="106"/>
        <v>42</v>
      </c>
      <c r="CZ334" s="134">
        <f t="shared" si="107"/>
        <v>50</v>
      </c>
      <c r="DA334" s="42">
        <v>16</v>
      </c>
      <c r="DB334" s="42">
        <v>0.4</v>
      </c>
      <c r="DC334" s="134">
        <f t="shared" si="108"/>
        <v>6.4</v>
      </c>
      <c r="DD334" s="42">
        <v>5.0000000000000001E-3</v>
      </c>
      <c r="DE334" s="155">
        <f t="shared" si="109"/>
        <v>5.0285714285714281E-2</v>
      </c>
      <c r="DF334" s="155">
        <f t="shared" si="110"/>
        <v>15.588571428571427</v>
      </c>
      <c r="DG334" s="155">
        <f t="shared" si="111"/>
        <v>14.985142857142856</v>
      </c>
      <c r="DH334" s="156">
        <f t="shared" si="112"/>
        <v>57.588571428571427</v>
      </c>
      <c r="DI334" s="156">
        <f t="shared" si="112"/>
        <v>64.985142857142861</v>
      </c>
      <c r="DJ334" s="40" t="s">
        <v>623</v>
      </c>
      <c r="DK334" s="42" t="s">
        <v>627</v>
      </c>
    </row>
    <row r="335" spans="5:115" s="42" customFormat="1" ht="18" thickBot="1" x14ac:dyDescent="0.5">
      <c r="E335" s="30"/>
      <c r="F335" s="30"/>
      <c r="G335" s="30"/>
      <c r="H335" s="30"/>
      <c r="I335" s="30"/>
      <c r="J335" s="30"/>
      <c r="K335" s="30"/>
      <c r="L335" s="30"/>
      <c r="M335" s="30"/>
      <c r="N335" s="30"/>
      <c r="O335" s="474" t="s">
        <v>653</v>
      </c>
      <c r="P335" s="30"/>
      <c r="Q335" s="30">
        <v>0.32</v>
      </c>
      <c r="R335" s="30">
        <v>380</v>
      </c>
      <c r="S335" s="478">
        <f t="shared" si="98"/>
        <v>0</v>
      </c>
      <c r="T335" s="478">
        <f t="shared" si="113"/>
        <v>0</v>
      </c>
      <c r="U335" s="478">
        <f t="shared" si="113"/>
        <v>0.34873142857142858</v>
      </c>
      <c r="V335" s="478">
        <f t="shared" si="113"/>
        <v>0.34873142857142858</v>
      </c>
      <c r="W335" s="478">
        <f t="shared" si="113"/>
        <v>0</v>
      </c>
      <c r="X335" s="478">
        <f t="shared" si="115"/>
        <v>0.69746285714285716</v>
      </c>
      <c r="Y335" s="478">
        <f t="shared" si="115"/>
        <v>4.8822400000000004</v>
      </c>
      <c r="Z335" s="478">
        <f t="shared" si="115"/>
        <v>0</v>
      </c>
      <c r="AA335" s="478">
        <f t="shared" si="115"/>
        <v>0</v>
      </c>
      <c r="AB335" s="478">
        <f t="shared" si="115"/>
        <v>0.41847771428571423</v>
      </c>
      <c r="AC335" s="478">
        <f t="shared" si="115"/>
        <v>0</v>
      </c>
      <c r="AD335" s="478">
        <f t="shared" si="115"/>
        <v>6.9746285714285721</v>
      </c>
      <c r="AE335" s="478">
        <v>0</v>
      </c>
      <c r="AF335" s="478">
        <f t="shared" si="116"/>
        <v>0.69746285714285716</v>
      </c>
      <c r="AG335" s="30"/>
      <c r="AH335" s="30">
        <v>1</v>
      </c>
      <c r="AI335" s="30">
        <v>0</v>
      </c>
      <c r="AJ335" s="30"/>
      <c r="AK335" s="30">
        <v>5</v>
      </c>
      <c r="AL335" s="483">
        <v>0.3</v>
      </c>
      <c r="AM335" s="30">
        <v>3.9</v>
      </c>
      <c r="AN335" s="30">
        <v>0.1</v>
      </c>
      <c r="AO335" s="478">
        <f>(AM335*365)*(AN335*0.67*0.01*1)</f>
        <v>0.95374500000000006</v>
      </c>
      <c r="AP335" s="478">
        <f>(AM335*365)*(AN335*0.67*0.001*1)</f>
        <v>9.5374500000000001E-2</v>
      </c>
      <c r="AQ335" s="484"/>
      <c r="AR335" s="478">
        <f>(AM335*365)*(AN335*0.67*0.02*1)</f>
        <v>1.9074900000000001</v>
      </c>
      <c r="AS335" s="478">
        <f>(AM335*365)*(AN335*0.67*0.01*1)</f>
        <v>0.95374500000000006</v>
      </c>
      <c r="AT335" s="478">
        <f>(AM335*365)*(AN335*0.67*0.25*1)</f>
        <v>23.843625000000003</v>
      </c>
      <c r="AU335" s="478">
        <f>(AM335*365)*(AN335*0.67*0.73*1)</f>
        <v>69.623384999999999</v>
      </c>
      <c r="AV335" s="478">
        <f>(AM335*365)*(AN335*0.67*0.03*1)</f>
        <v>2.8612350000000002</v>
      </c>
      <c r="AW335" s="484"/>
      <c r="AX335" s="478">
        <f>(AM335*365)*(AN335*0.67*0.25*1)</f>
        <v>23.843625000000003</v>
      </c>
      <c r="AY335" s="478">
        <f t="shared" si="101"/>
        <v>95.374500000000012</v>
      </c>
      <c r="AZ335" s="478">
        <f t="shared" si="102"/>
        <v>9.5374500000000015</v>
      </c>
      <c r="BA335" s="478">
        <f t="shared" si="103"/>
        <v>0.47687250000000003</v>
      </c>
      <c r="BB335" s="478">
        <f>(AM335*365)*(AN335*0.67*0.005*1)</f>
        <v>0.47687250000000003</v>
      </c>
      <c r="BC335" s="478">
        <v>0</v>
      </c>
      <c r="BD335" s="478">
        <v>0</v>
      </c>
      <c r="BE335" s="30"/>
      <c r="BF335" s="30"/>
      <c r="BG335" s="242"/>
      <c r="BH335" s="181" t="s">
        <v>653</v>
      </c>
      <c r="BI335" s="181" t="s">
        <v>623</v>
      </c>
      <c r="BJ335" s="485">
        <f t="shared" si="104"/>
        <v>1</v>
      </c>
      <c r="BK335" s="181" t="s">
        <v>624</v>
      </c>
      <c r="BL335" s="486">
        <v>0.2</v>
      </c>
      <c r="BM335" s="486">
        <v>0.5</v>
      </c>
      <c r="BN335" s="487" t="s">
        <v>429</v>
      </c>
      <c r="BO335" s="485">
        <f t="shared" si="105"/>
        <v>1.2445714285714284</v>
      </c>
      <c r="BP335" s="181" t="s">
        <v>625</v>
      </c>
      <c r="BQ335" s="486">
        <v>0.2</v>
      </c>
      <c r="BR335" s="486">
        <v>0.5</v>
      </c>
      <c r="BS335" s="487" t="s">
        <v>429</v>
      </c>
      <c r="BT335" s="39"/>
      <c r="BU335" s="188">
        <v>25</v>
      </c>
      <c r="BV335" s="177" t="s">
        <v>561</v>
      </c>
      <c r="BW335" s="39"/>
      <c r="BX335" s="188">
        <v>370.88228571428567</v>
      </c>
      <c r="BY335" s="177" t="s">
        <v>561</v>
      </c>
      <c r="BZ335" s="39"/>
      <c r="CA335" s="39"/>
      <c r="CB335" s="37"/>
      <c r="CC335" s="37"/>
      <c r="CD335" s="39"/>
      <c r="CE335" s="39"/>
      <c r="CF335" s="39"/>
      <c r="CG335" s="39"/>
      <c r="CH335" s="37"/>
      <c r="CI335" s="37"/>
      <c r="CJ335" s="39"/>
      <c r="CK335" s="39"/>
      <c r="CL335" s="39"/>
      <c r="CM335" s="40"/>
      <c r="CN335" s="41">
        <v>0.2</v>
      </c>
      <c r="CO335" s="41">
        <f t="shared" si="97"/>
        <v>0.5</v>
      </c>
      <c r="CW335" s="42" t="s">
        <v>653</v>
      </c>
      <c r="CX335" s="42">
        <v>1</v>
      </c>
      <c r="CY335" s="134">
        <f t="shared" si="106"/>
        <v>21</v>
      </c>
      <c r="CZ335" s="134">
        <f t="shared" si="107"/>
        <v>25</v>
      </c>
      <c r="DA335" s="42">
        <v>40</v>
      </c>
      <c r="DB335" s="42">
        <v>0.99</v>
      </c>
      <c r="DC335" s="134">
        <f t="shared" si="108"/>
        <v>39.6</v>
      </c>
      <c r="DD335" s="42">
        <v>0.02</v>
      </c>
      <c r="DE335" s="155">
        <f t="shared" si="109"/>
        <v>1.2445714285714284</v>
      </c>
      <c r="DF335" s="155">
        <f t="shared" si="110"/>
        <v>385.81714285714281</v>
      </c>
      <c r="DG335" s="155">
        <f t="shared" si="111"/>
        <v>370.88228571428567</v>
      </c>
      <c r="DH335" s="156">
        <f t="shared" si="112"/>
        <v>406.81714285714281</v>
      </c>
      <c r="DI335" s="156">
        <f t="shared" si="112"/>
        <v>395.88228571428567</v>
      </c>
      <c r="DJ335" s="40" t="s">
        <v>623</v>
      </c>
      <c r="DK335" s="42" t="s">
        <v>627</v>
      </c>
    </row>
    <row r="336" spans="5:115" s="42" customFormat="1" ht="18" thickBot="1" x14ac:dyDescent="0.5">
      <c r="E336" s="30"/>
      <c r="F336" s="30"/>
      <c r="G336" s="30"/>
      <c r="H336" s="30"/>
      <c r="I336" s="30"/>
      <c r="J336" s="30"/>
      <c r="K336" s="30"/>
      <c r="L336" s="30"/>
      <c r="M336" s="30"/>
      <c r="N336" s="30"/>
      <c r="O336" s="474" t="s">
        <v>654</v>
      </c>
      <c r="P336" s="30"/>
      <c r="Q336" s="30">
        <v>0.32</v>
      </c>
      <c r="R336" s="30">
        <v>380</v>
      </c>
      <c r="S336" s="478">
        <f t="shared" si="98"/>
        <v>0</v>
      </c>
      <c r="T336" s="478">
        <f t="shared" si="113"/>
        <v>0</v>
      </c>
      <c r="U336" s="478">
        <f t="shared" si="113"/>
        <v>0.34873142857142858</v>
      </c>
      <c r="V336" s="478">
        <f t="shared" si="113"/>
        <v>0.34873142857142858</v>
      </c>
      <c r="W336" s="478">
        <f t="shared" si="113"/>
        <v>0</v>
      </c>
      <c r="X336" s="478">
        <f t="shared" ref="X336:AD349" si="117">((($Q336*($R336/1000)*365)*1)*X$315)*(44/28)</f>
        <v>0.69746285714285716</v>
      </c>
      <c r="Y336" s="478">
        <f t="shared" si="117"/>
        <v>4.8822400000000004</v>
      </c>
      <c r="Z336" s="478">
        <f t="shared" si="117"/>
        <v>0</v>
      </c>
      <c r="AA336" s="478">
        <f t="shared" si="117"/>
        <v>0</v>
      </c>
      <c r="AB336" s="478">
        <f t="shared" si="117"/>
        <v>0.41847771428571423</v>
      </c>
      <c r="AC336" s="478">
        <f t="shared" si="117"/>
        <v>0</v>
      </c>
      <c r="AD336" s="478">
        <f t="shared" si="117"/>
        <v>6.9746285714285721</v>
      </c>
      <c r="AE336" s="478">
        <v>0</v>
      </c>
      <c r="AF336" s="478">
        <f t="shared" si="116"/>
        <v>0.69746285714285716</v>
      </c>
      <c r="AG336" s="30"/>
      <c r="AH336" s="30">
        <v>1</v>
      </c>
      <c r="AI336" s="30">
        <v>0</v>
      </c>
      <c r="AJ336" s="30"/>
      <c r="AK336" s="30">
        <v>14</v>
      </c>
      <c r="AL336" s="483">
        <v>0.3</v>
      </c>
      <c r="AM336" s="30">
        <v>3.9</v>
      </c>
      <c r="AN336" s="30">
        <v>0.1</v>
      </c>
      <c r="AO336" s="478">
        <f>(AM336*365)*(AN336*0.67*0.015*1)</f>
        <v>1.4306175000000001</v>
      </c>
      <c r="AP336" s="478">
        <f>(AM336*365)*(AN336*0.67*0.005*1)</f>
        <v>0.47687250000000003</v>
      </c>
      <c r="AQ336" s="484"/>
      <c r="AR336" s="478">
        <f>(AM336*365)*(AN336*0.67*0.04*1)</f>
        <v>3.8149800000000003</v>
      </c>
      <c r="AS336" s="478">
        <f>(AM336*365)*(AN336*0.67*0.015*1)</f>
        <v>1.4306175000000001</v>
      </c>
      <c r="AT336" s="478">
        <f>(AM336*365)*(AN336*0.67*0.65*1)</f>
        <v>61.993425000000009</v>
      </c>
      <c r="AU336" s="478">
        <f>(AM336*365)*(AN336*0.67*0.79*1)</f>
        <v>75.345855</v>
      </c>
      <c r="AV336" s="478">
        <f>(AM336*365)*(AN336*0.67*0.03*1)</f>
        <v>2.8612350000000002</v>
      </c>
      <c r="AW336" s="484"/>
      <c r="AX336" s="478">
        <f>(AM336*365)*(AN336*0.67*0.65*1)</f>
        <v>61.993425000000009</v>
      </c>
      <c r="AY336" s="478">
        <f t="shared" si="101"/>
        <v>95.374500000000012</v>
      </c>
      <c r="AZ336" s="478">
        <f t="shared" si="102"/>
        <v>9.5374500000000015</v>
      </c>
      <c r="BA336" s="478">
        <f t="shared" si="103"/>
        <v>0.47687250000000003</v>
      </c>
      <c r="BB336" s="478">
        <f>(AM336*365)*(AN336*0.67*0.01*1)</f>
        <v>0.95374500000000006</v>
      </c>
      <c r="BC336" s="478">
        <v>0</v>
      </c>
      <c r="BD336" s="478">
        <v>0</v>
      </c>
      <c r="BE336" s="30"/>
      <c r="BF336" s="30"/>
      <c r="BG336" s="242"/>
      <c r="BH336" s="181" t="s">
        <v>654</v>
      </c>
      <c r="BI336" s="181" t="s">
        <v>623</v>
      </c>
      <c r="BJ336" s="485">
        <f t="shared" si="104"/>
        <v>1</v>
      </c>
      <c r="BK336" s="181" t="s">
        <v>624</v>
      </c>
      <c r="BL336" s="486">
        <v>0.2</v>
      </c>
      <c r="BM336" s="486">
        <v>0.5</v>
      </c>
      <c r="BN336" s="487" t="s">
        <v>429</v>
      </c>
      <c r="BO336" s="485">
        <f t="shared" si="105"/>
        <v>1.2445714285714284</v>
      </c>
      <c r="BP336" s="181" t="s">
        <v>625</v>
      </c>
      <c r="BQ336" s="486">
        <v>0.2</v>
      </c>
      <c r="BR336" s="486">
        <v>0.5</v>
      </c>
      <c r="BS336" s="487" t="s">
        <v>429</v>
      </c>
      <c r="BT336" s="39"/>
      <c r="BU336" s="188">
        <v>25</v>
      </c>
      <c r="BV336" s="177" t="s">
        <v>561</v>
      </c>
      <c r="BW336" s="39"/>
      <c r="BX336" s="188">
        <v>370.88228571428567</v>
      </c>
      <c r="BY336" s="177" t="s">
        <v>561</v>
      </c>
      <c r="BZ336" s="39"/>
      <c r="CA336" s="39"/>
      <c r="CB336" s="37"/>
      <c r="CC336" s="37"/>
      <c r="CD336" s="39"/>
      <c r="CE336" s="39"/>
      <c r="CF336" s="39"/>
      <c r="CG336" s="39"/>
      <c r="CH336" s="37"/>
      <c r="CI336" s="37"/>
      <c r="CJ336" s="39"/>
      <c r="CK336" s="39"/>
      <c r="CL336" s="39"/>
      <c r="CM336" s="40"/>
      <c r="CN336" s="41">
        <v>0.2</v>
      </c>
      <c r="CO336" s="41">
        <f t="shared" si="97"/>
        <v>0.5</v>
      </c>
      <c r="CW336" s="42" t="s">
        <v>654</v>
      </c>
      <c r="CX336" s="42">
        <v>1</v>
      </c>
      <c r="CY336" s="134">
        <f t="shared" si="106"/>
        <v>21</v>
      </c>
      <c r="CZ336" s="134">
        <f t="shared" si="107"/>
        <v>25</v>
      </c>
      <c r="DA336" s="42">
        <v>40</v>
      </c>
      <c r="DB336" s="42">
        <v>0.99</v>
      </c>
      <c r="DC336" s="134">
        <f t="shared" si="108"/>
        <v>39.6</v>
      </c>
      <c r="DD336" s="42">
        <v>0.02</v>
      </c>
      <c r="DE336" s="155">
        <f t="shared" si="109"/>
        <v>1.2445714285714284</v>
      </c>
      <c r="DF336" s="155">
        <f t="shared" si="110"/>
        <v>385.81714285714281</v>
      </c>
      <c r="DG336" s="155">
        <f t="shared" si="111"/>
        <v>370.88228571428567</v>
      </c>
      <c r="DH336" s="156">
        <f t="shared" si="112"/>
        <v>406.81714285714281</v>
      </c>
      <c r="DI336" s="156">
        <f t="shared" si="112"/>
        <v>395.88228571428567</v>
      </c>
      <c r="DJ336" s="40" t="s">
        <v>623</v>
      </c>
      <c r="DK336" s="42" t="s">
        <v>627</v>
      </c>
    </row>
    <row r="337" spans="5:115" s="42" customFormat="1" ht="18" thickBot="1" x14ac:dyDescent="0.5">
      <c r="E337" s="30"/>
      <c r="F337" s="30"/>
      <c r="G337" s="30"/>
      <c r="H337" s="30"/>
      <c r="I337" s="30"/>
      <c r="J337" s="30"/>
      <c r="K337" s="30"/>
      <c r="L337" s="30"/>
      <c r="M337" s="30"/>
      <c r="N337" s="30"/>
      <c r="O337" s="474" t="s">
        <v>655</v>
      </c>
      <c r="P337" s="30"/>
      <c r="Q337" s="30">
        <v>0.32</v>
      </c>
      <c r="R337" s="30">
        <v>380</v>
      </c>
      <c r="S337" s="478">
        <f t="shared" si="98"/>
        <v>0</v>
      </c>
      <c r="T337" s="478">
        <f t="shared" si="113"/>
        <v>0</v>
      </c>
      <c r="U337" s="478">
        <f t="shared" si="113"/>
        <v>0.34873142857142858</v>
      </c>
      <c r="V337" s="478">
        <f t="shared" si="113"/>
        <v>0.34873142857142858</v>
      </c>
      <c r="W337" s="478">
        <f t="shared" si="113"/>
        <v>0</v>
      </c>
      <c r="X337" s="478">
        <f t="shared" si="117"/>
        <v>0.69746285714285716</v>
      </c>
      <c r="Y337" s="478">
        <f t="shared" si="117"/>
        <v>4.8822400000000004</v>
      </c>
      <c r="Z337" s="478">
        <f t="shared" si="117"/>
        <v>0</v>
      </c>
      <c r="AA337" s="478">
        <f t="shared" si="117"/>
        <v>0</v>
      </c>
      <c r="AB337" s="478">
        <f t="shared" si="117"/>
        <v>0.41847771428571423</v>
      </c>
      <c r="AC337" s="478">
        <f t="shared" si="117"/>
        <v>0</v>
      </c>
      <c r="AD337" s="478">
        <f t="shared" si="117"/>
        <v>6.9746285714285721</v>
      </c>
      <c r="AE337" s="478">
        <v>0</v>
      </c>
      <c r="AF337" s="478">
        <f t="shared" si="116"/>
        <v>0.69746285714285716</v>
      </c>
      <c r="AG337" s="30"/>
      <c r="AH337" s="30">
        <v>2</v>
      </c>
      <c r="AI337" s="30">
        <v>0</v>
      </c>
      <c r="AJ337" s="30"/>
      <c r="AK337" s="30">
        <v>17</v>
      </c>
      <c r="AL337" s="483">
        <v>0.3</v>
      </c>
      <c r="AM337" s="30">
        <v>3.9</v>
      </c>
      <c r="AN337" s="30">
        <v>0.1</v>
      </c>
      <c r="AO337" s="478">
        <f>(AM337*365)*(AN337*0.67*0.02*1)</f>
        <v>1.9074900000000001</v>
      </c>
      <c r="AP337" s="478">
        <f>(AM337*365)*(AN337*0.67*0.01*1)</f>
        <v>0.95374500000000006</v>
      </c>
      <c r="AQ337" s="484"/>
      <c r="AR337" s="478">
        <f>(AM337*365)*(AN337*0.67*0.05*1)</f>
        <v>4.7687250000000008</v>
      </c>
      <c r="AS337" s="478">
        <f>(AM337*365)*(AN337*0.67*0.02*1)</f>
        <v>1.9074900000000001</v>
      </c>
      <c r="AT337" s="478">
        <f>(AM337*365)*(AN337*0.67*0.8*1)</f>
        <v>76.299600000000012</v>
      </c>
      <c r="AU337" s="478">
        <f>(AM337*365)*(AN337*0.67*0.8*1)</f>
        <v>76.299600000000012</v>
      </c>
      <c r="AV337" s="478">
        <f>(AM337*365)*(AN337*0.67*0.3*1)</f>
        <v>28.612349999999999</v>
      </c>
      <c r="AW337" s="484"/>
      <c r="AX337" s="478">
        <f>(AM337*365)*(AN337*0.67*0.8*1)</f>
        <v>76.299600000000012</v>
      </c>
      <c r="AY337" s="478">
        <f t="shared" si="101"/>
        <v>95.374500000000012</v>
      </c>
      <c r="AZ337" s="478">
        <f t="shared" si="102"/>
        <v>9.5374500000000015</v>
      </c>
      <c r="BA337" s="478">
        <f t="shared" si="103"/>
        <v>0.47687250000000003</v>
      </c>
      <c r="BB337" s="478">
        <f>(AM337*365)*(AN337*0.67*0.015*1)</f>
        <v>1.4306175000000001</v>
      </c>
      <c r="BC337" s="478">
        <v>0</v>
      </c>
      <c r="BD337" s="478">
        <v>0</v>
      </c>
      <c r="BE337" s="30"/>
      <c r="BF337" s="30"/>
      <c r="BG337" s="242"/>
      <c r="BH337" s="181" t="s">
        <v>655</v>
      </c>
      <c r="BI337" s="181" t="s">
        <v>623</v>
      </c>
      <c r="BJ337" s="485">
        <f t="shared" si="104"/>
        <v>2</v>
      </c>
      <c r="BK337" s="181" t="s">
        <v>624</v>
      </c>
      <c r="BL337" s="486">
        <v>0.2</v>
      </c>
      <c r="BM337" s="486">
        <v>0.5</v>
      </c>
      <c r="BN337" s="487" t="s">
        <v>429</v>
      </c>
      <c r="BO337" s="485">
        <f t="shared" si="105"/>
        <v>1.2445714285714284</v>
      </c>
      <c r="BP337" s="181" t="s">
        <v>625</v>
      </c>
      <c r="BQ337" s="486">
        <v>0.2</v>
      </c>
      <c r="BR337" s="486">
        <v>0.5</v>
      </c>
      <c r="BS337" s="487" t="s">
        <v>429</v>
      </c>
      <c r="BT337" s="39"/>
      <c r="BU337" s="188">
        <v>50</v>
      </c>
      <c r="BV337" s="177" t="s">
        <v>561</v>
      </c>
      <c r="BW337" s="39"/>
      <c r="BX337" s="188">
        <v>370.88228571428567</v>
      </c>
      <c r="BY337" s="177" t="s">
        <v>561</v>
      </c>
      <c r="BZ337" s="39"/>
      <c r="CA337" s="39"/>
      <c r="CB337" s="37"/>
      <c r="CC337" s="37"/>
      <c r="CD337" s="39"/>
      <c r="CE337" s="39"/>
      <c r="CF337" s="39"/>
      <c r="CG337" s="39"/>
      <c r="CH337" s="37"/>
      <c r="CI337" s="37"/>
      <c r="CJ337" s="39"/>
      <c r="CK337" s="39"/>
      <c r="CL337" s="39"/>
      <c r="CM337" s="40"/>
      <c r="CN337" s="41">
        <v>0.2</v>
      </c>
      <c r="CO337" s="41">
        <f t="shared" si="97"/>
        <v>0.5</v>
      </c>
      <c r="CW337" s="42" t="s">
        <v>655</v>
      </c>
      <c r="CX337" s="42">
        <v>2</v>
      </c>
      <c r="CY337" s="134">
        <f t="shared" si="106"/>
        <v>42</v>
      </c>
      <c r="CZ337" s="134">
        <f t="shared" si="107"/>
        <v>50</v>
      </c>
      <c r="DA337" s="42">
        <v>40</v>
      </c>
      <c r="DB337" s="42">
        <v>0.99</v>
      </c>
      <c r="DC337" s="134">
        <f t="shared" si="108"/>
        <v>39.6</v>
      </c>
      <c r="DD337" s="42">
        <v>0.02</v>
      </c>
      <c r="DE337" s="155">
        <f t="shared" si="109"/>
        <v>1.2445714285714284</v>
      </c>
      <c r="DF337" s="155">
        <f t="shared" si="110"/>
        <v>385.81714285714281</v>
      </c>
      <c r="DG337" s="155">
        <f t="shared" si="111"/>
        <v>370.88228571428567</v>
      </c>
      <c r="DH337" s="156">
        <f t="shared" si="112"/>
        <v>427.81714285714281</v>
      </c>
      <c r="DI337" s="156">
        <f t="shared" si="112"/>
        <v>420.88228571428567</v>
      </c>
      <c r="DJ337" s="40" t="s">
        <v>623</v>
      </c>
      <c r="DK337" s="42" t="s">
        <v>627</v>
      </c>
    </row>
    <row r="338" spans="5:115" s="42" customFormat="1" ht="18" thickBot="1" x14ac:dyDescent="0.5">
      <c r="E338" s="30"/>
      <c r="F338" s="30"/>
      <c r="G338" s="30"/>
      <c r="H338" s="30"/>
      <c r="I338" s="30"/>
      <c r="J338" s="30"/>
      <c r="K338" s="30"/>
      <c r="L338" s="30"/>
      <c r="M338" s="30"/>
      <c r="N338" s="30"/>
      <c r="O338" s="474" t="s">
        <v>656</v>
      </c>
      <c r="P338" s="30"/>
      <c r="Q338" s="30">
        <v>1.37</v>
      </c>
      <c r="R338" s="30">
        <v>30</v>
      </c>
      <c r="S338" s="478">
        <f t="shared" si="98"/>
        <v>0</v>
      </c>
      <c r="T338" s="478">
        <f t="shared" si="113"/>
        <v>0</v>
      </c>
      <c r="U338" s="478">
        <f t="shared" si="113"/>
        <v>0.11786892857142858</v>
      </c>
      <c r="V338" s="478">
        <f t="shared" si="113"/>
        <v>0.11786892857142858</v>
      </c>
      <c r="W338" s="478">
        <f t="shared" si="113"/>
        <v>0</v>
      </c>
      <c r="X338" s="478">
        <f t="shared" si="117"/>
        <v>0.23573785714285717</v>
      </c>
      <c r="Y338" s="478">
        <f t="shared" si="117"/>
        <v>1.6501650000000003</v>
      </c>
      <c r="Z338" s="478">
        <f t="shared" si="117"/>
        <v>0</v>
      </c>
      <c r="AA338" s="478">
        <f t="shared" si="117"/>
        <v>0</v>
      </c>
      <c r="AB338" s="478">
        <f t="shared" si="117"/>
        <v>0.14144271428571431</v>
      </c>
      <c r="AC338" s="478">
        <f t="shared" si="117"/>
        <v>0</v>
      </c>
      <c r="AD338" s="478">
        <f t="shared" si="117"/>
        <v>2.3573785714285718</v>
      </c>
      <c r="AE338" s="478">
        <v>0</v>
      </c>
      <c r="AF338" s="478">
        <f t="shared" si="116"/>
        <v>0.23573785714285717</v>
      </c>
      <c r="AG338" s="30"/>
      <c r="AH338" s="30">
        <v>0.11</v>
      </c>
      <c r="AI338" s="30">
        <v>0</v>
      </c>
      <c r="AJ338" s="30"/>
      <c r="AK338" s="30">
        <v>0</v>
      </c>
      <c r="AL338" s="483">
        <v>0.3</v>
      </c>
      <c r="AM338" s="30">
        <v>0.35</v>
      </c>
      <c r="AN338" s="30">
        <v>0.13</v>
      </c>
      <c r="AO338" s="478">
        <f>(AM338*365)*(AN338*0.67*0.01*1)</f>
        <v>0.11127025</v>
      </c>
      <c r="AP338" s="478">
        <f>(AM338*365)*(AN338*0.67*0.001*1)</f>
        <v>1.1127025E-2</v>
      </c>
      <c r="AQ338" s="484"/>
      <c r="AR338" s="478">
        <f>(AM338*365)*(AN338*0.67*0.02*1)</f>
        <v>0.2225405</v>
      </c>
      <c r="AS338" s="478">
        <f>(AM338*365)*(AN338*0.67*0.01*1)</f>
        <v>0.11127025</v>
      </c>
      <c r="AT338" s="478">
        <f>(AM338*365)*(AN338*0.67*0.25*1)</f>
        <v>2.7817562499999999</v>
      </c>
      <c r="AU338" s="478">
        <f>(AM338*365)*(AN338*0.67*0.73*1)</f>
        <v>8.1227282499999998</v>
      </c>
      <c r="AV338" s="478">
        <f>(AM338*365)*(AN338*0.67*0.03*1)</f>
        <v>0.33381074999999999</v>
      </c>
      <c r="AW338" s="484"/>
      <c r="AX338" s="478">
        <f>(AM338*365)*(AN338*0.67*0.25*1)</f>
        <v>2.7817562499999999</v>
      </c>
      <c r="AY338" s="478">
        <f t="shared" si="101"/>
        <v>11.127025</v>
      </c>
      <c r="AZ338" s="478">
        <f t="shared" si="102"/>
        <v>1.1127024999999999</v>
      </c>
      <c r="BA338" s="478">
        <f t="shared" si="103"/>
        <v>5.5635125000000001E-2</v>
      </c>
      <c r="BB338" s="478">
        <f>(AM338*365)*(AN338*0.67*0.005*1)</f>
        <v>5.5635125000000001E-2</v>
      </c>
      <c r="BC338" s="478">
        <v>0</v>
      </c>
      <c r="BD338" s="478">
        <v>0</v>
      </c>
      <c r="BE338" s="30"/>
      <c r="BF338" s="30"/>
      <c r="BG338" s="242"/>
      <c r="BH338" s="181" t="s">
        <v>656</v>
      </c>
      <c r="BI338" s="181" t="s">
        <v>623</v>
      </c>
      <c r="BJ338" s="485">
        <f t="shared" si="104"/>
        <v>0.11</v>
      </c>
      <c r="BK338" s="181" t="s">
        <v>624</v>
      </c>
      <c r="BL338" s="486">
        <v>0.2</v>
      </c>
      <c r="BM338" s="486">
        <v>0.5</v>
      </c>
      <c r="BN338" s="487" t="s">
        <v>429</v>
      </c>
      <c r="BO338" s="485">
        <f t="shared" si="105"/>
        <v>1.2445714285714284</v>
      </c>
      <c r="BP338" s="181" t="s">
        <v>625</v>
      </c>
      <c r="BQ338" s="486">
        <v>0.2</v>
      </c>
      <c r="BR338" s="486">
        <v>0.5</v>
      </c>
      <c r="BS338" s="487" t="s">
        <v>429</v>
      </c>
      <c r="BT338" s="39"/>
      <c r="BU338" s="188">
        <v>2.75</v>
      </c>
      <c r="BV338" s="177" t="s">
        <v>561</v>
      </c>
      <c r="BW338" s="39"/>
      <c r="BX338" s="188">
        <v>370.88228571428567</v>
      </c>
      <c r="BY338" s="177" t="s">
        <v>561</v>
      </c>
      <c r="BZ338" s="37"/>
      <c r="CA338" s="39"/>
      <c r="CB338" s="37"/>
      <c r="CC338" s="37"/>
      <c r="CD338" s="39"/>
      <c r="CE338" s="39"/>
      <c r="CF338" s="39"/>
      <c r="CG338" s="39"/>
      <c r="CH338" s="37"/>
      <c r="CI338" s="37"/>
      <c r="CJ338" s="39"/>
      <c r="CK338" s="39"/>
      <c r="CL338" s="39"/>
      <c r="CM338" s="40"/>
      <c r="CN338" s="41">
        <v>0.2</v>
      </c>
      <c r="CO338" s="41">
        <f t="shared" si="97"/>
        <v>0.5</v>
      </c>
      <c r="CW338" s="42" t="s">
        <v>656</v>
      </c>
      <c r="CX338" s="42">
        <v>0.11</v>
      </c>
      <c r="CY338" s="134">
        <f t="shared" si="106"/>
        <v>2.31</v>
      </c>
      <c r="CZ338" s="134">
        <f t="shared" si="107"/>
        <v>2.75</v>
      </c>
      <c r="DA338" s="42">
        <v>40</v>
      </c>
      <c r="DB338" s="42">
        <v>0.99</v>
      </c>
      <c r="DC338" s="134">
        <f t="shared" si="108"/>
        <v>39.6</v>
      </c>
      <c r="DD338" s="42">
        <v>0.02</v>
      </c>
      <c r="DE338" s="155">
        <f t="shared" si="109"/>
        <v>1.2445714285714284</v>
      </c>
      <c r="DF338" s="155">
        <f t="shared" si="110"/>
        <v>385.81714285714281</v>
      </c>
      <c r="DG338" s="155">
        <f t="shared" si="111"/>
        <v>370.88228571428567</v>
      </c>
      <c r="DH338" s="156">
        <f t="shared" si="112"/>
        <v>388.12714285714281</v>
      </c>
      <c r="DI338" s="156">
        <f t="shared" si="112"/>
        <v>373.63228571428567</v>
      </c>
      <c r="DJ338" s="40" t="s">
        <v>623</v>
      </c>
      <c r="DK338" s="42" t="s">
        <v>627</v>
      </c>
    </row>
    <row r="339" spans="5:115" s="42" customFormat="1" ht="18" thickBot="1" x14ac:dyDescent="0.5">
      <c r="E339" s="30"/>
      <c r="F339" s="30"/>
      <c r="G339" s="30"/>
      <c r="H339" s="30"/>
      <c r="I339" s="30"/>
      <c r="J339" s="30"/>
      <c r="K339" s="30"/>
      <c r="L339" s="30"/>
      <c r="M339" s="30"/>
      <c r="N339" s="30"/>
      <c r="O339" s="474" t="s">
        <v>657</v>
      </c>
      <c r="P339" s="30"/>
      <c r="Q339" s="30">
        <v>1.37</v>
      </c>
      <c r="R339" s="30">
        <v>30</v>
      </c>
      <c r="S339" s="478">
        <f t="shared" si="98"/>
        <v>0</v>
      </c>
      <c r="T339" s="478">
        <f t="shared" si="113"/>
        <v>0</v>
      </c>
      <c r="U339" s="478">
        <f t="shared" si="113"/>
        <v>0.11786892857142858</v>
      </c>
      <c r="V339" s="478">
        <f t="shared" si="113"/>
        <v>0.11786892857142858</v>
      </c>
      <c r="W339" s="478">
        <f t="shared" si="113"/>
        <v>0</v>
      </c>
      <c r="X339" s="478">
        <f t="shared" si="117"/>
        <v>0.23573785714285717</v>
      </c>
      <c r="Y339" s="478">
        <f t="shared" si="117"/>
        <v>1.6501650000000003</v>
      </c>
      <c r="Z339" s="478">
        <f t="shared" si="117"/>
        <v>0</v>
      </c>
      <c r="AA339" s="478">
        <f t="shared" si="117"/>
        <v>0</v>
      </c>
      <c r="AB339" s="478">
        <f t="shared" si="117"/>
        <v>0.14144271428571431</v>
      </c>
      <c r="AC339" s="478">
        <f t="shared" si="117"/>
        <v>0</v>
      </c>
      <c r="AD339" s="478">
        <f t="shared" si="117"/>
        <v>2.3573785714285718</v>
      </c>
      <c r="AE339" s="478">
        <v>0</v>
      </c>
      <c r="AF339" s="478">
        <f t="shared" si="116"/>
        <v>0.23573785714285717</v>
      </c>
      <c r="AG339" s="30"/>
      <c r="AH339" s="30">
        <v>0.17</v>
      </c>
      <c r="AI339" s="30">
        <v>0</v>
      </c>
      <c r="AJ339" s="30"/>
      <c r="AK339" s="30">
        <v>0</v>
      </c>
      <c r="AL339" s="483">
        <v>0.3</v>
      </c>
      <c r="AM339" s="30">
        <v>0.35</v>
      </c>
      <c r="AN339" s="30">
        <v>0.13</v>
      </c>
      <c r="AO339" s="478">
        <f>(AM339*365)*(AN339*0.67*0.015*1)</f>
        <v>0.16690537499999999</v>
      </c>
      <c r="AP339" s="478">
        <f>(AM339*365)*(AN339*0.67*0.005*1)</f>
        <v>5.5635125000000001E-2</v>
      </c>
      <c r="AQ339" s="484"/>
      <c r="AR339" s="478">
        <f>(AM339*365)*(AN339*0.67*0.04*1)</f>
        <v>0.445081</v>
      </c>
      <c r="AS339" s="478">
        <f>(AM339*365)*(AN339*0.67*0.015*1)</f>
        <v>0.16690537499999999</v>
      </c>
      <c r="AT339" s="478">
        <f>(AM339*365)*(AN339*0.67*0.65*1)</f>
        <v>7.2325662499999996</v>
      </c>
      <c r="AU339" s="478">
        <f>(AM339*365)*(AN339*0.67*0.79*1)</f>
        <v>8.7903497500000007</v>
      </c>
      <c r="AV339" s="478">
        <f>(AM339*365)*(AN339*0.67*0.03*1)</f>
        <v>0.33381074999999999</v>
      </c>
      <c r="AW339" s="484"/>
      <c r="AX339" s="478">
        <f>(AM339*365)*(AN339*0.67*0.65*1)</f>
        <v>7.2325662499999996</v>
      </c>
      <c r="AY339" s="478">
        <f t="shared" si="101"/>
        <v>11.127025</v>
      </c>
      <c r="AZ339" s="478">
        <f t="shared" si="102"/>
        <v>1.1127024999999999</v>
      </c>
      <c r="BA339" s="478">
        <f t="shared" si="103"/>
        <v>5.5635125000000001E-2</v>
      </c>
      <c r="BB339" s="478">
        <f>(AM339*365)*(AN339*0.67*0.01*1)</f>
        <v>0.11127025</v>
      </c>
      <c r="BC339" s="478">
        <v>0</v>
      </c>
      <c r="BD339" s="478">
        <v>0</v>
      </c>
      <c r="BE339" s="30"/>
      <c r="BF339" s="30"/>
      <c r="BG339" s="242"/>
      <c r="BH339" s="181" t="s">
        <v>657</v>
      </c>
      <c r="BI339" s="181" t="s">
        <v>623</v>
      </c>
      <c r="BJ339" s="485">
        <f t="shared" si="104"/>
        <v>0.17</v>
      </c>
      <c r="BK339" s="181" t="s">
        <v>624</v>
      </c>
      <c r="BL339" s="486">
        <v>0.2</v>
      </c>
      <c r="BM339" s="486">
        <v>0.5</v>
      </c>
      <c r="BN339" s="487" t="s">
        <v>429</v>
      </c>
      <c r="BO339" s="485">
        <f t="shared" si="105"/>
        <v>1.2445714285714284</v>
      </c>
      <c r="BP339" s="181" t="s">
        <v>625</v>
      </c>
      <c r="BQ339" s="486">
        <v>0.2</v>
      </c>
      <c r="BR339" s="486">
        <v>0.5</v>
      </c>
      <c r="BS339" s="487" t="s">
        <v>429</v>
      </c>
      <c r="BT339" s="39"/>
      <c r="BU339" s="188">
        <v>4.25</v>
      </c>
      <c r="BV339" s="177" t="s">
        <v>561</v>
      </c>
      <c r="BW339" s="39"/>
      <c r="BX339" s="188">
        <v>370.88228571428567</v>
      </c>
      <c r="BY339" s="177" t="s">
        <v>561</v>
      </c>
      <c r="BZ339" s="37"/>
      <c r="CA339" s="39"/>
      <c r="CB339" s="37"/>
      <c r="CC339" s="37"/>
      <c r="CD339" s="39"/>
      <c r="CE339" s="39"/>
      <c r="CF339" s="39"/>
      <c r="CG339" s="39"/>
      <c r="CH339" s="37"/>
      <c r="CI339" s="37"/>
      <c r="CJ339" s="39"/>
      <c r="CK339" s="39"/>
      <c r="CL339" s="39"/>
      <c r="CM339" s="40"/>
      <c r="CN339" s="41">
        <v>0.2</v>
      </c>
      <c r="CO339" s="41">
        <f t="shared" si="97"/>
        <v>0.5</v>
      </c>
      <c r="CW339" s="42" t="s">
        <v>657</v>
      </c>
      <c r="CX339" s="42">
        <v>0.17</v>
      </c>
      <c r="CY339" s="134">
        <f t="shared" si="106"/>
        <v>3.5700000000000003</v>
      </c>
      <c r="CZ339" s="134">
        <f t="shared" si="107"/>
        <v>4.25</v>
      </c>
      <c r="DA339" s="42">
        <v>40</v>
      </c>
      <c r="DB339" s="42">
        <v>0.99</v>
      </c>
      <c r="DC339" s="134">
        <f t="shared" si="108"/>
        <v>39.6</v>
      </c>
      <c r="DD339" s="42">
        <v>0.02</v>
      </c>
      <c r="DE339" s="155">
        <f t="shared" si="109"/>
        <v>1.2445714285714284</v>
      </c>
      <c r="DF339" s="155">
        <f t="shared" si="110"/>
        <v>385.81714285714281</v>
      </c>
      <c r="DG339" s="155">
        <f t="shared" si="111"/>
        <v>370.88228571428567</v>
      </c>
      <c r="DH339" s="156">
        <f t="shared" si="112"/>
        <v>389.38714285714281</v>
      </c>
      <c r="DI339" s="156">
        <f t="shared" si="112"/>
        <v>375.13228571428567</v>
      </c>
      <c r="DJ339" s="40" t="s">
        <v>623</v>
      </c>
      <c r="DK339" s="42" t="s">
        <v>627</v>
      </c>
    </row>
    <row r="340" spans="5:115" s="42" customFormat="1" ht="22.5" customHeight="1" thickBot="1" x14ac:dyDescent="0.5">
      <c r="E340" s="30"/>
      <c r="F340" s="30"/>
      <c r="G340" s="30"/>
      <c r="H340" s="30"/>
      <c r="I340" s="30"/>
      <c r="J340" s="30"/>
      <c r="K340" s="30"/>
      <c r="L340" s="30"/>
      <c r="M340" s="30"/>
      <c r="N340" s="30"/>
      <c r="O340" s="474" t="s">
        <v>658</v>
      </c>
      <c r="P340" s="30"/>
      <c r="Q340" s="30">
        <v>1.37</v>
      </c>
      <c r="R340" s="30">
        <v>30</v>
      </c>
      <c r="S340" s="478">
        <f t="shared" si="98"/>
        <v>0</v>
      </c>
      <c r="T340" s="478">
        <f t="shared" si="113"/>
        <v>0</v>
      </c>
      <c r="U340" s="478">
        <f t="shared" si="113"/>
        <v>0.11786892857142858</v>
      </c>
      <c r="V340" s="478">
        <f t="shared" si="113"/>
        <v>0.11786892857142858</v>
      </c>
      <c r="W340" s="478">
        <f t="shared" si="113"/>
        <v>0</v>
      </c>
      <c r="X340" s="478">
        <f t="shared" si="117"/>
        <v>0.23573785714285717</v>
      </c>
      <c r="Y340" s="478">
        <f t="shared" si="117"/>
        <v>1.6501650000000003</v>
      </c>
      <c r="Z340" s="478">
        <f t="shared" si="117"/>
        <v>0</v>
      </c>
      <c r="AA340" s="478">
        <f t="shared" si="117"/>
        <v>0</v>
      </c>
      <c r="AB340" s="478">
        <f t="shared" si="117"/>
        <v>0.14144271428571431</v>
      </c>
      <c r="AC340" s="478">
        <f t="shared" si="117"/>
        <v>0</v>
      </c>
      <c r="AD340" s="478">
        <f t="shared" si="117"/>
        <v>2.3573785714285718</v>
      </c>
      <c r="AE340" s="478">
        <v>0</v>
      </c>
      <c r="AF340" s="478">
        <f t="shared" si="116"/>
        <v>0.23573785714285717</v>
      </c>
      <c r="AG340" s="30"/>
      <c r="AH340" s="30">
        <v>0.22</v>
      </c>
      <c r="AI340" s="30">
        <v>0</v>
      </c>
      <c r="AJ340" s="30"/>
      <c r="AK340" s="30">
        <v>0</v>
      </c>
      <c r="AL340" s="483">
        <v>0.3</v>
      </c>
      <c r="AM340" s="30">
        <v>0.35</v>
      </c>
      <c r="AN340" s="30">
        <v>0.13</v>
      </c>
      <c r="AO340" s="478">
        <f>(AM340*365)*(AN340*0.67*0.02*1)</f>
        <v>0.2225405</v>
      </c>
      <c r="AP340" s="478">
        <f>(AM340*365)*(AN340*0.67*0.01*1)</f>
        <v>0.11127025</v>
      </c>
      <c r="AQ340" s="484"/>
      <c r="AR340" s="478">
        <f>(AM340*365)*(AN340*0.67*0.05*1)</f>
        <v>0.55635124999999996</v>
      </c>
      <c r="AS340" s="478">
        <f>(AM340*365)*(AN340*0.67*0.02*1)</f>
        <v>0.2225405</v>
      </c>
      <c r="AT340" s="478">
        <f>(AM340*365)*(AN340*0.67*0.8*1)</f>
        <v>8.9016199999999994</v>
      </c>
      <c r="AU340" s="478">
        <f>(AM340*365)*(AN340*0.67*0.8*1)</f>
        <v>8.9016199999999994</v>
      </c>
      <c r="AV340" s="478">
        <f>(AM340*365)*(AN340*0.67*0.3*1)</f>
        <v>3.3381075</v>
      </c>
      <c r="AW340" s="484"/>
      <c r="AX340" s="478">
        <f>(AM340*365)*(AN340*0.67*0.8*1)</f>
        <v>8.9016199999999994</v>
      </c>
      <c r="AY340" s="478">
        <f t="shared" si="101"/>
        <v>11.127025</v>
      </c>
      <c r="AZ340" s="478">
        <f t="shared" si="102"/>
        <v>1.1127024999999999</v>
      </c>
      <c r="BA340" s="478">
        <f t="shared" si="103"/>
        <v>5.5635125000000001E-2</v>
      </c>
      <c r="BB340" s="478">
        <f>(AM340*365)*(AN340*0.67*0.015*1)</f>
        <v>0.16690537499999999</v>
      </c>
      <c r="BC340" s="478">
        <v>0</v>
      </c>
      <c r="BD340" s="478">
        <v>0</v>
      </c>
      <c r="BE340" s="30"/>
      <c r="BF340" s="30"/>
      <c r="BG340" s="242"/>
      <c r="BH340" s="181" t="s">
        <v>658</v>
      </c>
      <c r="BI340" s="181" t="s">
        <v>623</v>
      </c>
      <c r="BJ340" s="485">
        <f t="shared" si="104"/>
        <v>0.22</v>
      </c>
      <c r="BK340" s="181" t="s">
        <v>624</v>
      </c>
      <c r="BL340" s="486">
        <v>0.2</v>
      </c>
      <c r="BM340" s="486">
        <v>0.5</v>
      </c>
      <c r="BN340" s="487" t="s">
        <v>429</v>
      </c>
      <c r="BO340" s="485">
        <f t="shared" si="105"/>
        <v>1.2445714285714284</v>
      </c>
      <c r="BP340" s="181" t="s">
        <v>625</v>
      </c>
      <c r="BQ340" s="486">
        <v>0.2</v>
      </c>
      <c r="BR340" s="486">
        <v>0.5</v>
      </c>
      <c r="BS340" s="487" t="s">
        <v>429</v>
      </c>
      <c r="BT340" s="157"/>
      <c r="BU340" s="188">
        <v>5.5</v>
      </c>
      <c r="BV340" s="177" t="s">
        <v>561</v>
      </c>
      <c r="BW340" s="157"/>
      <c r="BX340" s="188">
        <v>370.88228571428567</v>
      </c>
      <c r="BY340" s="177" t="s">
        <v>561</v>
      </c>
      <c r="BZ340" s="39"/>
      <c r="CA340" s="39"/>
      <c r="CB340" s="37"/>
      <c r="CC340" s="37"/>
      <c r="CD340" s="39"/>
      <c r="CE340" s="39"/>
      <c r="CF340" s="39"/>
      <c r="CG340" s="39"/>
      <c r="CH340" s="37"/>
      <c r="CI340" s="37"/>
      <c r="CJ340" s="39"/>
      <c r="CK340" s="39"/>
      <c r="CL340" s="39"/>
      <c r="CM340" s="40"/>
      <c r="CN340" s="41">
        <v>0.2</v>
      </c>
      <c r="CO340" s="41">
        <f t="shared" si="97"/>
        <v>0.5</v>
      </c>
      <c r="CW340" s="42" t="s">
        <v>658</v>
      </c>
      <c r="CX340" s="42">
        <v>0.22</v>
      </c>
      <c r="CY340" s="134">
        <f t="shared" si="106"/>
        <v>4.62</v>
      </c>
      <c r="CZ340" s="134">
        <f t="shared" si="107"/>
        <v>5.5</v>
      </c>
      <c r="DA340" s="42">
        <v>40</v>
      </c>
      <c r="DB340" s="42">
        <v>0.99</v>
      </c>
      <c r="DC340" s="134">
        <f t="shared" si="108"/>
        <v>39.6</v>
      </c>
      <c r="DD340" s="42">
        <v>0.02</v>
      </c>
      <c r="DE340" s="155">
        <f t="shared" si="109"/>
        <v>1.2445714285714284</v>
      </c>
      <c r="DF340" s="155">
        <f t="shared" si="110"/>
        <v>385.81714285714281</v>
      </c>
      <c r="DG340" s="155">
        <f t="shared" si="111"/>
        <v>370.88228571428567</v>
      </c>
      <c r="DH340" s="156">
        <f t="shared" si="112"/>
        <v>390.43714285714282</v>
      </c>
      <c r="DI340" s="156">
        <f t="shared" si="112"/>
        <v>376.38228571428567</v>
      </c>
      <c r="DJ340" s="40" t="s">
        <v>623</v>
      </c>
      <c r="DK340" s="42" t="s">
        <v>627</v>
      </c>
    </row>
    <row r="341" spans="5:115" s="42" customFormat="1" ht="24.75" customHeight="1" thickBot="1" x14ac:dyDescent="0.5">
      <c r="E341" s="30"/>
      <c r="F341" s="30"/>
      <c r="G341" s="30"/>
      <c r="H341" s="30"/>
      <c r="I341" s="30"/>
      <c r="J341" s="30"/>
      <c r="K341" s="30"/>
      <c r="L341" s="30"/>
      <c r="M341" s="30"/>
      <c r="N341" s="30"/>
      <c r="O341" s="474" t="s">
        <v>659</v>
      </c>
      <c r="P341" s="30"/>
      <c r="Q341" s="30">
        <v>1.37</v>
      </c>
      <c r="R341" s="30">
        <v>30</v>
      </c>
      <c r="S341" s="478">
        <f t="shared" ref="S341:S349" si="118">((($Q341*($R341/1000)*365)*1)*S$315)*(44/28)</f>
        <v>0</v>
      </c>
      <c r="T341" s="478">
        <f t="shared" si="113"/>
        <v>0</v>
      </c>
      <c r="U341" s="478">
        <f t="shared" si="113"/>
        <v>0.11786892857142858</v>
      </c>
      <c r="V341" s="478">
        <f t="shared" si="113"/>
        <v>0.11786892857142858</v>
      </c>
      <c r="W341" s="478">
        <f t="shared" si="113"/>
        <v>0</v>
      </c>
      <c r="X341" s="478">
        <f t="shared" si="117"/>
        <v>0.23573785714285717</v>
      </c>
      <c r="Y341" s="478">
        <f t="shared" si="117"/>
        <v>1.6501650000000003</v>
      </c>
      <c r="Z341" s="478">
        <f t="shared" si="117"/>
        <v>0</v>
      </c>
      <c r="AA341" s="478">
        <f t="shared" si="117"/>
        <v>0</v>
      </c>
      <c r="AB341" s="478">
        <f t="shared" si="117"/>
        <v>0.14144271428571431</v>
      </c>
      <c r="AC341" s="478">
        <f t="shared" si="117"/>
        <v>0</v>
      </c>
      <c r="AD341" s="478">
        <f t="shared" si="117"/>
        <v>2.3573785714285718</v>
      </c>
      <c r="AE341" s="478">
        <v>0</v>
      </c>
      <c r="AF341" s="478">
        <f t="shared" ref="AF341:AF349" si="119">((($Q341*($R341/1000)*365)*1)*AF$315)*(44/28)</f>
        <v>0.23573785714285717</v>
      </c>
      <c r="AG341" s="30"/>
      <c r="AH341" s="30">
        <v>1.0900000000000001</v>
      </c>
      <c r="AI341" s="30">
        <v>0</v>
      </c>
      <c r="AJ341" s="30"/>
      <c r="AK341" s="30">
        <v>0</v>
      </c>
      <c r="AL341" s="483">
        <v>0.3</v>
      </c>
      <c r="AM341" s="30">
        <v>1.72</v>
      </c>
      <c r="AN341" s="30">
        <v>0.26</v>
      </c>
      <c r="AO341" s="478">
        <f>(AM341*365)*(AN341*0.67*0.01*1)</f>
        <v>1.0936276</v>
      </c>
      <c r="AP341" s="478">
        <f>(AM341*365)*(AN341*0.67*0.001*1)</f>
        <v>0.10936276000000002</v>
      </c>
      <c r="AQ341" s="484"/>
      <c r="AR341" s="478">
        <f>(AM341*365)*(AN341*0.67*0.02*1)</f>
        <v>2.1872552000000001</v>
      </c>
      <c r="AS341" s="478">
        <f>(AM341*365)*(AN341*0.67*0.01*1)</f>
        <v>1.0936276</v>
      </c>
      <c r="AT341" s="478">
        <f>(AM341*365)*(AN341*0.67*0.25*1)</f>
        <v>27.340690000000002</v>
      </c>
      <c r="AU341" s="478">
        <f>(AM341*365)*(AN341*0.67*0.73*1)</f>
        <v>79.83481479999999</v>
      </c>
      <c r="AV341" s="478">
        <f>(AM341*365)*(AN341*0.67*0.03*1)</f>
        <v>3.2808828000000001</v>
      </c>
      <c r="AW341" s="484"/>
      <c r="AX341" s="478">
        <f>(AM341*365)*(AN341*0.67*0.25*1)</f>
        <v>27.340690000000002</v>
      </c>
      <c r="AY341" s="478">
        <f t="shared" si="101"/>
        <v>109.36276000000001</v>
      </c>
      <c r="AZ341" s="478">
        <f t="shared" si="102"/>
        <v>10.936275999999999</v>
      </c>
      <c r="BA341" s="478">
        <f t="shared" si="103"/>
        <v>0.54681380000000002</v>
      </c>
      <c r="BB341" s="478">
        <f>(AM341*365)*(AN341*0.67*0.005*1)</f>
        <v>0.54681380000000002</v>
      </c>
      <c r="BC341" s="478">
        <v>0</v>
      </c>
      <c r="BD341" s="478">
        <v>0</v>
      </c>
      <c r="BE341" s="30"/>
      <c r="BF341" s="30"/>
      <c r="BG341" s="242"/>
      <c r="BH341" s="181" t="s">
        <v>659</v>
      </c>
      <c r="BI341" s="181" t="s">
        <v>623</v>
      </c>
      <c r="BJ341" s="485">
        <f t="shared" si="104"/>
        <v>1.0900000000000001</v>
      </c>
      <c r="BK341" s="181" t="s">
        <v>624</v>
      </c>
      <c r="BL341" s="486">
        <v>0.2</v>
      </c>
      <c r="BM341" s="486">
        <v>0.5</v>
      </c>
      <c r="BN341" s="487" t="s">
        <v>429</v>
      </c>
      <c r="BO341" s="485">
        <f t="shared" si="105"/>
        <v>1.2445714285714284</v>
      </c>
      <c r="BP341" s="181" t="s">
        <v>625</v>
      </c>
      <c r="BQ341" s="486">
        <v>0.2</v>
      </c>
      <c r="BR341" s="486">
        <v>0.5</v>
      </c>
      <c r="BS341" s="487" t="s">
        <v>429</v>
      </c>
      <c r="BT341" s="157"/>
      <c r="BU341" s="188">
        <v>27.250000000000004</v>
      </c>
      <c r="BV341" s="177" t="s">
        <v>561</v>
      </c>
      <c r="BW341" s="157"/>
      <c r="BX341" s="188">
        <v>370.88228571428567</v>
      </c>
      <c r="BY341" s="177" t="s">
        <v>561</v>
      </c>
      <c r="BZ341" s="39"/>
      <c r="CA341" s="39"/>
      <c r="CB341" s="37"/>
      <c r="CC341" s="37"/>
      <c r="CD341" s="39"/>
      <c r="CE341" s="39"/>
      <c r="CF341" s="39"/>
      <c r="CG341" s="39"/>
      <c r="CH341" s="37"/>
      <c r="CI341" s="37"/>
      <c r="CJ341" s="39"/>
      <c r="CK341" s="39"/>
      <c r="CL341" s="39"/>
      <c r="CM341" s="40"/>
      <c r="CN341" s="41">
        <v>0.2</v>
      </c>
      <c r="CO341" s="41">
        <f t="shared" si="97"/>
        <v>0.5</v>
      </c>
      <c r="CW341" s="42" t="s">
        <v>659</v>
      </c>
      <c r="CX341" s="42">
        <v>1.0900000000000001</v>
      </c>
      <c r="CY341" s="134">
        <f t="shared" si="106"/>
        <v>22.89</v>
      </c>
      <c r="CZ341" s="134">
        <f t="shared" si="107"/>
        <v>27.250000000000004</v>
      </c>
      <c r="DA341" s="42">
        <v>40</v>
      </c>
      <c r="DB341" s="42">
        <v>0.99</v>
      </c>
      <c r="DC341" s="134">
        <f t="shared" si="108"/>
        <v>39.6</v>
      </c>
      <c r="DD341" s="42">
        <v>0.02</v>
      </c>
      <c r="DE341" s="155">
        <f t="shared" si="109"/>
        <v>1.2445714285714284</v>
      </c>
      <c r="DF341" s="155">
        <f t="shared" si="110"/>
        <v>385.81714285714281</v>
      </c>
      <c r="DG341" s="155">
        <f t="shared" si="111"/>
        <v>370.88228571428567</v>
      </c>
      <c r="DH341" s="156">
        <f t="shared" si="112"/>
        <v>408.7071428571428</v>
      </c>
      <c r="DI341" s="156">
        <f t="shared" si="112"/>
        <v>398.13228571428567</v>
      </c>
      <c r="DJ341" s="40" t="s">
        <v>623</v>
      </c>
      <c r="DK341" s="42" t="s">
        <v>627</v>
      </c>
    </row>
    <row r="342" spans="5:115" s="42" customFormat="1" ht="18" thickBot="1" x14ac:dyDescent="0.5">
      <c r="E342" s="30"/>
      <c r="F342" s="30"/>
      <c r="G342" s="30"/>
      <c r="H342" s="30"/>
      <c r="I342" s="30"/>
      <c r="J342" s="30"/>
      <c r="K342" s="30"/>
      <c r="L342" s="30"/>
      <c r="M342" s="30"/>
      <c r="N342" s="30"/>
      <c r="O342" s="474" t="s">
        <v>660</v>
      </c>
      <c r="P342" s="30"/>
      <c r="Q342" s="30">
        <v>1.37</v>
      </c>
      <c r="R342" s="30">
        <v>30</v>
      </c>
      <c r="S342" s="478">
        <f t="shared" si="118"/>
        <v>0</v>
      </c>
      <c r="T342" s="478">
        <f t="shared" si="113"/>
        <v>0</v>
      </c>
      <c r="U342" s="478">
        <f t="shared" si="113"/>
        <v>0.11786892857142858</v>
      </c>
      <c r="V342" s="478">
        <f t="shared" si="113"/>
        <v>0.11786892857142858</v>
      </c>
      <c r="W342" s="478">
        <f t="shared" si="113"/>
        <v>0</v>
      </c>
      <c r="X342" s="478">
        <f t="shared" si="117"/>
        <v>0.23573785714285717</v>
      </c>
      <c r="Y342" s="478">
        <f t="shared" si="117"/>
        <v>1.6501650000000003</v>
      </c>
      <c r="Z342" s="478">
        <f t="shared" si="117"/>
        <v>0</v>
      </c>
      <c r="AA342" s="478">
        <f t="shared" si="117"/>
        <v>0</v>
      </c>
      <c r="AB342" s="478">
        <f t="shared" si="117"/>
        <v>0.14144271428571431</v>
      </c>
      <c r="AC342" s="478">
        <f t="shared" si="117"/>
        <v>0</v>
      </c>
      <c r="AD342" s="478">
        <f t="shared" si="117"/>
        <v>2.3573785714285718</v>
      </c>
      <c r="AE342" s="478">
        <v>0</v>
      </c>
      <c r="AF342" s="478">
        <f t="shared" si="119"/>
        <v>0.23573785714285717</v>
      </c>
      <c r="AG342" s="30"/>
      <c r="AH342" s="30">
        <v>1.64</v>
      </c>
      <c r="AI342" s="30">
        <v>0</v>
      </c>
      <c r="AJ342" s="30"/>
      <c r="AK342" s="30">
        <v>0</v>
      </c>
      <c r="AL342" s="483">
        <v>0.3</v>
      </c>
      <c r="AM342" s="30">
        <v>1.72</v>
      </c>
      <c r="AN342" s="30">
        <v>0.26</v>
      </c>
      <c r="AO342" s="478">
        <f>(AM342*365)*(AN342*0.67*0.015*1)</f>
        <v>1.6404414</v>
      </c>
      <c r="AP342" s="478">
        <f>(AM342*365)*(AN342*0.67*0.005*1)</f>
        <v>0.54681380000000002</v>
      </c>
      <c r="AQ342" s="484"/>
      <c r="AR342" s="478">
        <f>(AM342*365)*(AN342*0.67*0.04*1)</f>
        <v>4.3745104000000001</v>
      </c>
      <c r="AS342" s="478">
        <f>(AM342*365)*(AN342*0.67*0.015*1)</f>
        <v>1.6404414</v>
      </c>
      <c r="AT342" s="478">
        <f>(AM342*365)*(AN342*0.67*0.65*1)</f>
        <v>71.085794000000007</v>
      </c>
      <c r="AU342" s="478">
        <f>(AM342*365)*(AN342*0.67*0.79*1)</f>
        <v>86.396580400000005</v>
      </c>
      <c r="AV342" s="478">
        <f>(AM342*365)*(AN342*0.67*0.03*1)</f>
        <v>3.2808828000000001</v>
      </c>
      <c r="AW342" s="484"/>
      <c r="AX342" s="478">
        <f>(AM342*365)*(AN342*0.67*0.65*1)</f>
        <v>71.085794000000007</v>
      </c>
      <c r="AY342" s="478">
        <f t="shared" si="101"/>
        <v>109.36276000000001</v>
      </c>
      <c r="AZ342" s="478">
        <f t="shared" si="102"/>
        <v>10.936275999999999</v>
      </c>
      <c r="BA342" s="478">
        <f t="shared" si="103"/>
        <v>0.54681380000000002</v>
      </c>
      <c r="BB342" s="478">
        <f>(AM342*365)*(AN342*0.67*0.01*1)</f>
        <v>1.0936276</v>
      </c>
      <c r="BC342" s="478">
        <v>0</v>
      </c>
      <c r="BD342" s="478">
        <v>0</v>
      </c>
      <c r="BE342" s="30"/>
      <c r="BF342" s="30"/>
      <c r="BG342" s="242"/>
      <c r="BH342" s="181" t="s">
        <v>660</v>
      </c>
      <c r="BI342" s="181" t="s">
        <v>623</v>
      </c>
      <c r="BJ342" s="485">
        <f t="shared" si="104"/>
        <v>1.64</v>
      </c>
      <c r="BK342" s="181" t="s">
        <v>624</v>
      </c>
      <c r="BL342" s="486">
        <v>0.2</v>
      </c>
      <c r="BM342" s="486">
        <v>0.5</v>
      </c>
      <c r="BN342" s="487" t="s">
        <v>429</v>
      </c>
      <c r="BO342" s="485">
        <f t="shared" si="105"/>
        <v>1.2445714285714284</v>
      </c>
      <c r="BP342" s="181" t="s">
        <v>625</v>
      </c>
      <c r="BQ342" s="486">
        <v>0.2</v>
      </c>
      <c r="BR342" s="486">
        <v>0.5</v>
      </c>
      <c r="BS342" s="487" t="s">
        <v>429</v>
      </c>
      <c r="BT342" s="157"/>
      <c r="BU342" s="188">
        <v>41</v>
      </c>
      <c r="BV342" s="177" t="s">
        <v>561</v>
      </c>
      <c r="BW342" s="157"/>
      <c r="BX342" s="188">
        <v>370.88228571428567</v>
      </c>
      <c r="BY342" s="177" t="s">
        <v>561</v>
      </c>
      <c r="BZ342" s="39"/>
      <c r="CA342" s="39"/>
      <c r="CB342" s="37"/>
      <c r="CC342" s="37"/>
      <c r="CD342" s="39"/>
      <c r="CE342" s="39"/>
      <c r="CF342" s="39"/>
      <c r="CG342" s="39"/>
      <c r="CH342" s="37"/>
      <c r="CI342" s="37"/>
      <c r="CJ342" s="39"/>
      <c r="CK342" s="39"/>
      <c r="CL342" s="39"/>
      <c r="CM342" s="40"/>
      <c r="CN342" s="41">
        <v>0.2</v>
      </c>
      <c r="CO342" s="41">
        <f t="shared" si="97"/>
        <v>0.5</v>
      </c>
      <c r="CW342" s="42" t="s">
        <v>660</v>
      </c>
      <c r="CX342" s="42">
        <v>1.64</v>
      </c>
      <c r="CY342" s="134">
        <f t="shared" si="106"/>
        <v>34.44</v>
      </c>
      <c r="CZ342" s="134">
        <f t="shared" si="107"/>
        <v>41</v>
      </c>
      <c r="DA342" s="42">
        <v>40</v>
      </c>
      <c r="DB342" s="42">
        <v>0.99</v>
      </c>
      <c r="DC342" s="134">
        <f t="shared" si="108"/>
        <v>39.6</v>
      </c>
      <c r="DD342" s="42">
        <v>0.02</v>
      </c>
      <c r="DE342" s="155">
        <f t="shared" si="109"/>
        <v>1.2445714285714284</v>
      </c>
      <c r="DF342" s="155">
        <f t="shared" si="110"/>
        <v>385.81714285714281</v>
      </c>
      <c r="DG342" s="155">
        <f t="shared" si="111"/>
        <v>370.88228571428567</v>
      </c>
      <c r="DH342" s="156">
        <f t="shared" si="112"/>
        <v>420.25714285714281</v>
      </c>
      <c r="DI342" s="156">
        <f t="shared" si="112"/>
        <v>411.88228571428567</v>
      </c>
      <c r="DJ342" s="40" t="s">
        <v>623</v>
      </c>
      <c r="DK342" s="42" t="s">
        <v>627</v>
      </c>
    </row>
    <row r="343" spans="5:115" s="42" customFormat="1" ht="18" thickBot="1" x14ac:dyDescent="0.5">
      <c r="E343" s="30"/>
      <c r="F343" s="30"/>
      <c r="G343" s="30"/>
      <c r="H343" s="30"/>
      <c r="I343" s="30"/>
      <c r="J343" s="30"/>
      <c r="K343" s="30"/>
      <c r="L343" s="30"/>
      <c r="M343" s="30"/>
      <c r="N343" s="30"/>
      <c r="O343" s="474" t="s">
        <v>661</v>
      </c>
      <c r="P343" s="30"/>
      <c r="Q343" s="30">
        <v>1.37</v>
      </c>
      <c r="R343" s="30">
        <v>30</v>
      </c>
      <c r="S343" s="478">
        <f t="shared" si="118"/>
        <v>0</v>
      </c>
      <c r="T343" s="478">
        <f t="shared" si="113"/>
        <v>0</v>
      </c>
      <c r="U343" s="478">
        <f t="shared" si="113"/>
        <v>0.11786892857142858</v>
      </c>
      <c r="V343" s="478">
        <f t="shared" si="113"/>
        <v>0.11786892857142858</v>
      </c>
      <c r="W343" s="478">
        <f t="shared" si="113"/>
        <v>0</v>
      </c>
      <c r="X343" s="478">
        <f t="shared" si="117"/>
        <v>0.23573785714285717</v>
      </c>
      <c r="Y343" s="478">
        <f t="shared" si="117"/>
        <v>1.6501650000000003</v>
      </c>
      <c r="Z343" s="478">
        <f t="shared" si="117"/>
        <v>0</v>
      </c>
      <c r="AA343" s="478">
        <f t="shared" si="117"/>
        <v>0</v>
      </c>
      <c r="AB343" s="478">
        <f t="shared" si="117"/>
        <v>0.14144271428571431</v>
      </c>
      <c r="AC343" s="478">
        <f t="shared" si="117"/>
        <v>0</v>
      </c>
      <c r="AD343" s="478">
        <f t="shared" si="117"/>
        <v>2.3573785714285718</v>
      </c>
      <c r="AE343" s="478">
        <v>0</v>
      </c>
      <c r="AF343" s="478">
        <f t="shared" si="119"/>
        <v>0.23573785714285717</v>
      </c>
      <c r="AG343" s="30"/>
      <c r="AH343" s="30">
        <v>2.19</v>
      </c>
      <c r="AI343" s="30">
        <v>0</v>
      </c>
      <c r="AJ343" s="30"/>
      <c r="AK343" s="30">
        <v>0</v>
      </c>
      <c r="AL343" s="483">
        <v>0.3</v>
      </c>
      <c r="AM343" s="30">
        <v>1.72</v>
      </c>
      <c r="AN343" s="30">
        <v>0.26</v>
      </c>
      <c r="AO343" s="478">
        <f>(AM343*365)*(AN343*0.67*0.02*1)</f>
        <v>2.1872552000000001</v>
      </c>
      <c r="AP343" s="478">
        <f>(AM343*365)*(AN343*0.67*0.01*1)</f>
        <v>1.0936276</v>
      </c>
      <c r="AQ343" s="484"/>
      <c r="AR343" s="478">
        <f>(AM343*365)*(AN343*0.67*0.05*1)</f>
        <v>5.4681379999999997</v>
      </c>
      <c r="AS343" s="478">
        <f>(AM343*365)*(AN343*0.67*0.02*1)</f>
        <v>2.1872552000000001</v>
      </c>
      <c r="AT343" s="478">
        <f>(AM343*365)*(AN343*0.67*0.8*1)</f>
        <v>87.490207999999996</v>
      </c>
      <c r="AU343" s="478">
        <f>(AM343*365)*(AN343*0.67*0.8*1)</f>
        <v>87.490207999999996</v>
      </c>
      <c r="AV343" s="478">
        <f>(AM343*365)*(AN343*0.67*0.3*1)</f>
        <v>32.808828000000005</v>
      </c>
      <c r="AW343" s="484"/>
      <c r="AX343" s="478">
        <f>(AM343*365)*(AN343*0.67*0.8*1)</f>
        <v>87.490207999999996</v>
      </c>
      <c r="AY343" s="478">
        <f t="shared" si="101"/>
        <v>109.36276000000001</v>
      </c>
      <c r="AZ343" s="478">
        <f t="shared" si="102"/>
        <v>10.936275999999999</v>
      </c>
      <c r="BA343" s="478">
        <f t="shared" si="103"/>
        <v>0.54681380000000002</v>
      </c>
      <c r="BB343" s="478">
        <f>(AM343*365)*(AN343*0.67*0.015*1)</f>
        <v>1.6404414</v>
      </c>
      <c r="BC343" s="478">
        <v>0</v>
      </c>
      <c r="BD343" s="478">
        <v>0</v>
      </c>
      <c r="BE343" s="30"/>
      <c r="BF343" s="30"/>
      <c r="BG343" s="242"/>
      <c r="BH343" s="181" t="s">
        <v>661</v>
      </c>
      <c r="BI343" s="181" t="s">
        <v>623</v>
      </c>
      <c r="BJ343" s="485">
        <f t="shared" si="104"/>
        <v>2.1800000000000002</v>
      </c>
      <c r="BK343" s="181" t="s">
        <v>624</v>
      </c>
      <c r="BL343" s="486">
        <v>0.2</v>
      </c>
      <c r="BM343" s="486">
        <v>0.5</v>
      </c>
      <c r="BN343" s="487" t="s">
        <v>429</v>
      </c>
      <c r="BO343" s="485">
        <f t="shared" si="105"/>
        <v>1.2445714285714284</v>
      </c>
      <c r="BP343" s="181" t="s">
        <v>625</v>
      </c>
      <c r="BQ343" s="486">
        <v>0.2</v>
      </c>
      <c r="BR343" s="486">
        <v>0.5</v>
      </c>
      <c r="BS343" s="487" t="s">
        <v>429</v>
      </c>
      <c r="BT343" s="158"/>
      <c r="BU343" s="188">
        <v>54.500000000000007</v>
      </c>
      <c r="BV343" s="177" t="s">
        <v>561</v>
      </c>
      <c r="BW343" s="158"/>
      <c r="BX343" s="188">
        <v>370.88228571428567</v>
      </c>
      <c r="BY343" s="177" t="s">
        <v>561</v>
      </c>
      <c r="BZ343" s="37"/>
      <c r="CA343" s="39"/>
      <c r="CB343" s="37"/>
      <c r="CC343" s="37"/>
      <c r="CD343" s="39"/>
      <c r="CE343" s="39"/>
      <c r="CF343" s="39"/>
      <c r="CG343" s="39"/>
      <c r="CH343" s="37"/>
      <c r="CI343" s="37"/>
      <c r="CJ343" s="39"/>
      <c r="CK343" s="39"/>
      <c r="CL343" s="39"/>
      <c r="CM343" s="40"/>
      <c r="CN343" s="41">
        <v>0.2</v>
      </c>
      <c r="CO343" s="41">
        <f t="shared" si="97"/>
        <v>0.5</v>
      </c>
      <c r="CW343" s="42" t="s">
        <v>661</v>
      </c>
      <c r="CX343" s="42">
        <v>2.1800000000000002</v>
      </c>
      <c r="CY343" s="134">
        <f t="shared" si="106"/>
        <v>45.78</v>
      </c>
      <c r="CZ343" s="134">
        <f t="shared" si="107"/>
        <v>54.500000000000007</v>
      </c>
      <c r="DA343" s="42">
        <v>40</v>
      </c>
      <c r="DB343" s="42">
        <v>0.99</v>
      </c>
      <c r="DC343" s="134">
        <f t="shared" si="108"/>
        <v>39.6</v>
      </c>
      <c r="DD343" s="42">
        <v>0.02</v>
      </c>
      <c r="DE343" s="155">
        <f t="shared" si="109"/>
        <v>1.2445714285714284</v>
      </c>
      <c r="DF343" s="155">
        <f t="shared" si="110"/>
        <v>385.81714285714281</v>
      </c>
      <c r="DG343" s="155">
        <f t="shared" si="111"/>
        <v>370.88228571428567</v>
      </c>
      <c r="DH343" s="156">
        <f t="shared" si="112"/>
        <v>431.59714285714279</v>
      </c>
      <c r="DI343" s="156">
        <f t="shared" si="112"/>
        <v>425.38228571428567</v>
      </c>
      <c r="DJ343" s="40" t="s">
        <v>623</v>
      </c>
      <c r="DK343" s="42" t="s">
        <v>627</v>
      </c>
    </row>
    <row r="344" spans="5:115" s="42" customFormat="1" ht="18" thickBot="1" x14ac:dyDescent="0.5">
      <c r="E344" s="30"/>
      <c r="F344" s="30"/>
      <c r="G344" s="30"/>
      <c r="H344" s="30"/>
      <c r="I344" s="30"/>
      <c r="J344" s="30"/>
      <c r="K344" s="30"/>
      <c r="L344" s="30"/>
      <c r="M344" s="30"/>
      <c r="N344" s="30"/>
      <c r="O344" s="474" t="s">
        <v>662</v>
      </c>
      <c r="P344" s="30"/>
      <c r="Q344" s="30">
        <v>1.37</v>
      </c>
      <c r="R344" s="30">
        <v>30</v>
      </c>
      <c r="S344" s="478">
        <f t="shared" si="118"/>
        <v>0</v>
      </c>
      <c r="T344" s="478">
        <f t="shared" si="113"/>
        <v>0</v>
      </c>
      <c r="U344" s="478">
        <f t="shared" si="113"/>
        <v>0.11786892857142858</v>
      </c>
      <c r="V344" s="478">
        <f t="shared" si="113"/>
        <v>0.11786892857142858</v>
      </c>
      <c r="W344" s="478">
        <f t="shared" si="113"/>
        <v>0</v>
      </c>
      <c r="X344" s="478">
        <f t="shared" si="117"/>
        <v>0.23573785714285717</v>
      </c>
      <c r="Y344" s="478">
        <f t="shared" si="117"/>
        <v>1.6501650000000003</v>
      </c>
      <c r="Z344" s="478">
        <f t="shared" si="117"/>
        <v>0</v>
      </c>
      <c r="AA344" s="478">
        <f t="shared" si="117"/>
        <v>0</v>
      </c>
      <c r="AB344" s="478">
        <f t="shared" si="117"/>
        <v>0.14144271428571431</v>
      </c>
      <c r="AC344" s="478">
        <f t="shared" si="117"/>
        <v>0</v>
      </c>
      <c r="AD344" s="478">
        <f t="shared" si="117"/>
        <v>2.3573785714285718</v>
      </c>
      <c r="AE344" s="478">
        <v>0</v>
      </c>
      <c r="AF344" s="478">
        <f t="shared" si="119"/>
        <v>0.23573785714285717</v>
      </c>
      <c r="AG344" s="30"/>
      <c r="AH344" s="30">
        <v>0.6</v>
      </c>
      <c r="AI344" s="30">
        <v>0</v>
      </c>
      <c r="AJ344" s="30"/>
      <c r="AK344" s="30">
        <v>0</v>
      </c>
      <c r="AL344" s="483">
        <v>0.3</v>
      </c>
      <c r="AM344" s="30">
        <v>0.94</v>
      </c>
      <c r="AN344" s="30">
        <v>0.26</v>
      </c>
      <c r="AO344" s="478">
        <f>(AM344*365)*(AN344*0.67*0.01*1)</f>
        <v>0.59768019999999999</v>
      </c>
      <c r="AP344" s="478">
        <f>(AM344*365)*(AN344*0.67*0.001*1)</f>
        <v>5.9768020000000005E-2</v>
      </c>
      <c r="AQ344" s="484"/>
      <c r="AR344" s="478">
        <f>(AM344*365)*(AN344*0.67*0.02*1)</f>
        <v>1.1953604</v>
      </c>
      <c r="AS344" s="478">
        <f>(AM344*365)*(AN344*0.67*0.01*1)</f>
        <v>0.59768019999999999</v>
      </c>
      <c r="AT344" s="478">
        <f>(AM344*365)*(AN344*0.67*0.25*1)</f>
        <v>14.942005</v>
      </c>
      <c r="AU344" s="478">
        <f>(AM344*365)*(AN344*0.67*0.73*1)</f>
        <v>43.630654599999993</v>
      </c>
      <c r="AV344" s="478">
        <f>(AM344*365)*(AN344*0.67*0.03*1)</f>
        <v>1.7930406000000001</v>
      </c>
      <c r="AW344" s="484"/>
      <c r="AX344" s="478">
        <f>(AM344*365)*(AN344*0.67*0.25*1)</f>
        <v>14.942005</v>
      </c>
      <c r="AY344" s="478">
        <f t="shared" si="101"/>
        <v>59.76802</v>
      </c>
      <c r="AZ344" s="478">
        <f t="shared" si="102"/>
        <v>5.9768020000000002</v>
      </c>
      <c r="BA344" s="478">
        <f t="shared" si="103"/>
        <v>0.2988401</v>
      </c>
      <c r="BB344" s="478">
        <f>(AM344*365)*(AN344*0.67*0.005*1)</f>
        <v>0.2988401</v>
      </c>
      <c r="BC344" s="478">
        <v>0</v>
      </c>
      <c r="BD344" s="478">
        <v>0</v>
      </c>
      <c r="BE344" s="30"/>
      <c r="BF344" s="30"/>
      <c r="BG344" s="242"/>
      <c r="BH344" s="181" t="s">
        <v>662</v>
      </c>
      <c r="BI344" s="181" t="s">
        <v>623</v>
      </c>
      <c r="BJ344" s="485">
        <f t="shared" si="104"/>
        <v>0.6</v>
      </c>
      <c r="BK344" s="181" t="s">
        <v>624</v>
      </c>
      <c r="BL344" s="486">
        <v>0.2</v>
      </c>
      <c r="BM344" s="486">
        <v>0.5</v>
      </c>
      <c r="BN344" s="487" t="s">
        <v>429</v>
      </c>
      <c r="BO344" s="485">
        <f t="shared" si="105"/>
        <v>1.2445714285714284</v>
      </c>
      <c r="BP344" s="181" t="s">
        <v>625</v>
      </c>
      <c r="BQ344" s="486">
        <v>0.2</v>
      </c>
      <c r="BR344" s="486">
        <v>0.5</v>
      </c>
      <c r="BS344" s="487" t="s">
        <v>429</v>
      </c>
      <c r="BT344" s="158"/>
      <c r="BU344" s="188">
        <v>15</v>
      </c>
      <c r="BV344" s="177" t="s">
        <v>561</v>
      </c>
      <c r="BW344" s="158"/>
      <c r="BX344" s="188">
        <v>370.88228571428567</v>
      </c>
      <c r="BY344" s="177" t="s">
        <v>561</v>
      </c>
      <c r="BZ344" s="37"/>
      <c r="CA344" s="39"/>
      <c r="CB344" s="37"/>
      <c r="CC344" s="37"/>
      <c r="CD344" s="39"/>
      <c r="CE344" s="39"/>
      <c r="CF344" s="39"/>
      <c r="CG344" s="39"/>
      <c r="CH344" s="37"/>
      <c r="CI344" s="37"/>
      <c r="CJ344" s="39"/>
      <c r="CK344" s="39"/>
      <c r="CL344" s="39"/>
      <c r="CM344" s="40"/>
      <c r="CN344" s="41">
        <v>0.2</v>
      </c>
      <c r="CO344" s="41">
        <f t="shared" si="97"/>
        <v>0.5</v>
      </c>
      <c r="CW344" s="42" t="s">
        <v>662</v>
      </c>
      <c r="CX344" s="42">
        <v>0.6</v>
      </c>
      <c r="CY344" s="134">
        <f t="shared" si="106"/>
        <v>12.6</v>
      </c>
      <c r="CZ344" s="134">
        <f t="shared" si="107"/>
        <v>15</v>
      </c>
      <c r="DA344" s="42">
        <v>40</v>
      </c>
      <c r="DB344" s="42">
        <v>0.99</v>
      </c>
      <c r="DC344" s="134">
        <f t="shared" si="108"/>
        <v>39.6</v>
      </c>
      <c r="DD344" s="42">
        <v>0.02</v>
      </c>
      <c r="DE344" s="155">
        <f t="shared" si="109"/>
        <v>1.2445714285714284</v>
      </c>
      <c r="DF344" s="155">
        <f t="shared" si="110"/>
        <v>385.81714285714281</v>
      </c>
      <c r="DG344" s="155">
        <f t="shared" si="111"/>
        <v>370.88228571428567</v>
      </c>
      <c r="DH344" s="156">
        <f t="shared" si="112"/>
        <v>398.41714285714284</v>
      </c>
      <c r="DI344" s="156">
        <f t="shared" si="112"/>
        <v>385.88228571428567</v>
      </c>
      <c r="DJ344" s="40" t="s">
        <v>623</v>
      </c>
      <c r="DK344" s="42" t="s">
        <v>627</v>
      </c>
    </row>
    <row r="345" spans="5:115" s="42" customFormat="1" ht="18" thickBot="1" x14ac:dyDescent="0.5">
      <c r="E345" s="30"/>
      <c r="F345" s="30"/>
      <c r="G345" s="30"/>
      <c r="H345" s="30"/>
      <c r="I345" s="30"/>
      <c r="J345" s="30"/>
      <c r="K345" s="30"/>
      <c r="L345" s="30"/>
      <c r="M345" s="30"/>
      <c r="N345" s="30"/>
      <c r="O345" s="474" t="s">
        <v>663</v>
      </c>
      <c r="P345" s="30"/>
      <c r="Q345" s="30">
        <v>1.37</v>
      </c>
      <c r="R345" s="30">
        <v>30</v>
      </c>
      <c r="S345" s="478">
        <f t="shared" si="118"/>
        <v>0</v>
      </c>
      <c r="T345" s="478">
        <f t="shared" si="113"/>
        <v>0</v>
      </c>
      <c r="U345" s="478">
        <f t="shared" si="113"/>
        <v>0.11786892857142858</v>
      </c>
      <c r="V345" s="478">
        <f t="shared" si="113"/>
        <v>0.11786892857142858</v>
      </c>
      <c r="W345" s="478">
        <f t="shared" si="113"/>
        <v>0</v>
      </c>
      <c r="X345" s="478">
        <f t="shared" si="117"/>
        <v>0.23573785714285717</v>
      </c>
      <c r="Y345" s="478">
        <f t="shared" si="117"/>
        <v>1.6501650000000003</v>
      </c>
      <c r="Z345" s="478">
        <f t="shared" si="117"/>
        <v>0</v>
      </c>
      <c r="AA345" s="478">
        <f t="shared" si="117"/>
        <v>0</v>
      </c>
      <c r="AB345" s="478">
        <f t="shared" si="117"/>
        <v>0.14144271428571431</v>
      </c>
      <c r="AC345" s="478">
        <f t="shared" si="117"/>
        <v>0</v>
      </c>
      <c r="AD345" s="478">
        <f t="shared" si="117"/>
        <v>2.3573785714285718</v>
      </c>
      <c r="AE345" s="478">
        <v>0</v>
      </c>
      <c r="AF345" s="478">
        <f t="shared" si="119"/>
        <v>0.23573785714285717</v>
      </c>
      <c r="AG345" s="30"/>
      <c r="AH345" s="30">
        <v>0.9</v>
      </c>
      <c r="AI345" s="30">
        <v>0</v>
      </c>
      <c r="AJ345" s="30"/>
      <c r="AK345" s="30">
        <v>0</v>
      </c>
      <c r="AL345" s="483">
        <v>0.3</v>
      </c>
      <c r="AM345" s="30">
        <v>0.94</v>
      </c>
      <c r="AN345" s="30">
        <v>0.26</v>
      </c>
      <c r="AO345" s="478">
        <f>(AM345*365)*(AN345*0.67*0.015*1)</f>
        <v>0.89652030000000005</v>
      </c>
      <c r="AP345" s="478">
        <f>(AM345*365)*(AN345*0.67*0.005*1)</f>
        <v>0.2988401</v>
      </c>
      <c r="AQ345" s="484"/>
      <c r="AR345" s="478">
        <f>(AM345*365)*(AN345*0.67*0.04*1)</f>
        <v>2.3907208</v>
      </c>
      <c r="AS345" s="478">
        <f>(AM345*365)*(AN345*0.67*0.015*1)</f>
        <v>0.89652030000000005</v>
      </c>
      <c r="AT345" s="478">
        <f>(AM345*365)*(AN345*0.67*0.65*1)</f>
        <v>38.849212999999999</v>
      </c>
      <c r="AU345" s="478">
        <f>(AM345*365)*(AN345*0.67*0.79*1)</f>
        <v>47.216735800000002</v>
      </c>
      <c r="AV345" s="478">
        <f>(AM345*365)*(AN345*0.67*0.03*1)</f>
        <v>1.7930406000000001</v>
      </c>
      <c r="AW345" s="484"/>
      <c r="AX345" s="478">
        <f>(AM345*365)*(AN345*0.67*0.65*1)</f>
        <v>38.849212999999999</v>
      </c>
      <c r="AY345" s="478">
        <f t="shared" si="101"/>
        <v>59.76802</v>
      </c>
      <c r="AZ345" s="478">
        <f t="shared" si="102"/>
        <v>5.9768020000000002</v>
      </c>
      <c r="BA345" s="478">
        <f t="shared" si="103"/>
        <v>0.2988401</v>
      </c>
      <c r="BB345" s="478">
        <f>(AM345*365)*(AN345*0.67*0.01*1)</f>
        <v>0.59768019999999999</v>
      </c>
      <c r="BC345" s="478">
        <v>0</v>
      </c>
      <c r="BD345" s="478">
        <v>0</v>
      </c>
      <c r="BE345" s="30"/>
      <c r="BF345" s="30"/>
      <c r="BG345" s="242"/>
      <c r="BH345" s="181" t="s">
        <v>663</v>
      </c>
      <c r="BI345" s="181" t="s">
        <v>623</v>
      </c>
      <c r="BJ345" s="485">
        <f t="shared" si="104"/>
        <v>0.9</v>
      </c>
      <c r="BK345" s="181" t="s">
        <v>624</v>
      </c>
      <c r="BL345" s="486">
        <v>0.2</v>
      </c>
      <c r="BM345" s="486">
        <v>0.5</v>
      </c>
      <c r="BN345" s="487" t="s">
        <v>429</v>
      </c>
      <c r="BO345" s="485">
        <f t="shared" si="105"/>
        <v>1.2445714285714284</v>
      </c>
      <c r="BP345" s="181" t="s">
        <v>625</v>
      </c>
      <c r="BQ345" s="486">
        <v>0.2</v>
      </c>
      <c r="BR345" s="486">
        <v>0.5</v>
      </c>
      <c r="BS345" s="487" t="s">
        <v>429</v>
      </c>
      <c r="BT345" s="158"/>
      <c r="BU345" s="188">
        <v>22.5</v>
      </c>
      <c r="BV345" s="177" t="s">
        <v>561</v>
      </c>
      <c r="BW345" s="158"/>
      <c r="BX345" s="188">
        <v>370.88228571428567</v>
      </c>
      <c r="BY345" s="177" t="s">
        <v>561</v>
      </c>
      <c r="BZ345" s="37"/>
      <c r="CA345" s="39"/>
      <c r="CB345" s="37"/>
      <c r="CC345" s="37"/>
      <c r="CD345" s="39"/>
      <c r="CE345" s="39"/>
      <c r="CF345" s="39"/>
      <c r="CG345" s="39"/>
      <c r="CH345" s="37"/>
      <c r="CI345" s="37"/>
      <c r="CJ345" s="39"/>
      <c r="CK345" s="39"/>
      <c r="CL345" s="39"/>
      <c r="CM345" s="40"/>
      <c r="CN345" s="41">
        <v>0.2</v>
      </c>
      <c r="CO345" s="41">
        <f t="shared" si="97"/>
        <v>0.5</v>
      </c>
      <c r="CW345" s="42" t="s">
        <v>663</v>
      </c>
      <c r="CX345" s="42">
        <v>0.9</v>
      </c>
      <c r="CY345" s="134">
        <f t="shared" si="106"/>
        <v>18.900000000000002</v>
      </c>
      <c r="CZ345" s="134">
        <f t="shared" si="107"/>
        <v>22.5</v>
      </c>
      <c r="DA345" s="42">
        <v>40</v>
      </c>
      <c r="DB345" s="42">
        <v>0.99</v>
      </c>
      <c r="DC345" s="134">
        <f t="shared" si="108"/>
        <v>39.6</v>
      </c>
      <c r="DD345" s="42">
        <v>0.02</v>
      </c>
      <c r="DE345" s="155">
        <f t="shared" si="109"/>
        <v>1.2445714285714284</v>
      </c>
      <c r="DF345" s="155">
        <f t="shared" si="110"/>
        <v>385.81714285714281</v>
      </c>
      <c r="DG345" s="155">
        <f t="shared" si="111"/>
        <v>370.88228571428567</v>
      </c>
      <c r="DH345" s="156">
        <f t="shared" si="112"/>
        <v>404.71714285714279</v>
      </c>
      <c r="DI345" s="156">
        <f t="shared" si="112"/>
        <v>393.38228571428567</v>
      </c>
      <c r="DJ345" s="40" t="s">
        <v>623</v>
      </c>
      <c r="DK345" s="42" t="s">
        <v>627</v>
      </c>
    </row>
    <row r="346" spans="5:115" s="42" customFormat="1" ht="18" thickBot="1" x14ac:dyDescent="0.5">
      <c r="E346" s="30"/>
      <c r="F346" s="30"/>
      <c r="G346" s="30"/>
      <c r="H346" s="30"/>
      <c r="I346" s="30"/>
      <c r="J346" s="30"/>
      <c r="K346" s="30"/>
      <c r="L346" s="30"/>
      <c r="M346" s="30"/>
      <c r="N346" s="30"/>
      <c r="O346" s="474" t="s">
        <v>664</v>
      </c>
      <c r="P346" s="30"/>
      <c r="Q346" s="30">
        <v>1.37</v>
      </c>
      <c r="R346" s="30">
        <v>30</v>
      </c>
      <c r="S346" s="478">
        <f t="shared" si="118"/>
        <v>0</v>
      </c>
      <c r="T346" s="478">
        <f t="shared" si="113"/>
        <v>0</v>
      </c>
      <c r="U346" s="478">
        <f t="shared" si="113"/>
        <v>0.11786892857142858</v>
      </c>
      <c r="V346" s="478">
        <f t="shared" si="113"/>
        <v>0.11786892857142858</v>
      </c>
      <c r="W346" s="478">
        <f t="shared" si="113"/>
        <v>0</v>
      </c>
      <c r="X346" s="478">
        <f t="shared" si="117"/>
        <v>0.23573785714285717</v>
      </c>
      <c r="Y346" s="478">
        <f t="shared" si="117"/>
        <v>1.6501650000000003</v>
      </c>
      <c r="Z346" s="478">
        <f t="shared" si="117"/>
        <v>0</v>
      </c>
      <c r="AA346" s="478">
        <f t="shared" si="117"/>
        <v>0</v>
      </c>
      <c r="AB346" s="478">
        <f t="shared" si="117"/>
        <v>0.14144271428571431</v>
      </c>
      <c r="AC346" s="478">
        <f t="shared" si="117"/>
        <v>0</v>
      </c>
      <c r="AD346" s="478">
        <f t="shared" si="117"/>
        <v>2.3573785714285718</v>
      </c>
      <c r="AE346" s="478">
        <v>0</v>
      </c>
      <c r="AF346" s="478">
        <f t="shared" si="119"/>
        <v>0.23573785714285717</v>
      </c>
      <c r="AG346" s="30"/>
      <c r="AH346" s="30">
        <v>1.2</v>
      </c>
      <c r="AI346" s="30">
        <v>0</v>
      </c>
      <c r="AJ346" s="30"/>
      <c r="AK346" s="30">
        <v>0</v>
      </c>
      <c r="AL346" s="483">
        <v>0.3</v>
      </c>
      <c r="AM346" s="30">
        <v>0.94</v>
      </c>
      <c r="AN346" s="30">
        <v>0.26</v>
      </c>
      <c r="AO346" s="478">
        <f>(AM346*365)*(AN346*0.67*0.02*1)</f>
        <v>1.1953604</v>
      </c>
      <c r="AP346" s="478">
        <f>(AM346*365)*(AN346*0.67*0.01*1)</f>
        <v>0.59768019999999999</v>
      </c>
      <c r="AQ346" s="484"/>
      <c r="AR346" s="478">
        <f>(AM346*365)*(AN346*0.67*0.05*1)</f>
        <v>2.9884010000000001</v>
      </c>
      <c r="AS346" s="478">
        <f>(AM346*365)*(AN346*0.67*0.02*1)</f>
        <v>1.1953604</v>
      </c>
      <c r="AT346" s="478">
        <f>(AM346*365)*(AN346*0.67*0.8*1)</f>
        <v>47.814416000000001</v>
      </c>
      <c r="AU346" s="478">
        <f>(AM346*365)*(AN346*0.67*0.8*1)</f>
        <v>47.814416000000001</v>
      </c>
      <c r="AV346" s="478">
        <f>(AM346*365)*(AN346*0.67*0.3*1)</f>
        <v>17.930406000000001</v>
      </c>
      <c r="AW346" s="484"/>
      <c r="AX346" s="478">
        <f>(AM346*365)*(AN346*0.67*0.8*1)</f>
        <v>47.814416000000001</v>
      </c>
      <c r="AY346" s="478">
        <f t="shared" si="101"/>
        <v>59.76802</v>
      </c>
      <c r="AZ346" s="478">
        <f t="shared" si="102"/>
        <v>5.9768020000000002</v>
      </c>
      <c r="BA346" s="478">
        <f t="shared" si="103"/>
        <v>0.2988401</v>
      </c>
      <c r="BB346" s="478">
        <f>(AM346*365)*(AN346*0.67*0.015*1)</f>
        <v>0.89652030000000005</v>
      </c>
      <c r="BC346" s="478">
        <v>0</v>
      </c>
      <c r="BD346" s="478">
        <v>0</v>
      </c>
      <c r="BE346" s="30"/>
      <c r="BF346" s="30"/>
      <c r="BG346" s="242"/>
      <c r="BH346" s="181" t="s">
        <v>664</v>
      </c>
      <c r="BI346" s="181" t="s">
        <v>623</v>
      </c>
      <c r="BJ346" s="485">
        <f t="shared" si="104"/>
        <v>1.19</v>
      </c>
      <c r="BK346" s="181" t="s">
        <v>624</v>
      </c>
      <c r="BL346" s="486">
        <v>0.2</v>
      </c>
      <c r="BM346" s="486">
        <v>0.5</v>
      </c>
      <c r="BN346" s="487" t="s">
        <v>429</v>
      </c>
      <c r="BO346" s="485">
        <f t="shared" si="105"/>
        <v>1.2445714285714284</v>
      </c>
      <c r="BP346" s="181" t="s">
        <v>625</v>
      </c>
      <c r="BQ346" s="486">
        <v>0.2</v>
      </c>
      <c r="BR346" s="486">
        <v>0.5</v>
      </c>
      <c r="BS346" s="487" t="s">
        <v>429</v>
      </c>
      <c r="BT346" s="158"/>
      <c r="BU346" s="188">
        <v>29.75</v>
      </c>
      <c r="BV346" s="177" t="s">
        <v>561</v>
      </c>
      <c r="BW346" s="158"/>
      <c r="BX346" s="188">
        <v>370.88228571428567</v>
      </c>
      <c r="BY346" s="177" t="s">
        <v>561</v>
      </c>
      <c r="BZ346" s="37"/>
      <c r="CA346" s="39"/>
      <c r="CB346" s="37"/>
      <c r="CC346" s="37"/>
      <c r="CD346" s="39"/>
      <c r="CE346" s="39"/>
      <c r="CF346" s="39"/>
      <c r="CG346" s="39"/>
      <c r="CH346" s="37"/>
      <c r="CI346" s="37"/>
      <c r="CJ346" s="39"/>
      <c r="CK346" s="39"/>
      <c r="CL346" s="39"/>
      <c r="CM346" s="40"/>
      <c r="CN346" s="41">
        <v>0.2</v>
      </c>
      <c r="CO346" s="41">
        <f t="shared" si="97"/>
        <v>0.5</v>
      </c>
      <c r="CW346" s="42" t="s">
        <v>664</v>
      </c>
      <c r="CX346" s="42">
        <v>1.19</v>
      </c>
      <c r="CY346" s="134">
        <f t="shared" si="106"/>
        <v>24.99</v>
      </c>
      <c r="CZ346" s="134">
        <f t="shared" si="107"/>
        <v>29.75</v>
      </c>
      <c r="DA346" s="42">
        <v>40</v>
      </c>
      <c r="DB346" s="42">
        <v>0.99</v>
      </c>
      <c r="DC346" s="134">
        <f t="shared" si="108"/>
        <v>39.6</v>
      </c>
      <c r="DD346" s="42">
        <v>0.02</v>
      </c>
      <c r="DE346" s="155">
        <f t="shared" si="109"/>
        <v>1.2445714285714284</v>
      </c>
      <c r="DF346" s="155">
        <f t="shared" si="110"/>
        <v>385.81714285714281</v>
      </c>
      <c r="DG346" s="155">
        <f t="shared" si="111"/>
        <v>370.88228571428567</v>
      </c>
      <c r="DH346" s="156">
        <f t="shared" si="112"/>
        <v>410.80714285714282</v>
      </c>
      <c r="DI346" s="156">
        <f t="shared" si="112"/>
        <v>400.63228571428567</v>
      </c>
      <c r="DJ346" s="40" t="s">
        <v>623</v>
      </c>
      <c r="DK346" s="42" t="s">
        <v>627</v>
      </c>
    </row>
    <row r="347" spans="5:115" s="42" customFormat="1" ht="14" x14ac:dyDescent="0.3">
      <c r="E347" s="30"/>
      <c r="F347" s="30"/>
      <c r="G347" s="30"/>
      <c r="H347" s="30"/>
      <c r="I347" s="30"/>
      <c r="J347" s="30"/>
      <c r="K347" s="30"/>
      <c r="L347" s="30"/>
      <c r="M347" s="30"/>
      <c r="N347" s="30"/>
      <c r="O347" s="474" t="s">
        <v>665</v>
      </c>
      <c r="P347" s="30"/>
      <c r="Q347" s="30">
        <v>1.37</v>
      </c>
      <c r="R347" s="30">
        <v>30</v>
      </c>
      <c r="S347" s="478">
        <f t="shared" si="118"/>
        <v>0</v>
      </c>
      <c r="T347" s="478">
        <f t="shared" si="113"/>
        <v>0</v>
      </c>
      <c r="U347" s="478">
        <f t="shared" si="113"/>
        <v>0.11786892857142858</v>
      </c>
      <c r="V347" s="478">
        <f t="shared" si="113"/>
        <v>0.11786892857142858</v>
      </c>
      <c r="W347" s="478">
        <f t="shared" si="113"/>
        <v>0</v>
      </c>
      <c r="X347" s="478">
        <f t="shared" si="117"/>
        <v>0.23573785714285717</v>
      </c>
      <c r="Y347" s="478">
        <f t="shared" si="117"/>
        <v>1.6501650000000003</v>
      </c>
      <c r="Z347" s="478">
        <f t="shared" si="117"/>
        <v>0</v>
      </c>
      <c r="AA347" s="478">
        <f t="shared" si="117"/>
        <v>0</v>
      </c>
      <c r="AB347" s="478">
        <f t="shared" si="117"/>
        <v>0.14144271428571431</v>
      </c>
      <c r="AC347" s="478">
        <f t="shared" si="117"/>
        <v>0</v>
      </c>
      <c r="AD347" s="478">
        <f t="shared" si="117"/>
        <v>2.3573785714285718</v>
      </c>
      <c r="AE347" s="478">
        <v>0</v>
      </c>
      <c r="AF347" s="478">
        <f t="shared" si="119"/>
        <v>0.23573785714285717</v>
      </c>
      <c r="AG347" s="30"/>
      <c r="AH347" s="30">
        <v>0.08</v>
      </c>
      <c r="AI347" s="30"/>
      <c r="AJ347" s="30"/>
      <c r="AK347" s="30"/>
      <c r="AL347" s="30"/>
      <c r="AM347" s="30">
        <v>0.1</v>
      </c>
      <c r="AN347" s="30">
        <v>0.32</v>
      </c>
      <c r="AO347" s="478">
        <f>(AM347*365)*(AN347*0.67*0.01*1)</f>
        <v>7.8256000000000006E-2</v>
      </c>
      <c r="AP347" s="478">
        <f>(AM347*365)*(AN347*0.67*0.001*1)</f>
        <v>7.8256000000000003E-3</v>
      </c>
      <c r="AQ347" s="484"/>
      <c r="AR347" s="478">
        <f>(AM347*365)*(AN347*0.67*0.02*1)</f>
        <v>0.15651200000000001</v>
      </c>
      <c r="AS347" s="478">
        <f>(AM347*365)*(AN347*0.67*0.01*1)</f>
        <v>7.8256000000000006E-2</v>
      </c>
      <c r="AT347" s="478">
        <f>(AM347*365)*(AN347*0.67*0.25*1)</f>
        <v>1.9564000000000001</v>
      </c>
      <c r="AU347" s="478">
        <f>(AM347*365)*(AN347*0.67*0.73*1)</f>
        <v>5.7126880000000009</v>
      </c>
      <c r="AV347" s="478">
        <f>(AM347*365)*(AN347*0.67*0.03*1)</f>
        <v>0.234768</v>
      </c>
      <c r="AW347" s="484"/>
      <c r="AX347" s="478">
        <f>(AM347*365)*(AN347*0.67*0.25*1)</f>
        <v>1.9564000000000001</v>
      </c>
      <c r="AY347" s="478">
        <f t="shared" si="101"/>
        <v>7.8256000000000006</v>
      </c>
      <c r="AZ347" s="478">
        <f t="shared" si="102"/>
        <v>0.78256000000000003</v>
      </c>
      <c r="BA347" s="478">
        <f t="shared" si="103"/>
        <v>3.9128000000000003E-2</v>
      </c>
      <c r="BB347" s="478">
        <f>(AM347*365)*(AN347*0.67*0.005*1)</f>
        <v>3.9128000000000003E-2</v>
      </c>
      <c r="BC347" s="478">
        <v>0</v>
      </c>
      <c r="BD347" s="478">
        <v>0</v>
      </c>
      <c r="BE347" s="30"/>
      <c r="BF347" s="30"/>
      <c r="BG347" s="235"/>
      <c r="BH347" s="30"/>
      <c r="BI347" s="479"/>
      <c r="BJ347" s="479"/>
      <c r="BK347" s="479"/>
      <c r="BL347" s="480"/>
      <c r="BM347" s="480"/>
      <c r="BN347" s="480"/>
      <c r="BO347" s="488"/>
      <c r="BP347" s="488"/>
      <c r="BQ347" s="488"/>
      <c r="BR347" s="488"/>
      <c r="BS347" s="488"/>
      <c r="BT347" s="158"/>
      <c r="BU347" s="37"/>
      <c r="BV347" s="158"/>
      <c r="BW347" s="158"/>
      <c r="BX347" s="37"/>
      <c r="BY347" s="37"/>
      <c r="BZ347" s="37"/>
      <c r="CA347" s="39"/>
      <c r="CB347" s="37"/>
      <c r="CC347" s="37"/>
      <c r="CD347" s="39"/>
      <c r="CE347" s="39"/>
      <c r="CF347" s="39"/>
      <c r="CG347" s="39"/>
      <c r="CH347" s="37"/>
      <c r="CI347" s="37"/>
      <c r="CJ347" s="39"/>
      <c r="CK347" s="39"/>
      <c r="CL347" s="39"/>
      <c r="CM347" s="40"/>
      <c r="CN347" s="41"/>
      <c r="CO347" s="41">
        <f t="shared" si="97"/>
        <v>0</v>
      </c>
      <c r="CY347" s="40"/>
      <c r="CZ347" s="153"/>
      <c r="DA347" s="40"/>
      <c r="DB347" s="40"/>
      <c r="DC347" s="40"/>
      <c r="DD347" s="40"/>
      <c r="DE347" s="40"/>
    </row>
    <row r="348" spans="5:115" s="42" customFormat="1" ht="14" x14ac:dyDescent="0.3">
      <c r="E348" s="30"/>
      <c r="F348" s="30"/>
      <c r="G348" s="30"/>
      <c r="H348" s="30"/>
      <c r="I348" s="30"/>
      <c r="J348" s="30"/>
      <c r="K348" s="30"/>
      <c r="L348" s="30"/>
      <c r="M348" s="30"/>
      <c r="N348" s="30"/>
      <c r="O348" s="474" t="s">
        <v>666</v>
      </c>
      <c r="P348" s="30"/>
      <c r="Q348" s="30">
        <v>1.37</v>
      </c>
      <c r="R348" s="30">
        <v>30</v>
      </c>
      <c r="S348" s="478">
        <f t="shared" si="118"/>
        <v>0</v>
      </c>
      <c r="T348" s="478">
        <f t="shared" si="113"/>
        <v>0</v>
      </c>
      <c r="U348" s="478">
        <f t="shared" si="113"/>
        <v>0.11786892857142858</v>
      </c>
      <c r="V348" s="478">
        <f t="shared" si="113"/>
        <v>0.11786892857142858</v>
      </c>
      <c r="W348" s="478">
        <f t="shared" si="113"/>
        <v>0</v>
      </c>
      <c r="X348" s="478">
        <f t="shared" si="117"/>
        <v>0.23573785714285717</v>
      </c>
      <c r="Y348" s="478">
        <f t="shared" si="117"/>
        <v>1.6501650000000003</v>
      </c>
      <c r="Z348" s="478">
        <f t="shared" si="117"/>
        <v>0</v>
      </c>
      <c r="AA348" s="478">
        <f t="shared" si="117"/>
        <v>0</v>
      </c>
      <c r="AB348" s="478">
        <f t="shared" si="117"/>
        <v>0.14144271428571431</v>
      </c>
      <c r="AC348" s="478">
        <f t="shared" si="117"/>
        <v>0</v>
      </c>
      <c r="AD348" s="478">
        <f t="shared" si="117"/>
        <v>2.3573785714285718</v>
      </c>
      <c r="AE348" s="478">
        <v>0</v>
      </c>
      <c r="AF348" s="478">
        <f t="shared" si="119"/>
        <v>0.23573785714285717</v>
      </c>
      <c r="AG348" s="30"/>
      <c r="AH348" s="30"/>
      <c r="AI348" s="30"/>
      <c r="AJ348" s="30"/>
      <c r="AK348" s="30"/>
      <c r="AL348" s="30"/>
      <c r="AM348" s="30">
        <v>0.1</v>
      </c>
      <c r="AN348" s="30">
        <v>0.32</v>
      </c>
      <c r="AO348" s="478">
        <f>(AM348*365)*(AN348*0.67*0.015*1)</f>
        <v>0.117384</v>
      </c>
      <c r="AP348" s="478">
        <f>(AM348*365)*(AN348*0.67*0.005*1)</f>
        <v>3.9128000000000003E-2</v>
      </c>
      <c r="AQ348" s="484"/>
      <c r="AR348" s="478">
        <f>(AM348*365)*(AN348*0.67*0.04*1)</f>
        <v>0.31302400000000002</v>
      </c>
      <c r="AS348" s="478">
        <f>(AM348*365)*(AN348*0.67*0.015*1)</f>
        <v>0.117384</v>
      </c>
      <c r="AT348" s="478">
        <f>(AM348*365)*(AN348*0.67*0.65*1)</f>
        <v>5.0866400000000001</v>
      </c>
      <c r="AU348" s="478">
        <f>(AM348*365)*(AN348*0.67*0.79*1)</f>
        <v>6.1822240000000006</v>
      </c>
      <c r="AV348" s="478">
        <f>(AM348*365)*(AN348*0.67*0.03*1)</f>
        <v>0.234768</v>
      </c>
      <c r="AW348" s="484"/>
      <c r="AX348" s="478">
        <f>(AM348*365)*(AN348*0.67*0.65*1)</f>
        <v>5.0866400000000001</v>
      </c>
      <c r="AY348" s="478">
        <f t="shared" si="101"/>
        <v>7.8256000000000006</v>
      </c>
      <c r="AZ348" s="478">
        <f t="shared" si="102"/>
        <v>0.78256000000000003</v>
      </c>
      <c r="BA348" s="478">
        <f t="shared" si="103"/>
        <v>3.9128000000000003E-2</v>
      </c>
      <c r="BB348" s="478">
        <f>(AM348*365)*(AN348*0.67*0.01*1)</f>
        <v>7.8256000000000006E-2</v>
      </c>
      <c r="BC348" s="478">
        <v>0</v>
      </c>
      <c r="BD348" s="478">
        <v>0</v>
      </c>
      <c r="BE348" s="30"/>
      <c r="BF348" s="30"/>
      <c r="BG348" s="242"/>
      <c r="BH348" s="30"/>
      <c r="BI348" s="479"/>
      <c r="BJ348" s="479"/>
      <c r="BK348" s="479"/>
      <c r="BL348" s="480"/>
      <c r="BM348" s="480"/>
      <c r="BN348" s="480"/>
      <c r="BO348" s="488"/>
      <c r="BP348" s="488"/>
      <c r="BQ348" s="488"/>
      <c r="BR348" s="488"/>
      <c r="BS348" s="488"/>
      <c r="BT348" s="158"/>
      <c r="BU348" s="37"/>
      <c r="BV348" s="158"/>
      <c r="BW348" s="158"/>
      <c r="BX348" s="37"/>
      <c r="BY348" s="37"/>
      <c r="BZ348" s="37"/>
      <c r="CA348" s="39"/>
      <c r="CB348" s="37"/>
      <c r="CC348" s="37"/>
      <c r="CD348" s="39"/>
      <c r="CE348" s="39"/>
      <c r="CF348" s="39"/>
      <c r="CG348" s="39"/>
      <c r="CH348" s="37"/>
      <c r="CI348" s="37"/>
      <c r="CJ348" s="39"/>
      <c r="CK348" s="39"/>
      <c r="CL348" s="39"/>
      <c r="CM348" s="40"/>
      <c r="CN348" s="41"/>
      <c r="CO348" s="41">
        <f t="shared" si="97"/>
        <v>0</v>
      </c>
      <c r="CY348" s="40" t="s">
        <v>667</v>
      </c>
      <c r="DA348" s="40" t="s">
        <v>668</v>
      </c>
      <c r="DB348" s="40" t="s">
        <v>669</v>
      </c>
      <c r="DC348" s="40"/>
      <c r="DD348" s="40"/>
      <c r="DE348" s="40"/>
      <c r="DF348" s="40" t="s">
        <v>670</v>
      </c>
      <c r="DG348" s="40" t="s">
        <v>582</v>
      </c>
      <c r="DH348" s="40" t="s">
        <v>671</v>
      </c>
      <c r="DI348" s="40"/>
      <c r="DJ348" s="40" t="s">
        <v>672</v>
      </c>
    </row>
    <row r="349" spans="5:115" s="42" customFormat="1" ht="18" thickBot="1" x14ac:dyDescent="0.35">
      <c r="E349" s="30"/>
      <c r="F349" s="30"/>
      <c r="G349" s="30"/>
      <c r="H349" s="30"/>
      <c r="I349" s="30"/>
      <c r="J349" s="30"/>
      <c r="K349" s="30"/>
      <c r="L349" s="30"/>
      <c r="M349" s="30"/>
      <c r="N349" s="30"/>
      <c r="O349" s="474" t="s">
        <v>673</v>
      </c>
      <c r="P349" s="30"/>
      <c r="Q349" s="30">
        <v>1.37</v>
      </c>
      <c r="R349" s="30">
        <v>30</v>
      </c>
      <c r="S349" s="478">
        <f t="shared" si="118"/>
        <v>0</v>
      </c>
      <c r="T349" s="478">
        <f t="shared" si="113"/>
        <v>0</v>
      </c>
      <c r="U349" s="478">
        <f t="shared" si="113"/>
        <v>0.11786892857142858</v>
      </c>
      <c r="V349" s="478">
        <f t="shared" si="113"/>
        <v>0.11786892857142858</v>
      </c>
      <c r="W349" s="478">
        <f t="shared" si="113"/>
        <v>0</v>
      </c>
      <c r="X349" s="478">
        <f t="shared" si="117"/>
        <v>0.23573785714285717</v>
      </c>
      <c r="Y349" s="478">
        <f t="shared" si="117"/>
        <v>1.6501650000000003</v>
      </c>
      <c r="Z349" s="478">
        <f t="shared" si="117"/>
        <v>0</v>
      </c>
      <c r="AA349" s="478">
        <f t="shared" si="117"/>
        <v>0</v>
      </c>
      <c r="AB349" s="478">
        <f t="shared" si="117"/>
        <v>0.14144271428571431</v>
      </c>
      <c r="AC349" s="478">
        <f t="shared" si="117"/>
        <v>0</v>
      </c>
      <c r="AD349" s="478">
        <f t="shared" si="117"/>
        <v>2.3573785714285718</v>
      </c>
      <c r="AE349" s="478">
        <v>0</v>
      </c>
      <c r="AF349" s="478">
        <f t="shared" si="119"/>
        <v>0.23573785714285717</v>
      </c>
      <c r="AG349" s="30"/>
      <c r="AH349" s="30"/>
      <c r="AI349" s="30"/>
      <c r="AJ349" s="30"/>
      <c r="AK349" s="30"/>
      <c r="AL349" s="30"/>
      <c r="AM349" s="30">
        <v>0.1</v>
      </c>
      <c r="AN349" s="30">
        <v>0.32</v>
      </c>
      <c r="AO349" s="478">
        <f>(AM349*365)*(AN349*0.67*0.02*1)</f>
        <v>0.15651200000000001</v>
      </c>
      <c r="AP349" s="478">
        <f>(AM349*365)*(AN349*0.67*0.01*1)</f>
        <v>7.8256000000000006E-2</v>
      </c>
      <c r="AQ349" s="484"/>
      <c r="AR349" s="478">
        <f>(AM349*365)*(AN349*0.67*0.05*1)</f>
        <v>0.39128000000000002</v>
      </c>
      <c r="AS349" s="478">
        <f>(AM349*365)*(AN349*0.67*0.02*1)</f>
        <v>0.15651200000000001</v>
      </c>
      <c r="AT349" s="478">
        <f>(AM349*365)*(AN349*0.67*0.8*1)</f>
        <v>6.2604800000000003</v>
      </c>
      <c r="AU349" s="478">
        <f>(AM349*365)*(AN349*0.67*0.8*1)</f>
        <v>6.2604800000000003</v>
      </c>
      <c r="AV349" s="478">
        <f>(AM349*365)*(AN349*0.67*0.3*1)</f>
        <v>2.34768</v>
      </c>
      <c r="AW349" s="484"/>
      <c r="AX349" s="478">
        <f>(AM349*365)*(AN349*0.67*0.8*1)</f>
        <v>6.2604800000000003</v>
      </c>
      <c r="AY349" s="478">
        <f t="shared" si="101"/>
        <v>7.8256000000000006</v>
      </c>
      <c r="AZ349" s="478">
        <f t="shared" si="102"/>
        <v>0.78256000000000003</v>
      </c>
      <c r="BA349" s="478">
        <f t="shared" si="103"/>
        <v>3.9128000000000003E-2</v>
      </c>
      <c r="BB349" s="478">
        <f>(AM349*365)*(AN349*0.67*0.015*1)</f>
        <v>0.117384</v>
      </c>
      <c r="BC349" s="478">
        <v>0</v>
      </c>
      <c r="BD349" s="478">
        <v>0</v>
      </c>
      <c r="BE349" s="30"/>
      <c r="BF349" s="30"/>
      <c r="BG349" s="242"/>
      <c r="BH349" s="30"/>
      <c r="BI349" s="479"/>
      <c r="BJ349" s="479"/>
      <c r="BK349" s="479"/>
      <c r="BL349" s="480"/>
      <c r="BM349" s="480"/>
      <c r="BN349" s="480"/>
      <c r="BO349" s="488"/>
      <c r="BP349" s="488"/>
      <c r="BQ349" s="488"/>
      <c r="BR349" s="488"/>
      <c r="BS349" s="488"/>
      <c r="BT349" s="158"/>
      <c r="BU349" s="37"/>
      <c r="BV349" s="158"/>
      <c r="BW349" s="158"/>
      <c r="BX349" s="37"/>
      <c r="BY349" s="37"/>
      <c r="BZ349" s="37"/>
      <c r="CA349" s="39"/>
      <c r="CB349" s="37"/>
      <c r="CC349" s="37"/>
      <c r="CD349" s="39"/>
      <c r="CE349" s="39"/>
      <c r="CF349" s="39"/>
      <c r="CG349" s="39"/>
      <c r="CH349" s="37"/>
      <c r="CI349" s="37"/>
      <c r="CJ349" s="39"/>
      <c r="CK349" s="39"/>
      <c r="CL349" s="39"/>
      <c r="CM349" s="40"/>
      <c r="CN349" s="41"/>
      <c r="CO349" s="41">
        <f t="shared" si="97"/>
        <v>0</v>
      </c>
      <c r="CW349" s="42" t="s">
        <v>674</v>
      </c>
      <c r="CX349" s="42" t="s">
        <v>272</v>
      </c>
      <c r="CY349" s="42">
        <f>+DJ349</f>
        <v>6.1897500000000008E-2</v>
      </c>
      <c r="DA349" s="40">
        <v>1</v>
      </c>
      <c r="DB349" s="40">
        <v>0.9</v>
      </c>
      <c r="DC349" s="40"/>
      <c r="DD349" s="40"/>
      <c r="DE349" s="40"/>
      <c r="DF349" s="40">
        <v>0.5</v>
      </c>
      <c r="DG349" s="40">
        <v>5.0000000000000001E-3</v>
      </c>
      <c r="DH349" s="40">
        <f>+DA349*DB349*DF349*DG349*21</f>
        <v>4.7250000000000007E-2</v>
      </c>
      <c r="DI349" s="40"/>
      <c r="DJ349" s="42">
        <f>+DH349+DI360</f>
        <v>6.1897500000000008E-2</v>
      </c>
      <c r="DK349" s="40" t="s">
        <v>675</v>
      </c>
    </row>
    <row r="350" spans="5:115" s="42" customFormat="1" ht="15" customHeight="1" x14ac:dyDescent="0.3">
      <c r="E350" s="30"/>
      <c r="F350" s="30"/>
      <c r="G350" s="30"/>
      <c r="H350" s="30"/>
      <c r="I350" s="30"/>
      <c r="J350" s="30"/>
      <c r="K350" s="30"/>
      <c r="L350" s="30"/>
      <c r="M350" s="30"/>
      <c r="N350" s="30"/>
      <c r="O350" s="474" t="s">
        <v>676</v>
      </c>
      <c r="P350" s="30"/>
      <c r="Q350" s="30"/>
      <c r="R350" s="30"/>
      <c r="S350" s="474"/>
      <c r="T350" s="474"/>
      <c r="U350" s="474"/>
      <c r="V350" s="474"/>
      <c r="W350" s="474"/>
      <c r="X350" s="474"/>
      <c r="Y350" s="474"/>
      <c r="Z350" s="474"/>
      <c r="AA350" s="474"/>
      <c r="AB350" s="474"/>
      <c r="AC350" s="474"/>
      <c r="AD350" s="474"/>
      <c r="AE350" s="474"/>
      <c r="AF350" s="474"/>
      <c r="AG350" s="30"/>
      <c r="AH350" s="30">
        <v>5.67</v>
      </c>
      <c r="AI350" s="30"/>
      <c r="AJ350" s="30"/>
      <c r="AK350" s="30"/>
      <c r="AL350" s="30"/>
      <c r="AM350" s="30">
        <v>1.1599999999999999</v>
      </c>
      <c r="AN350" s="30">
        <v>0.25</v>
      </c>
      <c r="AO350" s="478">
        <f>(AM350*365)*(AN350*0.67*0.01*1)</f>
        <v>0.70919500000000002</v>
      </c>
      <c r="AP350" s="478">
        <f>(AM350*365)*(AN350*0.67*0.001*1)</f>
        <v>7.0919499999999996E-2</v>
      </c>
      <c r="AQ350" s="484"/>
      <c r="AR350" s="478">
        <f>(AM350*365)*(AN350*0.67*0.02*1)</f>
        <v>1.41839</v>
      </c>
      <c r="AS350" s="478">
        <f>(AM350*365)*(AN350*0.67*0.01*1)</f>
        <v>0.70919500000000002</v>
      </c>
      <c r="AT350" s="478">
        <f>(AM350*365)*(AN350*0.67*0.25*1)</f>
        <v>17.729875</v>
      </c>
      <c r="AU350" s="478">
        <f>(AM350*365)*(AN350*0.67*0.73*1)</f>
        <v>51.771235000000004</v>
      </c>
      <c r="AV350" s="478">
        <f>(AM350*365)*(AN350*0.67*0.03*1)</f>
        <v>2.1275849999999998</v>
      </c>
      <c r="AW350" s="484"/>
      <c r="AX350" s="478">
        <f>(AM350*365)*(AN350*0.67*0.25*1)</f>
        <v>17.729875</v>
      </c>
      <c r="AY350" s="478">
        <f t="shared" si="101"/>
        <v>70.919499999999999</v>
      </c>
      <c r="AZ350" s="478">
        <f t="shared" si="102"/>
        <v>7.0919499999999998</v>
      </c>
      <c r="BA350" s="478">
        <f t="shared" si="103"/>
        <v>0.35459750000000001</v>
      </c>
      <c r="BB350" s="478">
        <f>(AM350*365)*(AN350*0.67*0.005*1)</f>
        <v>0.35459750000000001</v>
      </c>
      <c r="BC350" s="478">
        <v>0</v>
      </c>
      <c r="BD350" s="478">
        <v>0</v>
      </c>
      <c r="BE350" s="30"/>
      <c r="BF350" s="30"/>
      <c r="BG350" s="242"/>
      <c r="BH350" s="586" t="s">
        <v>595</v>
      </c>
      <c r="BI350" s="481"/>
      <c r="BJ350" s="586" t="s">
        <v>552</v>
      </c>
      <c r="BK350" s="481"/>
      <c r="BL350" s="586" t="s">
        <v>302</v>
      </c>
      <c r="BM350" s="586" t="s">
        <v>302</v>
      </c>
      <c r="BN350" s="586" t="s">
        <v>303</v>
      </c>
      <c r="BO350" s="586" t="s">
        <v>677</v>
      </c>
      <c r="BP350" s="481"/>
      <c r="BQ350" s="586" t="s">
        <v>302</v>
      </c>
      <c r="BR350" s="586" t="s">
        <v>302</v>
      </c>
      <c r="BS350" s="586" t="s">
        <v>303</v>
      </c>
      <c r="BT350" s="36"/>
      <c r="BU350" s="37"/>
      <c r="BV350" s="158"/>
      <c r="BW350" s="158"/>
      <c r="BX350" s="37"/>
      <c r="BY350" s="37"/>
      <c r="BZ350" s="37"/>
      <c r="CA350" s="39"/>
      <c r="CB350" s="37"/>
      <c r="CC350" s="37"/>
      <c r="CD350" s="39"/>
      <c r="CE350" s="39"/>
      <c r="CF350" s="39"/>
      <c r="CG350" s="39"/>
      <c r="CH350" s="37"/>
      <c r="CI350" s="37"/>
      <c r="CJ350" s="39"/>
      <c r="CK350" s="39"/>
      <c r="CL350" s="39"/>
      <c r="CM350" s="40"/>
      <c r="CN350" s="41"/>
      <c r="CO350" s="41" t="str">
        <f t="shared" si="97"/>
        <v>Incertidumbre (+/- %)</v>
      </c>
      <c r="DB350" s="40"/>
      <c r="DC350" s="40"/>
      <c r="DD350" s="40"/>
      <c r="DE350" s="40"/>
    </row>
    <row r="351" spans="5:115" s="42" customFormat="1" ht="14.5" thickBot="1" x14ac:dyDescent="0.35">
      <c r="E351" s="30"/>
      <c r="F351" s="30"/>
      <c r="G351" s="30"/>
      <c r="H351" s="30"/>
      <c r="I351" s="30"/>
      <c r="J351" s="30"/>
      <c r="K351" s="30"/>
      <c r="L351" s="30"/>
      <c r="M351" s="30"/>
      <c r="N351" s="30"/>
      <c r="O351" s="474" t="s">
        <v>678</v>
      </c>
      <c r="P351" s="30"/>
      <c r="Q351" s="30"/>
      <c r="R351" s="30"/>
      <c r="S351" s="474"/>
      <c r="T351" s="474"/>
      <c r="U351" s="474"/>
      <c r="V351" s="474"/>
      <c r="W351" s="474"/>
      <c r="X351" s="474"/>
      <c r="Y351" s="474"/>
      <c r="Z351" s="474"/>
      <c r="AA351" s="474"/>
      <c r="AB351" s="474"/>
      <c r="AC351" s="474"/>
      <c r="AD351" s="474"/>
      <c r="AE351" s="474"/>
      <c r="AF351" s="474"/>
      <c r="AG351" s="30"/>
      <c r="AH351" s="30"/>
      <c r="AI351" s="30"/>
      <c r="AJ351" s="30"/>
      <c r="AK351" s="30"/>
      <c r="AL351" s="30"/>
      <c r="AM351" s="30">
        <v>1.1599999999999999</v>
      </c>
      <c r="AN351" s="30">
        <v>0.25</v>
      </c>
      <c r="AO351" s="478">
        <f>(AM351*365)*(AN351*0.67*0.015*1)</f>
        <v>1.0637924999999999</v>
      </c>
      <c r="AP351" s="478">
        <f>(AM351*365)*(AN351*0.67*0.005*1)</f>
        <v>0.35459750000000001</v>
      </c>
      <c r="AQ351" s="484"/>
      <c r="AR351" s="478">
        <f>(AM351*365)*(AN351*0.67*0.04*1)</f>
        <v>2.8367800000000001</v>
      </c>
      <c r="AS351" s="478">
        <f>(AM351*365)*(AN351*0.67*0.015*1)</f>
        <v>1.0637924999999999</v>
      </c>
      <c r="AT351" s="478">
        <f>(AM351*365)*(AN351*0.67*0.65*1)</f>
        <v>46.097675000000002</v>
      </c>
      <c r="AU351" s="478">
        <f>(AM351*365)*(AN351*0.67*0.79*1)</f>
        <v>56.026405000000011</v>
      </c>
      <c r="AV351" s="478">
        <f>(AM351*365)*(AN351*0.67*0.03*1)</f>
        <v>2.1275849999999998</v>
      </c>
      <c r="AW351" s="484"/>
      <c r="AX351" s="478">
        <f>(AM351*365)*(AN351*0.67*0.65*1)</f>
        <v>46.097675000000002</v>
      </c>
      <c r="AY351" s="478">
        <f t="shared" si="101"/>
        <v>70.919499999999999</v>
      </c>
      <c r="AZ351" s="478">
        <f t="shared" si="102"/>
        <v>7.0919499999999998</v>
      </c>
      <c r="BA351" s="478">
        <f t="shared" si="103"/>
        <v>0.35459750000000001</v>
      </c>
      <c r="BB351" s="478">
        <f>(AM351*365)*(AN351*0.67*0.01*1)</f>
        <v>0.70919500000000002</v>
      </c>
      <c r="BC351" s="478">
        <v>0</v>
      </c>
      <c r="BD351" s="478">
        <v>0</v>
      </c>
      <c r="BE351" s="30"/>
      <c r="BF351" s="30"/>
      <c r="BG351" s="242"/>
      <c r="BH351" s="587"/>
      <c r="BI351" s="482" t="s">
        <v>308</v>
      </c>
      <c r="BJ351" s="587"/>
      <c r="BK351" s="482" t="s">
        <v>309</v>
      </c>
      <c r="BL351" s="587"/>
      <c r="BM351" s="587"/>
      <c r="BN351" s="587"/>
      <c r="BO351" s="587"/>
      <c r="BP351" s="482" t="s">
        <v>309</v>
      </c>
      <c r="BQ351" s="587"/>
      <c r="BR351" s="587"/>
      <c r="BS351" s="587"/>
      <c r="BT351" s="36"/>
      <c r="BU351" s="37"/>
      <c r="BV351" s="158"/>
      <c r="BW351" s="158"/>
      <c r="BX351" s="37"/>
      <c r="BY351" s="37"/>
      <c r="BZ351" s="37"/>
      <c r="CA351" s="39"/>
      <c r="CB351" s="37"/>
      <c r="CC351" s="37"/>
      <c r="CD351" s="39"/>
      <c r="CE351" s="39"/>
      <c r="CF351" s="39"/>
      <c r="CG351" s="39"/>
      <c r="CH351" s="37"/>
      <c r="CI351" s="37"/>
      <c r="CJ351" s="39"/>
      <c r="CK351" s="39"/>
      <c r="CL351" s="39"/>
      <c r="CM351" s="40"/>
      <c r="CN351" s="41"/>
      <c r="CO351" s="41">
        <f t="shared" si="97"/>
        <v>0</v>
      </c>
      <c r="DB351" s="40"/>
      <c r="DC351" s="40"/>
      <c r="DD351" s="40"/>
      <c r="DE351" s="40"/>
      <c r="DH351" s="40">
        <f>+DA349*DB349*DF349*DG349*25</f>
        <v>5.6250000000000008E-2</v>
      </c>
      <c r="DJ351" s="42">
        <f>+DH351+DI362</f>
        <v>7.0330500000000004E-2</v>
      </c>
    </row>
    <row r="352" spans="5:115" s="42" customFormat="1" ht="18" thickBot="1" x14ac:dyDescent="0.35">
      <c r="E352" s="30"/>
      <c r="F352" s="30"/>
      <c r="G352" s="30"/>
      <c r="H352" s="30"/>
      <c r="I352" s="30"/>
      <c r="J352" s="30"/>
      <c r="K352" s="30"/>
      <c r="L352" s="30"/>
      <c r="M352" s="30"/>
      <c r="N352" s="30"/>
      <c r="O352" s="474" t="s">
        <v>679</v>
      </c>
      <c r="P352" s="30"/>
      <c r="Q352" s="30"/>
      <c r="R352" s="30"/>
      <c r="S352" s="474"/>
      <c r="T352" s="474"/>
      <c r="U352" s="474"/>
      <c r="V352" s="474"/>
      <c r="W352" s="474"/>
      <c r="X352" s="474"/>
      <c r="Y352" s="474"/>
      <c r="Z352" s="474"/>
      <c r="AA352" s="474"/>
      <c r="AB352" s="474"/>
      <c r="AC352" s="474"/>
      <c r="AD352" s="474"/>
      <c r="AE352" s="474"/>
      <c r="AF352" s="474"/>
      <c r="AG352" s="30"/>
      <c r="AH352" s="30"/>
      <c r="AI352" s="30"/>
      <c r="AJ352" s="30"/>
      <c r="AK352" s="30"/>
      <c r="AL352" s="30"/>
      <c r="AM352" s="30">
        <v>1.1599999999999999</v>
      </c>
      <c r="AN352" s="30">
        <v>0.25</v>
      </c>
      <c r="AO352" s="478">
        <f>(AM352*365)*(AN352*0.67*0.02*1)</f>
        <v>1.41839</v>
      </c>
      <c r="AP352" s="478">
        <f>(AM352*365)*(AN352*0.67*0.01*1)</f>
        <v>0.70919500000000002</v>
      </c>
      <c r="AQ352" s="484"/>
      <c r="AR352" s="478">
        <f>(AM352*365)*(AN352*0.67*0.05*1)</f>
        <v>3.5459749999999999</v>
      </c>
      <c r="AS352" s="478">
        <f>(AM352*365)*(AN352*0.67*0.02*1)</f>
        <v>1.41839</v>
      </c>
      <c r="AT352" s="478">
        <f>(AM352*365)*(AN352*0.67*0.8*1)</f>
        <v>56.735599999999998</v>
      </c>
      <c r="AU352" s="478">
        <f>(AM352*365)*(AN352*0.67*0.8*1)</f>
        <v>56.735599999999998</v>
      </c>
      <c r="AV352" s="478">
        <f>(AM352*365)*(AN352*0.67*0.3*1)</f>
        <v>21.275849999999998</v>
      </c>
      <c r="AW352" s="484"/>
      <c r="AX352" s="478">
        <f>(AM352*365)*(AN352*0.67*0.8*1)</f>
        <v>56.735599999999998</v>
      </c>
      <c r="AY352" s="478">
        <f t="shared" si="101"/>
        <v>70.919499999999999</v>
      </c>
      <c r="AZ352" s="478">
        <f t="shared" si="102"/>
        <v>7.0919499999999998</v>
      </c>
      <c r="BA352" s="478">
        <f t="shared" si="103"/>
        <v>0.35459750000000001</v>
      </c>
      <c r="BB352" s="478">
        <f>(AM352*365)*(AN352*0.67*0.015*1)</f>
        <v>1.0637924999999999</v>
      </c>
      <c r="BC352" s="478">
        <v>0</v>
      </c>
      <c r="BD352" s="478">
        <v>0</v>
      </c>
      <c r="BE352" s="30"/>
      <c r="BF352" s="30"/>
      <c r="BG352" s="242"/>
      <c r="BH352" s="181" t="s">
        <v>680</v>
      </c>
      <c r="BI352" s="181" t="s">
        <v>681</v>
      </c>
      <c r="BJ352" s="485">
        <f>10/1000</f>
        <v>0.01</v>
      </c>
      <c r="BK352" s="181" t="s">
        <v>682</v>
      </c>
      <c r="BL352" s="486">
        <f>0.08/10</f>
        <v>8.0000000000000002E-3</v>
      </c>
      <c r="BM352" s="486">
        <f>20/10</f>
        <v>2</v>
      </c>
      <c r="BN352" s="487" t="s">
        <v>429</v>
      </c>
      <c r="BO352" s="485">
        <f>0.6/1000</f>
        <v>5.9999999999999995E-4</v>
      </c>
      <c r="BP352" s="181" t="s">
        <v>683</v>
      </c>
      <c r="BQ352" s="486">
        <f>0.2/0.6</f>
        <v>0.33333333333333337</v>
      </c>
      <c r="BR352" s="486">
        <f>1.2/0.6</f>
        <v>2</v>
      </c>
      <c r="BS352" s="487" t="s">
        <v>429</v>
      </c>
      <c r="BT352" s="36"/>
      <c r="BU352" s="37"/>
      <c r="BV352" s="158"/>
      <c r="BW352" s="158"/>
      <c r="BX352" s="37"/>
      <c r="BY352" s="37"/>
      <c r="BZ352" s="37"/>
      <c r="CA352" s="39"/>
      <c r="CB352" s="37"/>
      <c r="CC352" s="37"/>
      <c r="CD352" s="39"/>
      <c r="CE352" s="39"/>
      <c r="CF352" s="39"/>
      <c r="CG352" s="39"/>
      <c r="CH352" s="37"/>
      <c r="CI352" s="37"/>
      <c r="CJ352" s="39"/>
      <c r="CK352" s="39"/>
      <c r="CL352" s="39"/>
      <c r="CM352" s="40"/>
      <c r="CN352" s="41">
        <v>0.9</v>
      </c>
      <c r="CO352" s="41">
        <f t="shared" si="97"/>
        <v>2</v>
      </c>
      <c r="DB352" s="40"/>
      <c r="DC352" s="40"/>
      <c r="DD352" s="40"/>
      <c r="DE352" s="40"/>
      <c r="DH352" s="40"/>
    </row>
    <row r="353" spans="5:113" s="42" customFormat="1" ht="27.5" thickBot="1" x14ac:dyDescent="0.3">
      <c r="E353" s="30"/>
      <c r="F353" s="30"/>
      <c r="G353" s="30"/>
      <c r="H353" s="30"/>
      <c r="I353" s="30"/>
      <c r="J353" s="30"/>
      <c r="K353" s="30"/>
      <c r="L353" s="30"/>
      <c r="M353" s="30"/>
      <c r="N353" s="30"/>
      <c r="O353" s="30"/>
      <c r="P353" s="30"/>
      <c r="Q353" s="30"/>
      <c r="R353" s="30"/>
      <c r="S353" s="30"/>
      <c r="T353" s="30"/>
      <c r="U353" s="30"/>
      <c r="V353" s="30"/>
      <c r="W353" s="30"/>
      <c r="X353" s="30"/>
      <c r="Y353" s="30"/>
      <c r="Z353" s="30"/>
      <c r="AA353" s="30"/>
      <c r="AB353" s="30"/>
      <c r="AC353" s="30"/>
      <c r="AD353" s="30"/>
      <c r="AE353" s="30"/>
      <c r="AF353" s="30"/>
      <c r="AG353" s="30"/>
      <c r="AH353" s="30"/>
      <c r="AI353" s="30"/>
      <c r="AJ353" s="30"/>
      <c r="AK353" s="30"/>
      <c r="AL353" s="30"/>
      <c r="AM353" s="30"/>
      <c r="AN353" s="30"/>
      <c r="AO353" s="30"/>
      <c r="AP353" s="30"/>
      <c r="AQ353" s="30"/>
      <c r="AR353" s="30"/>
      <c r="AS353" s="30"/>
      <c r="AT353" s="30"/>
      <c r="AU353" s="30"/>
      <c r="AV353" s="30"/>
      <c r="AW353" s="30"/>
      <c r="AX353" s="30"/>
      <c r="AY353" s="30"/>
      <c r="AZ353" s="30"/>
      <c r="BA353" s="30"/>
      <c r="BB353" s="30"/>
      <c r="BC353" s="30">
        <v>0</v>
      </c>
      <c r="BD353" s="30"/>
      <c r="BE353" s="30"/>
      <c r="BF353" s="30"/>
      <c r="BG353" s="242"/>
      <c r="BH353" s="181" t="s">
        <v>684</v>
      </c>
      <c r="BI353" s="181" t="s">
        <v>685</v>
      </c>
      <c r="BJ353" s="485">
        <f>4/1000</f>
        <v>4.0000000000000001E-3</v>
      </c>
      <c r="BK353" s="181" t="s">
        <v>682</v>
      </c>
      <c r="BL353" s="486">
        <f>0.03/4</f>
        <v>7.4999999999999997E-3</v>
      </c>
      <c r="BM353" s="486">
        <f>8/4</f>
        <v>2</v>
      </c>
      <c r="BN353" s="487" t="s">
        <v>429</v>
      </c>
      <c r="BO353" s="485">
        <f>0.3/1000</f>
        <v>2.9999999999999997E-4</v>
      </c>
      <c r="BP353" s="181" t="s">
        <v>683</v>
      </c>
      <c r="BQ353" s="486">
        <f>0.06/0.3</f>
        <v>0.2</v>
      </c>
      <c r="BR353" s="486">
        <f>0.6/0.3</f>
        <v>2</v>
      </c>
      <c r="BS353" s="487" t="s">
        <v>429</v>
      </c>
      <c r="BT353" s="36"/>
      <c r="BU353" s="37"/>
      <c r="BV353" s="158"/>
      <c r="BW353" s="158"/>
      <c r="BX353" s="37"/>
      <c r="BY353" s="37"/>
      <c r="BZ353" s="37"/>
      <c r="CA353" s="39"/>
      <c r="CB353" s="37"/>
      <c r="CC353" s="37"/>
      <c r="CD353" s="39"/>
      <c r="CE353" s="39"/>
      <c r="CF353" s="39"/>
      <c r="CG353" s="39"/>
      <c r="CH353" s="37"/>
      <c r="CI353" s="37"/>
      <c r="CJ353" s="39"/>
      <c r="CK353" s="39"/>
      <c r="CL353" s="39"/>
      <c r="CM353" s="40"/>
      <c r="CN353" s="41">
        <v>0.9</v>
      </c>
      <c r="CO353" s="41">
        <f t="shared" si="97"/>
        <v>2</v>
      </c>
      <c r="DB353" s="40"/>
      <c r="DC353" s="40"/>
      <c r="DD353" s="40"/>
      <c r="DE353" s="40"/>
      <c r="DH353" s="40"/>
    </row>
    <row r="354" spans="5:113" s="42" customFormat="1" ht="18" thickBot="1" x14ac:dyDescent="0.3">
      <c r="E354" s="30"/>
      <c r="F354" s="30"/>
      <c r="G354" s="30"/>
      <c r="H354" s="30"/>
      <c r="I354" s="30"/>
      <c r="J354" s="30"/>
      <c r="K354" s="30"/>
      <c r="L354" s="30"/>
      <c r="M354" s="30"/>
      <c r="N354" s="30"/>
      <c r="O354" s="30"/>
      <c r="P354" s="30"/>
      <c r="Q354" s="30"/>
      <c r="R354" s="30"/>
      <c r="S354" s="30"/>
      <c r="T354" s="30"/>
      <c r="U354" s="30"/>
      <c r="V354" s="30"/>
      <c r="W354" s="30"/>
      <c r="X354" s="30"/>
      <c r="Y354" s="30"/>
      <c r="Z354" s="30"/>
      <c r="AA354" s="30"/>
      <c r="AB354" s="30"/>
      <c r="AC354" s="30"/>
      <c r="AD354" s="30"/>
      <c r="AE354" s="30"/>
      <c r="AF354" s="30"/>
      <c r="AG354" s="30"/>
      <c r="AH354" s="30"/>
      <c r="AI354" s="30"/>
      <c r="AJ354" s="30"/>
      <c r="AK354" s="30"/>
      <c r="AL354" s="30"/>
      <c r="AM354" s="30"/>
      <c r="AN354" s="30"/>
      <c r="AO354" s="30"/>
      <c r="AP354" s="30"/>
      <c r="AQ354" s="30"/>
      <c r="AR354" s="30"/>
      <c r="AS354" s="30"/>
      <c r="AT354" s="30"/>
      <c r="AU354" s="30"/>
      <c r="AV354" s="30"/>
      <c r="AW354" s="30"/>
      <c r="AX354" s="30"/>
      <c r="AY354" s="30"/>
      <c r="AZ354" s="30"/>
      <c r="BA354" s="30"/>
      <c r="BB354" s="30"/>
      <c r="BC354" s="30"/>
      <c r="BD354" s="30"/>
      <c r="BE354" s="30"/>
      <c r="BF354" s="30"/>
      <c r="BG354" s="242"/>
      <c r="BH354" s="181" t="s">
        <v>686</v>
      </c>
      <c r="BI354" s="181" t="s">
        <v>681</v>
      </c>
      <c r="BJ354" s="485">
        <f>2/1000</f>
        <v>2E-3</v>
      </c>
      <c r="BK354" s="181" t="s">
        <v>682</v>
      </c>
      <c r="BL354" s="486">
        <f>0/2</f>
        <v>0</v>
      </c>
      <c r="BM354" s="486">
        <f>20/2</f>
        <v>10</v>
      </c>
      <c r="BN354" s="487" t="s">
        <v>429</v>
      </c>
      <c r="BO354" s="485">
        <v>0</v>
      </c>
      <c r="BP354" s="181" t="s">
        <v>683</v>
      </c>
      <c r="BQ354" s="486">
        <v>0</v>
      </c>
      <c r="BR354" s="486">
        <v>0</v>
      </c>
      <c r="BS354" s="487" t="s">
        <v>429</v>
      </c>
      <c r="BT354" s="36"/>
      <c r="BU354" s="37"/>
      <c r="BV354" s="158"/>
      <c r="BW354" s="158"/>
      <c r="BX354" s="37"/>
      <c r="BY354" s="37"/>
      <c r="BZ354" s="37"/>
      <c r="CA354" s="39"/>
      <c r="CB354" s="37"/>
      <c r="CC354" s="37"/>
      <c r="CD354" s="39"/>
      <c r="CE354" s="39"/>
      <c r="CF354" s="39"/>
      <c r="CG354" s="39"/>
      <c r="CH354" s="37"/>
      <c r="CI354" s="37"/>
      <c r="CJ354" s="39"/>
      <c r="CK354" s="39"/>
      <c r="CL354" s="39"/>
      <c r="CM354" s="40"/>
      <c r="CN354" s="41">
        <v>0.9</v>
      </c>
      <c r="CO354" s="41">
        <f t="shared" si="97"/>
        <v>10</v>
      </c>
      <c r="DB354" s="40"/>
      <c r="DC354" s="40"/>
      <c r="DD354" s="40"/>
      <c r="DE354" s="40"/>
      <c r="DH354" s="40"/>
    </row>
    <row r="355" spans="5:113" s="42" customFormat="1" ht="27.5" thickBot="1" x14ac:dyDescent="0.3">
      <c r="E355" s="30"/>
      <c r="F355" s="30"/>
      <c r="G355" s="30"/>
      <c r="H355" s="30"/>
      <c r="I355" s="30"/>
      <c r="J355" s="30"/>
      <c r="K355" s="30"/>
      <c r="L355" s="30"/>
      <c r="M355" s="30"/>
      <c r="N355" s="30"/>
      <c r="O355" s="30"/>
      <c r="P355" s="30"/>
      <c r="Q355" s="30"/>
      <c r="R355" s="30"/>
      <c r="S355" s="30"/>
      <c r="T355" s="30"/>
      <c r="U355" s="30"/>
      <c r="V355" s="30"/>
      <c r="W355" s="30"/>
      <c r="X355" s="30"/>
      <c r="Y355" s="30"/>
      <c r="Z355" s="30"/>
      <c r="AA355" s="30"/>
      <c r="AB355" s="30"/>
      <c r="AC355" s="30"/>
      <c r="AD355" s="30"/>
      <c r="AE355" s="30"/>
      <c r="AF355" s="30"/>
      <c r="AG355" s="30"/>
      <c r="AH355" s="30"/>
      <c r="AI355" s="30"/>
      <c r="AJ355" s="30"/>
      <c r="AK355" s="30"/>
      <c r="AL355" s="30"/>
      <c r="AM355" s="30"/>
      <c r="AN355" s="30"/>
      <c r="AO355" s="30"/>
      <c r="AP355" s="30"/>
      <c r="AQ355" s="30"/>
      <c r="AR355" s="30"/>
      <c r="AS355" s="30"/>
      <c r="AT355" s="30"/>
      <c r="AU355" s="30"/>
      <c r="AV355" s="30"/>
      <c r="AW355" s="30"/>
      <c r="AX355" s="30"/>
      <c r="AY355" s="30"/>
      <c r="AZ355" s="30"/>
      <c r="BA355" s="30" t="s">
        <v>687</v>
      </c>
      <c r="BB355" s="30" t="s">
        <v>688</v>
      </c>
      <c r="BC355" s="30" t="s">
        <v>689</v>
      </c>
      <c r="BD355" s="30"/>
      <c r="BE355" s="30" t="s">
        <v>690</v>
      </c>
      <c r="BF355" s="30"/>
      <c r="BG355" s="242"/>
      <c r="BH355" s="181" t="s">
        <v>691</v>
      </c>
      <c r="BI355" s="181" t="s">
        <v>685</v>
      </c>
      <c r="BJ355" s="485">
        <f>1/1000</f>
        <v>1E-3</v>
      </c>
      <c r="BK355" s="181" t="s">
        <v>682</v>
      </c>
      <c r="BL355" s="486">
        <f>0/2</f>
        <v>0</v>
      </c>
      <c r="BM355" s="486">
        <f>8/1</f>
        <v>8</v>
      </c>
      <c r="BN355" s="487" t="s">
        <v>429</v>
      </c>
      <c r="BO355" s="485">
        <v>0</v>
      </c>
      <c r="BP355" s="181" t="s">
        <v>683</v>
      </c>
      <c r="BQ355" s="486">
        <v>0</v>
      </c>
      <c r="BR355" s="486">
        <v>0</v>
      </c>
      <c r="BS355" s="487" t="s">
        <v>429</v>
      </c>
      <c r="BT355" s="36"/>
      <c r="BU355" s="37"/>
      <c r="BV355" s="158"/>
      <c r="BW355" s="158"/>
      <c r="BX355" s="37"/>
      <c r="BY355" s="37"/>
      <c r="BZ355" s="37"/>
      <c r="CA355" s="39"/>
      <c r="CB355" s="37"/>
      <c r="CC355" s="37"/>
      <c r="CD355" s="39"/>
      <c r="CE355" s="39"/>
      <c r="CF355" s="39"/>
      <c r="CG355" s="39"/>
      <c r="CH355" s="37"/>
      <c r="CI355" s="37"/>
      <c r="CJ355" s="39"/>
      <c r="CK355" s="39"/>
      <c r="CL355" s="39"/>
      <c r="CM355" s="40"/>
      <c r="CN355" s="41">
        <v>0.9</v>
      </c>
      <c r="CO355" s="41">
        <f t="shared" si="97"/>
        <v>8</v>
      </c>
      <c r="DB355" s="40"/>
      <c r="DC355" s="40"/>
      <c r="DD355" s="40"/>
      <c r="DE355" s="40"/>
      <c r="DH355" s="40"/>
    </row>
    <row r="356" spans="5:113" s="42" customFormat="1" ht="27.5" thickBot="1" x14ac:dyDescent="0.3">
      <c r="E356" s="30"/>
      <c r="F356" s="30"/>
      <c r="G356" s="30"/>
      <c r="H356" s="30"/>
      <c r="I356" s="30"/>
      <c r="J356" s="30"/>
      <c r="K356" s="30"/>
      <c r="L356" s="30"/>
      <c r="M356" s="30"/>
      <c r="N356" s="30"/>
      <c r="O356" s="30"/>
      <c r="P356" s="30"/>
      <c r="Q356" s="30"/>
      <c r="R356" s="30"/>
      <c r="S356" s="30"/>
      <c r="T356" s="30"/>
      <c r="U356" s="30"/>
      <c r="V356" s="30"/>
      <c r="W356" s="30"/>
      <c r="X356" s="30"/>
      <c r="Y356" s="30"/>
      <c r="Z356" s="30"/>
      <c r="AA356" s="30"/>
      <c r="AB356" s="30"/>
      <c r="AC356" s="30"/>
      <c r="AD356" s="30"/>
      <c r="AE356" s="30"/>
      <c r="AF356" s="30"/>
      <c r="AG356" s="30"/>
      <c r="AH356" s="30"/>
      <c r="AI356" s="30"/>
      <c r="AJ356" s="30"/>
      <c r="AK356" s="30"/>
      <c r="AL356" s="30"/>
      <c r="AM356" s="30"/>
      <c r="AN356" s="30"/>
      <c r="AO356" s="30"/>
      <c r="AP356" s="30"/>
      <c r="AQ356" s="30"/>
      <c r="AR356" s="30"/>
      <c r="AS356" s="30"/>
      <c r="AT356" s="30"/>
      <c r="AU356" s="30"/>
      <c r="AV356" s="30"/>
      <c r="AW356" s="30"/>
      <c r="AX356" s="30"/>
      <c r="AY356" s="30"/>
      <c r="AZ356" s="30"/>
      <c r="BA356" s="30">
        <v>50.4</v>
      </c>
      <c r="BB356" s="30">
        <v>22</v>
      </c>
      <c r="BC356" s="30">
        <f>BB356/((BA356*1000*1000)/(1000*1000))</f>
        <v>0.43650793650793651</v>
      </c>
      <c r="BD356" s="30"/>
      <c r="BE356" s="30">
        <v>0.63500999999999996</v>
      </c>
      <c r="BF356" s="30"/>
      <c r="BG356" s="242"/>
      <c r="BH356" s="181" t="s">
        <v>692</v>
      </c>
      <c r="BI356" s="181" t="s">
        <v>693</v>
      </c>
      <c r="BJ356" s="485">
        <f>BC356*BE356</f>
        <v>0.27718690476190477</v>
      </c>
      <c r="BK356" s="181" t="s">
        <v>694</v>
      </c>
      <c r="BL356" s="486">
        <f>0%/5%</f>
        <v>0</v>
      </c>
      <c r="BM356" s="486">
        <f>10%/5%</f>
        <v>2</v>
      </c>
      <c r="BN356" s="487" t="s">
        <v>429</v>
      </c>
      <c r="BO356" s="485">
        <v>0</v>
      </c>
      <c r="BP356" s="181" t="s">
        <v>695</v>
      </c>
      <c r="BQ356" s="486">
        <v>0</v>
      </c>
      <c r="BR356" s="486">
        <v>0</v>
      </c>
      <c r="BS356" s="487" t="s">
        <v>429</v>
      </c>
      <c r="BT356" s="36"/>
      <c r="BU356" s="37"/>
      <c r="BV356" s="158"/>
      <c r="BW356" s="158"/>
      <c r="BX356" s="37"/>
      <c r="BY356" s="37"/>
      <c r="BZ356" s="37"/>
      <c r="CA356" s="39"/>
      <c r="CB356" s="37"/>
      <c r="CC356" s="37"/>
      <c r="CD356" s="39"/>
      <c r="CE356" s="39"/>
      <c r="CF356" s="39"/>
      <c r="CG356" s="39"/>
      <c r="CH356" s="37"/>
      <c r="CI356" s="37"/>
      <c r="CJ356" s="39"/>
      <c r="CK356" s="39"/>
      <c r="CL356" s="39"/>
      <c r="CM356" s="40"/>
      <c r="CN356" s="41"/>
      <c r="CO356" s="41">
        <f t="shared" si="97"/>
        <v>2</v>
      </c>
      <c r="DB356" s="40"/>
      <c r="DC356" s="40"/>
      <c r="DD356" s="40"/>
      <c r="DE356" s="40"/>
      <c r="DH356" s="40"/>
    </row>
    <row r="357" spans="5:113" s="42" customFormat="1" ht="18" thickBot="1" x14ac:dyDescent="0.3">
      <c r="BG357" s="242"/>
      <c r="BH357" s="177" t="s">
        <v>696</v>
      </c>
      <c r="BI357" s="177" t="s">
        <v>272</v>
      </c>
      <c r="BJ357" s="188">
        <f>2.7/1000</f>
        <v>2.7000000000000001E-3</v>
      </c>
      <c r="BK357" s="177" t="s">
        <v>697</v>
      </c>
      <c r="BL357" s="176">
        <f>0.9/2.7</f>
        <v>0.33333333333333331</v>
      </c>
      <c r="BM357" s="176">
        <f>0.9/2.7</f>
        <v>0.33333333333333331</v>
      </c>
      <c r="BN357" s="175" t="s">
        <v>429</v>
      </c>
      <c r="BO357" s="188">
        <f>0.07/1000</f>
        <v>7.0000000000000007E-5</v>
      </c>
      <c r="BP357" s="177" t="s">
        <v>698</v>
      </c>
      <c r="BQ357" s="176">
        <f>0.1/0.07</f>
        <v>1.4285714285714286</v>
      </c>
      <c r="BR357" s="176">
        <f>0.1/0.07</f>
        <v>1.4285714285714286</v>
      </c>
      <c r="BS357" s="175" t="s">
        <v>429</v>
      </c>
      <c r="BT357" s="36"/>
      <c r="BU357" s="188">
        <v>1515</v>
      </c>
      <c r="BV357" s="177" t="s">
        <v>388</v>
      </c>
      <c r="BW357" s="176">
        <f>177/1515</f>
        <v>0.11683168316831684</v>
      </c>
      <c r="BX357" s="176">
        <f>177/1515</f>
        <v>0.11683168316831684</v>
      </c>
      <c r="BY357" s="175" t="s">
        <v>429</v>
      </c>
      <c r="BZ357" s="37"/>
      <c r="CA357" s="39"/>
      <c r="CB357" s="37"/>
      <c r="CC357" s="37"/>
      <c r="CD357" s="39"/>
      <c r="CE357" s="39"/>
      <c r="CF357" s="39"/>
      <c r="CG357" s="39"/>
      <c r="CH357" s="37"/>
      <c r="CI357" s="37"/>
      <c r="CJ357" s="39"/>
      <c r="CK357" s="39"/>
      <c r="CL357" s="39"/>
      <c r="CM357" s="40"/>
      <c r="CN357" s="41"/>
      <c r="CO357" s="41">
        <f t="shared" si="97"/>
        <v>0.33333333333333331</v>
      </c>
      <c r="DB357" s="40"/>
      <c r="DC357" s="40"/>
      <c r="DD357" s="40"/>
      <c r="DE357" s="40"/>
      <c r="DH357" s="40"/>
    </row>
    <row r="358" spans="5:113" s="42" customFormat="1" ht="18" thickBot="1" x14ac:dyDescent="0.3">
      <c r="BG358" s="242"/>
      <c r="BH358" s="177" t="s">
        <v>699</v>
      </c>
      <c r="BI358" s="177" t="s">
        <v>272</v>
      </c>
      <c r="BJ358" s="188">
        <f>2.3/1000</f>
        <v>2.3E-3</v>
      </c>
      <c r="BK358" s="177" t="s">
        <v>697</v>
      </c>
      <c r="BL358" s="176">
        <f>0.9/2.3</f>
        <v>0.39130434782608697</v>
      </c>
      <c r="BM358" s="176">
        <f>0.9/2.3</f>
        <v>0.39130434782608697</v>
      </c>
      <c r="BN358" s="175" t="s">
        <v>429</v>
      </c>
      <c r="BO358" s="188">
        <f>0.21/1000</f>
        <v>2.0999999999999998E-4</v>
      </c>
      <c r="BP358" s="177" t="s">
        <v>698</v>
      </c>
      <c r="BQ358" s="176">
        <f>0.1/0.21</f>
        <v>0.47619047619047622</v>
      </c>
      <c r="BR358" s="176">
        <f>0.1/0.21</f>
        <v>0.47619047619047622</v>
      </c>
      <c r="BS358" s="175" t="s">
        <v>429</v>
      </c>
      <c r="BT358" s="36"/>
      <c r="BU358" s="188">
        <v>1613</v>
      </c>
      <c r="BV358" s="177" t="s">
        <v>388</v>
      </c>
      <c r="BW358" s="176">
        <f>95/1613</f>
        <v>5.8896466212027279E-2</v>
      </c>
      <c r="BX358" s="176">
        <f>95/1613</f>
        <v>5.8896466212027279E-2</v>
      </c>
      <c r="BY358" s="175" t="s">
        <v>429</v>
      </c>
      <c r="BZ358" s="37"/>
      <c r="CA358" s="39"/>
      <c r="CB358" s="37"/>
      <c r="CC358" s="37"/>
      <c r="CD358" s="39"/>
      <c r="CE358" s="39"/>
      <c r="CF358" s="39"/>
      <c r="CG358" s="39"/>
      <c r="CH358" s="37"/>
      <c r="CI358" s="37"/>
      <c r="CJ358" s="39"/>
      <c r="CK358" s="39"/>
      <c r="CL358" s="39"/>
      <c r="CM358" s="40"/>
      <c r="CN358" s="41"/>
      <c r="CO358" s="41">
        <f t="shared" si="97"/>
        <v>0.39130434782608697</v>
      </c>
      <c r="DB358" s="40"/>
      <c r="DC358" s="40"/>
      <c r="DD358" s="40"/>
      <c r="DE358" s="40"/>
      <c r="DH358" s="40"/>
    </row>
    <row r="359" spans="5:113" s="42" customFormat="1" x14ac:dyDescent="0.25">
      <c r="BG359" s="242"/>
      <c r="BH359" s="36"/>
      <c r="BI359" s="37"/>
      <c r="BJ359" s="37"/>
      <c r="BK359" s="37"/>
      <c r="BL359" s="38"/>
      <c r="BM359" s="38"/>
      <c r="BN359" s="38"/>
      <c r="BO359" s="158"/>
      <c r="BP359" s="37"/>
      <c r="BQ359" s="158"/>
      <c r="BR359" s="158"/>
      <c r="BS359" s="158"/>
      <c r="BT359" s="158"/>
      <c r="BU359" s="37"/>
      <c r="BV359" s="158"/>
      <c r="BW359" s="158"/>
      <c r="BX359" s="37"/>
      <c r="BY359" s="37"/>
      <c r="BZ359" s="37"/>
      <c r="CA359" s="39"/>
      <c r="CB359" s="37"/>
      <c r="CC359" s="37"/>
      <c r="CD359" s="39"/>
      <c r="CE359" s="39"/>
      <c r="CF359" s="39"/>
      <c r="CG359" s="39"/>
      <c r="CH359" s="37"/>
      <c r="CI359" s="37"/>
      <c r="CJ359" s="39"/>
      <c r="CK359" s="39"/>
      <c r="CL359" s="39"/>
      <c r="CM359" s="40"/>
      <c r="CN359" s="41"/>
      <c r="CO359" s="41">
        <f t="shared" si="97"/>
        <v>0</v>
      </c>
      <c r="DB359" s="40"/>
      <c r="DC359" s="40"/>
      <c r="DD359" s="40"/>
      <c r="DE359" s="40"/>
      <c r="DG359" s="42" t="s">
        <v>700</v>
      </c>
      <c r="DH359" s="42" t="s">
        <v>583</v>
      </c>
      <c r="DI359" s="42" t="s">
        <v>671</v>
      </c>
    </row>
    <row r="360" spans="5:113" s="42" customFormat="1" ht="14" thickBot="1" x14ac:dyDescent="0.3">
      <c r="BG360" s="242"/>
      <c r="BH360" s="36"/>
      <c r="BI360" s="37"/>
      <c r="BJ360" s="37"/>
      <c r="BK360" s="37"/>
      <c r="BL360" s="38"/>
      <c r="BM360" s="38"/>
      <c r="BN360" s="38"/>
      <c r="BO360" s="158"/>
      <c r="BP360" s="158"/>
      <c r="BQ360" s="158"/>
      <c r="BR360" s="158"/>
      <c r="BS360" s="158"/>
      <c r="BT360" s="158"/>
      <c r="BU360" s="37"/>
      <c r="BV360" s="158"/>
      <c r="BW360" s="158"/>
      <c r="BX360" s="37"/>
      <c r="BY360" s="37"/>
      <c r="BZ360" s="37"/>
      <c r="CA360" s="39"/>
      <c r="CB360" s="37"/>
      <c r="CC360" s="37"/>
      <c r="CD360" s="39"/>
      <c r="CE360" s="39"/>
      <c r="CF360" s="39"/>
      <c r="CG360" s="39"/>
      <c r="CH360" s="37"/>
      <c r="CI360" s="37"/>
      <c r="CJ360" s="39"/>
      <c r="CK360" s="39"/>
      <c r="CL360" s="39"/>
      <c r="CM360" s="40"/>
      <c r="CN360" s="41"/>
      <c r="CO360" s="41">
        <f t="shared" si="97"/>
        <v>0</v>
      </c>
      <c r="DB360" s="40"/>
      <c r="DC360" s="40"/>
      <c r="DD360" s="40"/>
      <c r="DE360" s="40"/>
      <c r="DG360" s="42">
        <v>1.4999999999999999E-2</v>
      </c>
      <c r="DH360" s="42">
        <v>7.0000000000000001E-3</v>
      </c>
      <c r="DI360" s="42">
        <f>+DA349*DB349*DF349*DG360*DH360*310</f>
        <v>1.4647500000000001E-2</v>
      </c>
    </row>
    <row r="361" spans="5:113" s="42" customFormat="1" ht="14" x14ac:dyDescent="0.25">
      <c r="BG361" s="242"/>
      <c r="BH361" s="582" t="s">
        <v>701</v>
      </c>
      <c r="BI361" s="170"/>
      <c r="BJ361" s="582" t="s">
        <v>677</v>
      </c>
      <c r="BK361" s="170"/>
      <c r="BL361" s="582" t="s">
        <v>302</v>
      </c>
      <c r="BM361" s="582" t="s">
        <v>302</v>
      </c>
      <c r="BN361" s="582" t="s">
        <v>303</v>
      </c>
      <c r="BO361" s="158"/>
      <c r="BP361" s="158"/>
      <c r="BQ361" s="158"/>
      <c r="BR361" s="158"/>
      <c r="BS361" s="158"/>
      <c r="BT361" s="158"/>
      <c r="BU361" s="37"/>
      <c r="BV361" s="158"/>
      <c r="BW361" s="158"/>
      <c r="BX361" s="37"/>
      <c r="BY361" s="37"/>
      <c r="BZ361" s="37"/>
      <c r="CA361" s="39"/>
      <c r="CB361" s="37"/>
      <c r="CC361" s="37"/>
      <c r="CD361" s="39"/>
      <c r="CE361" s="39"/>
      <c r="CF361" s="39"/>
      <c r="CG361" s="39"/>
      <c r="CH361" s="37"/>
      <c r="CI361" s="37"/>
      <c r="CJ361" s="39"/>
      <c r="CK361" s="39"/>
      <c r="CL361" s="39"/>
      <c r="CM361" s="40"/>
      <c r="CN361" s="41"/>
      <c r="CO361" s="41" t="str">
        <f t="shared" si="97"/>
        <v>Incertidumbre (+/- %)</v>
      </c>
      <c r="DB361" s="40"/>
      <c r="DC361" s="40"/>
      <c r="DD361" s="40"/>
      <c r="DE361" s="40"/>
    </row>
    <row r="362" spans="5:113" s="42" customFormat="1" ht="14.5" thickBot="1" x14ac:dyDescent="0.3">
      <c r="BG362" s="242"/>
      <c r="BH362" s="583"/>
      <c r="BI362" s="171" t="s">
        <v>308</v>
      </c>
      <c r="BJ362" s="583"/>
      <c r="BK362" s="171" t="s">
        <v>309</v>
      </c>
      <c r="BL362" s="583"/>
      <c r="BM362" s="583"/>
      <c r="BN362" s="583"/>
      <c r="BO362" s="158"/>
      <c r="BP362" s="158"/>
      <c r="BQ362" s="158"/>
      <c r="BR362" s="158"/>
      <c r="BS362" s="158"/>
      <c r="BT362" s="158"/>
      <c r="BU362" s="37"/>
      <c r="BV362" s="158"/>
      <c r="BW362" s="158"/>
      <c r="BX362" s="37"/>
      <c r="BY362" s="37"/>
      <c r="BZ362" s="37"/>
      <c r="CA362" s="39"/>
      <c r="CB362" s="37"/>
      <c r="CC362" s="37"/>
      <c r="CD362" s="39"/>
      <c r="CE362" s="39"/>
      <c r="CF362" s="39"/>
      <c r="CG362" s="39"/>
      <c r="CH362" s="37"/>
      <c r="CI362" s="37"/>
      <c r="CJ362" s="39"/>
      <c r="CK362" s="39"/>
      <c r="CL362" s="39"/>
      <c r="CM362" s="40"/>
      <c r="CN362" s="41"/>
      <c r="CO362" s="41">
        <f t="shared" si="97"/>
        <v>0</v>
      </c>
      <c r="DB362" s="40"/>
      <c r="DC362" s="40"/>
      <c r="DD362" s="40"/>
      <c r="DE362" s="40"/>
      <c r="DI362" s="42">
        <f>+DA349*DB349*DF349*DG360*DH360*298</f>
        <v>1.4080500000000001E-2</v>
      </c>
    </row>
    <row r="363" spans="5:113" s="42" customFormat="1" ht="18" thickBot="1" x14ac:dyDescent="0.3">
      <c r="BG363" s="242"/>
      <c r="BH363" s="177" t="s">
        <v>702</v>
      </c>
      <c r="BI363" s="177" t="s">
        <v>703</v>
      </c>
      <c r="BJ363" s="188">
        <v>3.6666999999999998E-2</v>
      </c>
      <c r="BK363" s="177" t="s">
        <v>704</v>
      </c>
      <c r="BL363" s="176">
        <v>0.1</v>
      </c>
      <c r="BM363" s="176">
        <v>3</v>
      </c>
      <c r="BN363" s="175" t="s">
        <v>429</v>
      </c>
      <c r="BO363" s="158"/>
      <c r="BP363" s="158"/>
      <c r="BQ363" s="158"/>
      <c r="BR363" s="158"/>
      <c r="BS363" s="158"/>
      <c r="BT363" s="158"/>
      <c r="BU363" s="37"/>
      <c r="BV363" s="158"/>
      <c r="BW363" s="158"/>
      <c r="BX363" s="37"/>
      <c r="BY363" s="37"/>
      <c r="BZ363" s="37"/>
      <c r="CA363" s="39"/>
      <c r="CB363" s="37"/>
      <c r="CC363" s="37"/>
      <c r="CD363" s="39"/>
      <c r="CE363" s="39"/>
      <c r="CF363" s="39"/>
      <c r="CG363" s="39"/>
      <c r="CH363" s="37"/>
      <c r="CI363" s="37"/>
      <c r="CJ363" s="39"/>
      <c r="CK363" s="39"/>
      <c r="CL363" s="39"/>
      <c r="CM363" s="40"/>
      <c r="CN363" s="41"/>
      <c r="CO363" s="41">
        <f t="shared" si="97"/>
        <v>3</v>
      </c>
      <c r="DB363" s="40"/>
      <c r="DC363" s="40"/>
      <c r="DD363" s="40"/>
      <c r="DE363" s="40"/>
    </row>
    <row r="364" spans="5:113" s="42" customFormat="1" ht="18" thickBot="1" x14ac:dyDescent="0.3">
      <c r="BG364" s="242"/>
      <c r="BH364" s="177" t="s">
        <v>705</v>
      </c>
      <c r="BI364" s="177" t="s">
        <v>703</v>
      </c>
      <c r="BJ364" s="188">
        <v>7.3332999999999995E-2</v>
      </c>
      <c r="BK364" s="177" t="s">
        <v>704</v>
      </c>
      <c r="BL364" s="176">
        <v>0.35</v>
      </c>
      <c r="BM364" s="176">
        <v>3</v>
      </c>
      <c r="BN364" s="175" t="s">
        <v>429</v>
      </c>
      <c r="BO364" s="158"/>
      <c r="BP364" s="158"/>
      <c r="BQ364" s="158"/>
      <c r="BR364" s="158"/>
      <c r="BS364" s="158"/>
      <c r="BT364" s="158"/>
      <c r="BU364" s="37"/>
      <c r="BV364" s="158"/>
      <c r="BW364" s="158"/>
      <c r="BX364" s="37"/>
      <c r="BY364" s="37"/>
      <c r="BZ364" s="37"/>
      <c r="CA364" s="39"/>
      <c r="CB364" s="37"/>
      <c r="CC364" s="37"/>
      <c r="CD364" s="39"/>
      <c r="CE364" s="39"/>
      <c r="CF364" s="39"/>
      <c r="CG364" s="39"/>
      <c r="CH364" s="37"/>
      <c r="CI364" s="37"/>
      <c r="CJ364" s="39"/>
      <c r="CK364" s="39"/>
      <c r="CL364" s="39"/>
      <c r="CM364" s="40"/>
      <c r="CN364" s="41"/>
      <c r="CO364" s="41">
        <f t="shared" si="97"/>
        <v>3</v>
      </c>
      <c r="DB364" s="40"/>
      <c r="DC364" s="40"/>
      <c r="DD364" s="40"/>
      <c r="DE364" s="40"/>
    </row>
    <row r="365" spans="5:113" s="42" customFormat="1" ht="18" thickBot="1" x14ac:dyDescent="0.3">
      <c r="BG365" s="242"/>
      <c r="BH365" s="177" t="s">
        <v>706</v>
      </c>
      <c r="BI365" s="177" t="s">
        <v>703</v>
      </c>
      <c r="BJ365" s="188">
        <v>3.6666999999999998E-2</v>
      </c>
      <c r="BK365" s="177" t="s">
        <v>704</v>
      </c>
      <c r="BL365" s="176">
        <v>0.33329999999999999</v>
      </c>
      <c r="BM365" s="176">
        <v>3</v>
      </c>
      <c r="BN365" s="175" t="s">
        <v>429</v>
      </c>
      <c r="BO365" s="158"/>
      <c r="BP365" s="158"/>
      <c r="BQ365" s="158"/>
      <c r="BR365" s="158"/>
      <c r="BS365" s="158"/>
      <c r="BT365" s="158"/>
      <c r="BU365" s="37"/>
      <c r="BV365" s="158"/>
      <c r="BW365" s="158"/>
      <c r="BX365" s="37"/>
      <c r="BY365" s="37"/>
      <c r="BZ365" s="37"/>
      <c r="CA365" s="39"/>
      <c r="CB365" s="37"/>
      <c r="CC365" s="37"/>
      <c r="CD365" s="39"/>
      <c r="CE365" s="39"/>
      <c r="CF365" s="39"/>
      <c r="CG365" s="39"/>
      <c r="CH365" s="37"/>
      <c r="CI365" s="37"/>
      <c r="CJ365" s="39"/>
      <c r="CK365" s="39"/>
      <c r="CL365" s="39"/>
      <c r="CM365" s="40"/>
      <c r="CN365" s="41"/>
      <c r="CO365" s="41">
        <f t="shared" si="97"/>
        <v>3</v>
      </c>
      <c r="DB365" s="40"/>
      <c r="DC365" s="40"/>
      <c r="DD365" s="40"/>
      <c r="DE365" s="40"/>
    </row>
    <row r="366" spans="5:113" s="42" customFormat="1" ht="18" thickBot="1" x14ac:dyDescent="0.3">
      <c r="BG366" s="242"/>
      <c r="BH366" s="177" t="s">
        <v>707</v>
      </c>
      <c r="BI366" s="177" t="s">
        <v>703</v>
      </c>
      <c r="BJ366" s="188">
        <v>1.0999999999999999E-2</v>
      </c>
      <c r="BK366" s="177" t="s">
        <v>704</v>
      </c>
      <c r="BL366" s="176">
        <v>0.01</v>
      </c>
      <c r="BM366" s="176">
        <v>2</v>
      </c>
      <c r="BN366" s="175" t="s">
        <v>429</v>
      </c>
      <c r="BO366" s="158"/>
      <c r="BP366" s="188">
        <v>3.3525000000000005</v>
      </c>
      <c r="BQ366" s="177" t="s">
        <v>708</v>
      </c>
      <c r="BR366" s="158"/>
      <c r="BS366" s="158"/>
      <c r="BT366" s="158"/>
      <c r="BU366" s="37"/>
      <c r="BV366" s="158"/>
      <c r="BW366" s="158"/>
      <c r="BX366" s="37"/>
      <c r="BY366" s="37"/>
      <c r="BZ366" s="37"/>
      <c r="CA366" s="39"/>
      <c r="CB366" s="37"/>
      <c r="CC366" s="37"/>
      <c r="CD366" s="39"/>
      <c r="CE366" s="39"/>
      <c r="CF366" s="39"/>
      <c r="CG366" s="39"/>
      <c r="CH366" s="37"/>
      <c r="CI366" s="37"/>
      <c r="CJ366" s="39"/>
      <c r="CK366" s="39"/>
      <c r="CL366" s="39"/>
      <c r="CM366" s="40"/>
      <c r="CN366" s="41"/>
      <c r="CO366" s="41">
        <f t="shared" si="97"/>
        <v>2</v>
      </c>
      <c r="DB366" s="40"/>
      <c r="DC366" s="40"/>
      <c r="DD366" s="40"/>
      <c r="DE366" s="40"/>
    </row>
    <row r="367" spans="5:113" s="42" customFormat="1" ht="18" thickBot="1" x14ac:dyDescent="0.3">
      <c r="BG367" s="242"/>
      <c r="BH367" s="177" t="s">
        <v>709</v>
      </c>
      <c r="BI367" s="177" t="s">
        <v>710</v>
      </c>
      <c r="BJ367" s="188">
        <f>0.12*(44/12)</f>
        <v>0.43999999999999995</v>
      </c>
      <c r="BK367" s="177" t="s">
        <v>711</v>
      </c>
      <c r="BL367" s="176">
        <v>0.01</v>
      </c>
      <c r="BM367" s="176">
        <v>0.5</v>
      </c>
      <c r="BN367" s="175" t="s">
        <v>429</v>
      </c>
      <c r="BO367" s="158"/>
      <c r="BP367" s="158"/>
      <c r="BQ367" s="158"/>
      <c r="BR367" s="158"/>
      <c r="BS367" s="158"/>
      <c r="BT367" s="158"/>
      <c r="BU367" s="37"/>
      <c r="BV367" s="158"/>
      <c r="BW367" s="158"/>
      <c r="BX367" s="37"/>
      <c r="BY367" s="37"/>
      <c r="BZ367" s="37"/>
      <c r="CA367" s="39"/>
      <c r="CB367" s="37"/>
      <c r="CC367" s="37"/>
      <c r="CD367" s="39"/>
      <c r="CE367" s="39"/>
      <c r="CF367" s="39"/>
      <c r="CG367" s="39"/>
      <c r="CH367" s="37"/>
      <c r="CI367" s="37"/>
      <c r="CJ367" s="39"/>
      <c r="CK367" s="39"/>
      <c r="CL367" s="39"/>
      <c r="CM367" s="40"/>
      <c r="CN367" s="41"/>
      <c r="CO367" s="41">
        <f t="shared" si="97"/>
        <v>0.5</v>
      </c>
      <c r="DB367" s="40"/>
      <c r="DC367" s="40"/>
      <c r="DD367" s="40"/>
      <c r="DE367" s="40"/>
    </row>
    <row r="368" spans="5:113" s="42" customFormat="1" ht="18" thickBot="1" x14ac:dyDescent="0.3">
      <c r="BG368" s="242"/>
      <c r="BH368" s="177" t="s">
        <v>712</v>
      </c>
      <c r="BI368" s="177" t="s">
        <v>710</v>
      </c>
      <c r="BJ368" s="188">
        <f>0.13*(44/12)</f>
        <v>0.47666666666666668</v>
      </c>
      <c r="BK368" s="177" t="s">
        <v>711</v>
      </c>
      <c r="BL368" s="176">
        <v>0.01</v>
      </c>
      <c r="BM368" s="176">
        <v>0.5</v>
      </c>
      <c r="BN368" s="175" t="s">
        <v>429</v>
      </c>
      <c r="BO368" s="158"/>
      <c r="BP368" s="158"/>
      <c r="BQ368" s="158"/>
      <c r="BR368" s="158"/>
      <c r="BS368" s="158"/>
      <c r="BT368" s="158"/>
      <c r="BU368" s="37"/>
      <c r="BV368" s="158"/>
      <c r="BW368" s="158"/>
      <c r="BX368" s="37"/>
      <c r="BY368" s="37"/>
      <c r="BZ368" s="37"/>
      <c r="CA368" s="39"/>
      <c r="CB368" s="37"/>
      <c r="CC368" s="37"/>
      <c r="CD368" s="39"/>
      <c r="CE368" s="39"/>
      <c r="CF368" s="39"/>
      <c r="CG368" s="39"/>
      <c r="CH368" s="37"/>
      <c r="CI368" s="37"/>
      <c r="CJ368" s="39"/>
      <c r="CK368" s="39"/>
      <c r="CL368" s="39"/>
      <c r="CM368" s="40"/>
      <c r="CN368" s="41"/>
      <c r="CO368" s="41">
        <f t="shared" si="97"/>
        <v>0.5</v>
      </c>
      <c r="DB368" s="40"/>
      <c r="DC368" s="40"/>
      <c r="DD368" s="40"/>
      <c r="DE368" s="40"/>
    </row>
    <row r="369" spans="59:115" s="42" customFormat="1" ht="18" thickBot="1" x14ac:dyDescent="0.3">
      <c r="BG369" s="242"/>
      <c r="BH369" s="177" t="s">
        <v>713</v>
      </c>
      <c r="BI369" s="177" t="s">
        <v>714</v>
      </c>
      <c r="BJ369" s="188">
        <f>0.2*(44/12)</f>
        <v>0.73333333333333339</v>
      </c>
      <c r="BK369" s="177" t="s">
        <v>715</v>
      </c>
      <c r="BL369" s="176">
        <v>0.01</v>
      </c>
      <c r="BM369" s="176">
        <v>0.5</v>
      </c>
      <c r="BN369" s="175" t="s">
        <v>429</v>
      </c>
      <c r="BO369" s="158"/>
      <c r="BP369" s="188"/>
      <c r="BQ369" s="177"/>
      <c r="BR369" s="158"/>
      <c r="BS369" s="158"/>
      <c r="BT369" s="158"/>
      <c r="BU369" s="37"/>
      <c r="BV369" s="158"/>
      <c r="BW369" s="158"/>
      <c r="BX369" s="37"/>
      <c r="BY369" s="37"/>
      <c r="BZ369" s="37"/>
      <c r="CA369" s="39"/>
      <c r="CB369" s="37"/>
      <c r="CC369" s="37"/>
      <c r="CD369" s="39"/>
      <c r="CE369" s="39"/>
      <c r="CF369" s="39"/>
      <c r="CG369" s="39"/>
      <c r="CH369" s="37"/>
      <c r="CI369" s="37"/>
      <c r="CJ369" s="39"/>
      <c r="CK369" s="39"/>
      <c r="CL369" s="39"/>
      <c r="CM369" s="40"/>
      <c r="CN369" s="41">
        <v>0.5</v>
      </c>
      <c r="CO369" s="41">
        <f t="shared" si="97"/>
        <v>0.5</v>
      </c>
      <c r="DB369" s="40"/>
      <c r="DC369" s="40"/>
      <c r="DD369" s="40"/>
      <c r="DE369" s="40"/>
    </row>
    <row r="370" spans="59:115" s="42" customFormat="1" x14ac:dyDescent="0.25">
      <c r="BG370" s="242"/>
      <c r="BH370" s="36"/>
      <c r="BI370" s="37"/>
      <c r="BJ370" s="37"/>
      <c r="BK370" s="37"/>
      <c r="BL370" s="38"/>
      <c r="BM370" s="38"/>
      <c r="BN370" s="38"/>
      <c r="BO370" s="158"/>
      <c r="BP370" s="158"/>
      <c r="BQ370" s="158"/>
      <c r="BR370" s="158"/>
      <c r="BS370" s="158"/>
      <c r="BT370" s="158"/>
      <c r="BU370" s="37"/>
      <c r="BV370" s="158"/>
      <c r="BW370" s="158"/>
      <c r="BX370" s="37"/>
      <c r="BY370" s="37"/>
      <c r="BZ370" s="37"/>
      <c r="CA370" s="39"/>
      <c r="CB370" s="37"/>
      <c r="CC370" s="37"/>
      <c r="CD370" s="39"/>
      <c r="CE370" s="39"/>
      <c r="CF370" s="39"/>
      <c r="CG370" s="39"/>
      <c r="CH370" s="37"/>
      <c r="CI370" s="37"/>
      <c r="CJ370" s="39"/>
      <c r="CK370" s="39"/>
      <c r="CL370" s="39"/>
      <c r="CM370" s="40"/>
      <c r="CN370" s="41"/>
      <c r="CO370" s="41">
        <f t="shared" si="97"/>
        <v>0</v>
      </c>
      <c r="CX370" s="42" t="s">
        <v>716</v>
      </c>
      <c r="CY370" s="42" t="s">
        <v>717</v>
      </c>
      <c r="DA370" s="42" t="s">
        <v>668</v>
      </c>
      <c r="DB370" s="40" t="s">
        <v>718</v>
      </c>
      <c r="DC370" s="40"/>
      <c r="DD370" s="40"/>
      <c r="DE370" s="40"/>
      <c r="DG370" s="42" t="s">
        <v>719</v>
      </c>
      <c r="DH370" s="159" t="s">
        <v>720</v>
      </c>
      <c r="DI370" s="137" t="s">
        <v>671</v>
      </c>
    </row>
    <row r="371" spans="59:115" s="42" customFormat="1" x14ac:dyDescent="0.25">
      <c r="BG371" s="242"/>
      <c r="BH371" s="36"/>
      <c r="BI371" s="37"/>
      <c r="BJ371" s="37"/>
      <c r="BK371" s="37"/>
      <c r="BL371" s="38"/>
      <c r="BM371" s="38"/>
      <c r="BN371" s="38"/>
      <c r="BO371" s="158"/>
      <c r="BP371" s="158"/>
      <c r="BQ371" s="158"/>
      <c r="BR371" s="158"/>
      <c r="BS371" s="158"/>
      <c r="BT371" s="158"/>
      <c r="BU371" s="37"/>
      <c r="BV371" s="158"/>
      <c r="BW371" s="158"/>
      <c r="BX371" s="37"/>
      <c r="BY371" s="37"/>
      <c r="BZ371" s="37"/>
      <c r="CA371" s="39"/>
      <c r="CB371" s="37"/>
      <c r="CC371" s="37"/>
      <c r="CD371" s="39"/>
      <c r="CE371" s="39"/>
      <c r="CF371" s="39"/>
      <c r="CG371" s="39"/>
      <c r="CH371" s="37"/>
      <c r="CI371" s="37"/>
      <c r="CJ371" s="39"/>
      <c r="CK371" s="39"/>
      <c r="CL371" s="39"/>
      <c r="CM371" s="40"/>
      <c r="CN371" s="41"/>
      <c r="CO371" s="41">
        <f t="shared" ref="CO371:CO436" si="120">BM371</f>
        <v>0</v>
      </c>
      <c r="CW371" s="42" t="s">
        <v>721</v>
      </c>
      <c r="CY371" s="42">
        <f>+DI371</f>
        <v>3.4875000000000003</v>
      </c>
      <c r="DA371" s="42">
        <v>1</v>
      </c>
      <c r="DB371" s="40">
        <v>0.9</v>
      </c>
      <c r="DC371" s="40"/>
      <c r="DD371" s="40"/>
      <c r="DE371" s="40"/>
      <c r="DG371" s="42">
        <v>1.2500000000000001E-2</v>
      </c>
      <c r="DH371" s="42">
        <v>310</v>
      </c>
      <c r="DI371" s="42">
        <f>+DB371*DG371*DH371</f>
        <v>3.4875000000000003</v>
      </c>
    </row>
    <row r="372" spans="59:115" s="42" customFormat="1" x14ac:dyDescent="0.25">
      <c r="BG372" s="242"/>
      <c r="BH372" s="36"/>
      <c r="BI372" s="37"/>
      <c r="BJ372" s="37"/>
      <c r="BK372" s="37"/>
      <c r="BL372" s="38"/>
      <c r="BM372" s="38"/>
      <c r="BN372" s="38"/>
      <c r="BO372" s="158"/>
      <c r="BP372" s="158"/>
      <c r="BQ372" s="158"/>
      <c r="BR372" s="158"/>
      <c r="BS372" s="158"/>
      <c r="BT372" s="158"/>
      <c r="BU372" s="37"/>
      <c r="BV372" s="158"/>
      <c r="BW372" s="158"/>
      <c r="BX372" s="37"/>
      <c r="BY372" s="37"/>
      <c r="BZ372" s="37"/>
      <c r="CA372" s="39"/>
      <c r="CB372" s="37"/>
      <c r="CC372" s="37"/>
      <c r="CD372" s="39"/>
      <c r="CE372" s="39"/>
      <c r="CF372" s="39"/>
      <c r="CG372" s="39"/>
      <c r="CH372" s="37"/>
      <c r="CI372" s="37"/>
      <c r="CJ372" s="39"/>
      <c r="CK372" s="39"/>
      <c r="CL372" s="39"/>
      <c r="CM372" s="40"/>
      <c r="CN372" s="41"/>
      <c r="CO372" s="41">
        <f t="shared" si="120"/>
        <v>0</v>
      </c>
      <c r="DB372" s="40"/>
      <c r="DC372" s="40"/>
      <c r="DD372" s="40"/>
      <c r="DE372" s="40"/>
      <c r="DH372" s="42">
        <v>298</v>
      </c>
      <c r="DI372" s="42">
        <f>+DB371*DG371*DH372</f>
        <v>3.3525000000000005</v>
      </c>
    </row>
    <row r="373" spans="59:115" s="42" customFormat="1" ht="14" thickBot="1" x14ac:dyDescent="0.3">
      <c r="BG373" s="242"/>
      <c r="BH373" s="36"/>
      <c r="BI373" s="37"/>
      <c r="BJ373" s="37"/>
      <c r="BK373" s="37"/>
      <c r="BL373" s="38"/>
      <c r="BM373" s="38"/>
      <c r="BN373" s="38"/>
      <c r="BO373" s="158"/>
      <c r="BP373" s="158"/>
      <c r="BQ373" s="158"/>
      <c r="BR373" s="158"/>
      <c r="BS373" s="158"/>
      <c r="BT373" s="158"/>
      <c r="BU373" s="37"/>
      <c r="BV373" s="158"/>
      <c r="BW373" s="158"/>
      <c r="BX373" s="37"/>
      <c r="BY373" s="37"/>
      <c r="BZ373" s="37"/>
      <c r="CA373" s="39"/>
      <c r="CB373" s="37"/>
      <c r="CC373" s="37"/>
      <c r="CD373" s="39"/>
      <c r="CE373" s="39"/>
      <c r="CF373" s="39"/>
      <c r="CG373" s="39"/>
      <c r="CH373" s="37"/>
      <c r="CI373" s="37"/>
      <c r="CJ373" s="39"/>
      <c r="CK373" s="39"/>
      <c r="CL373" s="39"/>
      <c r="CM373" s="40"/>
      <c r="CN373" s="41"/>
      <c r="CO373" s="41">
        <f t="shared" si="120"/>
        <v>0</v>
      </c>
      <c r="DB373" s="40"/>
      <c r="DC373" s="40"/>
      <c r="DD373" s="40"/>
      <c r="DE373" s="40"/>
    </row>
    <row r="374" spans="59:115" s="42" customFormat="1" ht="14" x14ac:dyDescent="0.25">
      <c r="BG374" s="242"/>
      <c r="BH374" s="582" t="s">
        <v>722</v>
      </c>
      <c r="BI374" s="170"/>
      <c r="BJ374" s="622" t="s">
        <v>723</v>
      </c>
      <c r="BK374" s="170"/>
      <c r="BL374" s="582" t="s">
        <v>302</v>
      </c>
      <c r="BM374" s="582" t="s">
        <v>302</v>
      </c>
      <c r="BN374" s="582" t="s">
        <v>303</v>
      </c>
      <c r="BO374" s="158"/>
      <c r="BP374" s="158"/>
      <c r="BQ374" s="158"/>
      <c r="BR374" s="158"/>
      <c r="BS374" s="158"/>
      <c r="BT374" s="158"/>
      <c r="BU374" s="37"/>
      <c r="BV374" s="158"/>
      <c r="BW374" s="158"/>
      <c r="BX374" s="37"/>
      <c r="BY374" s="37"/>
      <c r="BZ374" s="37"/>
      <c r="CA374" s="39"/>
      <c r="CB374" s="37"/>
      <c r="CC374" s="37"/>
      <c r="CD374" s="39"/>
      <c r="CE374" s="39"/>
      <c r="CF374" s="39"/>
      <c r="CG374" s="39"/>
      <c r="CH374" s="37"/>
      <c r="CI374" s="37"/>
      <c r="CJ374" s="39"/>
      <c r="CK374" s="39"/>
      <c r="CL374" s="39"/>
      <c r="CM374" s="40"/>
      <c r="CN374" s="41"/>
      <c r="CO374" s="41" t="str">
        <f t="shared" si="120"/>
        <v>Incertidumbre (+/- %)</v>
      </c>
      <c r="DB374" s="40"/>
      <c r="DC374" s="40"/>
      <c r="DD374" s="40"/>
      <c r="DE374" s="40"/>
    </row>
    <row r="375" spans="59:115" s="42" customFormat="1" ht="14.5" thickBot="1" x14ac:dyDescent="0.3">
      <c r="BG375" s="242"/>
      <c r="BH375" s="583"/>
      <c r="BI375" s="171" t="s">
        <v>308</v>
      </c>
      <c r="BJ375" s="623"/>
      <c r="BK375" s="171" t="s">
        <v>309</v>
      </c>
      <c r="BL375" s="583"/>
      <c r="BM375" s="583"/>
      <c r="BN375" s="583"/>
      <c r="BO375" s="158"/>
      <c r="BP375" s="158"/>
      <c r="BQ375" s="158"/>
      <c r="BR375" s="158"/>
      <c r="BS375" s="158"/>
      <c r="BT375" s="158"/>
      <c r="BU375" s="37"/>
      <c r="BV375" s="158"/>
      <c r="BW375" s="158"/>
      <c r="BX375" s="37"/>
      <c r="BY375" s="37"/>
      <c r="BZ375" s="37"/>
      <c r="CA375" s="39"/>
      <c r="CB375" s="37"/>
      <c r="CC375" s="37"/>
      <c r="CD375" s="39"/>
      <c r="CE375" s="39"/>
      <c r="CF375" s="39"/>
      <c r="CG375" s="39"/>
      <c r="CH375" s="37"/>
      <c r="CI375" s="37"/>
      <c r="CJ375" s="39"/>
      <c r="CK375" s="39"/>
      <c r="CL375" s="39"/>
      <c r="CM375" s="40"/>
      <c r="CN375" s="41"/>
      <c r="CO375" s="41">
        <f t="shared" si="120"/>
        <v>0</v>
      </c>
      <c r="DB375" s="40"/>
      <c r="DC375" s="40"/>
      <c r="DD375" s="40"/>
      <c r="DE375" s="40"/>
    </row>
    <row r="376" spans="59:115" s="42" customFormat="1" ht="18" thickBot="1" x14ac:dyDescent="0.3">
      <c r="BG376" s="242"/>
      <c r="BH376" s="473" t="s">
        <v>258</v>
      </c>
      <c r="BI376" s="177" t="s">
        <v>724</v>
      </c>
      <c r="BJ376" s="215" t="s">
        <v>725</v>
      </c>
      <c r="BK376" s="177" t="s">
        <v>726</v>
      </c>
      <c r="BL376" s="176">
        <v>0.05</v>
      </c>
      <c r="BM376" s="176">
        <v>0.1</v>
      </c>
      <c r="BN376" s="175" t="s">
        <v>727</v>
      </c>
      <c r="BO376" s="158"/>
      <c r="BP376" s="158"/>
      <c r="BQ376" s="158"/>
      <c r="BR376" s="158"/>
      <c r="BS376" s="158"/>
      <c r="BT376" s="158"/>
      <c r="BU376" s="37"/>
      <c r="BV376" s="158"/>
      <c r="BW376" s="158"/>
      <c r="BX376" s="37"/>
      <c r="BY376" s="37"/>
      <c r="BZ376" s="37"/>
      <c r="CA376" s="39"/>
      <c r="CB376" s="37"/>
      <c r="CC376" s="37"/>
      <c r="CD376" s="39"/>
      <c r="CE376" s="39"/>
      <c r="CF376" s="39"/>
      <c r="CG376" s="39"/>
      <c r="CH376" s="37"/>
      <c r="CI376" s="37"/>
      <c r="CJ376" s="39"/>
      <c r="CK376" s="39"/>
      <c r="CL376" s="39"/>
      <c r="CM376" s="40"/>
      <c r="CN376" s="41">
        <v>0.05</v>
      </c>
      <c r="CO376" s="41">
        <f t="shared" si="120"/>
        <v>0.1</v>
      </c>
      <c r="CV376" s="137"/>
      <c r="CW376" s="160"/>
      <c r="CX376" s="160"/>
      <c r="CY376" s="137"/>
      <c r="CZ376" s="137"/>
      <c r="DA376" s="137"/>
      <c r="DB376" s="160"/>
      <c r="DC376" s="160"/>
      <c r="DD376" s="160"/>
      <c r="DE376" s="160"/>
      <c r="DF376" s="160"/>
      <c r="DG376" s="137"/>
      <c r="DI376" s="156"/>
      <c r="DJ376" s="156"/>
      <c r="DK376" s="40"/>
    </row>
    <row r="377" spans="59:115" s="42" customFormat="1" ht="18" thickBot="1" x14ac:dyDescent="0.3">
      <c r="BG377" s="242"/>
      <c r="BH377" s="177" t="s">
        <v>728</v>
      </c>
      <c r="BI377" s="177" t="s">
        <v>724</v>
      </c>
      <c r="BJ377" s="188">
        <v>0.21</v>
      </c>
      <c r="BK377" s="177" t="s">
        <v>726</v>
      </c>
      <c r="BL377" s="176">
        <v>0.05</v>
      </c>
      <c r="BM377" s="176">
        <v>0.1</v>
      </c>
      <c r="BN377" s="175" t="s">
        <v>727</v>
      </c>
      <c r="BO377" s="158"/>
      <c r="BP377" s="158"/>
      <c r="BQ377" s="158"/>
      <c r="BR377" s="158"/>
      <c r="BS377" s="158"/>
      <c r="BT377" s="158"/>
      <c r="BU377" s="37"/>
      <c r="BV377" s="158"/>
      <c r="BW377" s="158"/>
      <c r="BX377" s="37"/>
      <c r="BY377" s="37"/>
      <c r="BZ377" s="37"/>
      <c r="CA377" s="39"/>
      <c r="CB377" s="37"/>
      <c r="CC377" s="37"/>
      <c r="CD377" s="39"/>
      <c r="CE377" s="39"/>
      <c r="CF377" s="39"/>
      <c r="CG377" s="39"/>
      <c r="CH377" s="37"/>
      <c r="CI377" s="37"/>
      <c r="CJ377" s="39"/>
      <c r="CK377" s="39"/>
      <c r="CL377" s="39"/>
      <c r="CM377" s="40"/>
      <c r="CN377" s="41"/>
      <c r="CO377" s="41"/>
      <c r="CV377" s="137"/>
      <c r="CW377" s="160"/>
      <c r="CX377" s="160"/>
      <c r="CY377" s="137"/>
      <c r="CZ377" s="137"/>
      <c r="DA377" s="137"/>
      <c r="DB377" s="160"/>
      <c r="DC377" s="160"/>
      <c r="DD377" s="160"/>
      <c r="DE377" s="160"/>
      <c r="DF377" s="160"/>
      <c r="DG377" s="137"/>
      <c r="DI377" s="156"/>
      <c r="DJ377" s="156"/>
      <c r="DK377" s="40"/>
    </row>
    <row r="378" spans="59:115" s="42" customFormat="1" ht="18" thickBot="1" x14ac:dyDescent="0.3">
      <c r="BG378" s="242"/>
      <c r="BH378" s="177" t="s">
        <v>729</v>
      </c>
      <c r="BI378" s="177" t="s">
        <v>724</v>
      </c>
      <c r="BJ378" s="188">
        <v>0.21</v>
      </c>
      <c r="BK378" s="177" t="s">
        <v>726</v>
      </c>
      <c r="BL378" s="176">
        <v>0.05</v>
      </c>
      <c r="BM378" s="176">
        <v>0.1</v>
      </c>
      <c r="BN378" s="175" t="s">
        <v>727</v>
      </c>
      <c r="BO378" s="158"/>
      <c r="BP378" s="158"/>
      <c r="BQ378" s="158"/>
      <c r="BR378" s="158"/>
      <c r="BS378" s="158"/>
      <c r="BT378" s="158"/>
      <c r="BU378" s="37"/>
      <c r="BV378" s="158"/>
      <c r="BW378" s="158"/>
      <c r="BX378" s="37"/>
      <c r="BY378" s="37"/>
      <c r="BZ378" s="37"/>
      <c r="CA378" s="39"/>
      <c r="CB378" s="37"/>
      <c r="CC378" s="37"/>
      <c r="CD378" s="39"/>
      <c r="CE378" s="39"/>
      <c r="CF378" s="39"/>
      <c r="CG378" s="39"/>
      <c r="CH378" s="37"/>
      <c r="CI378" s="37"/>
      <c r="CJ378" s="39"/>
      <c r="CK378" s="39"/>
      <c r="CL378" s="39"/>
      <c r="CM378" s="40"/>
      <c r="CN378" s="41"/>
      <c r="CO378" s="41"/>
      <c r="CV378" s="137"/>
      <c r="CW378" s="160"/>
      <c r="CX378" s="160"/>
      <c r="CY378" s="137"/>
      <c r="CZ378" s="137"/>
      <c r="DA378" s="137"/>
      <c r="DB378" s="160"/>
      <c r="DC378" s="160"/>
      <c r="DD378" s="160"/>
      <c r="DE378" s="160"/>
      <c r="DF378" s="160"/>
      <c r="DG378" s="137"/>
      <c r="DI378" s="156"/>
      <c r="DJ378" s="156"/>
      <c r="DK378" s="40"/>
    </row>
    <row r="379" spans="59:115" s="42" customFormat="1" ht="14" thickBot="1" x14ac:dyDescent="0.3">
      <c r="BG379" s="242"/>
      <c r="BH379" s="177" t="s">
        <v>730</v>
      </c>
      <c r="BI379" s="177" t="s">
        <v>724</v>
      </c>
      <c r="BJ379" s="188">
        <v>0.21</v>
      </c>
      <c r="BK379" s="177" t="s">
        <v>731</v>
      </c>
      <c r="BL379" s="176">
        <v>0.05</v>
      </c>
      <c r="BM379" s="176">
        <v>0.1</v>
      </c>
      <c r="BN379" s="175" t="s">
        <v>727</v>
      </c>
      <c r="BO379" s="158"/>
      <c r="BP379" s="158"/>
      <c r="BQ379" s="158"/>
      <c r="BR379" s="158"/>
      <c r="BS379" s="158"/>
      <c r="BT379" s="158"/>
      <c r="BU379" s="37"/>
      <c r="BV379" s="158"/>
      <c r="BW379" s="158"/>
      <c r="BX379" s="37"/>
      <c r="BY379" s="37"/>
      <c r="BZ379" s="37"/>
      <c r="CA379" s="39"/>
      <c r="CB379" s="37"/>
      <c r="CC379" s="37"/>
      <c r="CD379" s="39"/>
      <c r="CE379" s="39"/>
      <c r="CF379" s="39"/>
      <c r="CG379" s="39"/>
      <c r="CH379" s="37"/>
      <c r="CI379" s="37"/>
      <c r="CJ379" s="39"/>
      <c r="CK379" s="39"/>
      <c r="CL379" s="39"/>
      <c r="CM379" s="40"/>
      <c r="CN379" s="41">
        <v>0.05</v>
      </c>
      <c r="CO379" s="41">
        <f t="shared" si="120"/>
        <v>0.1</v>
      </c>
      <c r="CV379" s="137"/>
      <c r="CW379" s="160"/>
      <c r="CX379" s="160"/>
      <c r="CY379" s="137"/>
      <c r="CZ379" s="137"/>
      <c r="DA379" s="137"/>
      <c r="DB379" s="160"/>
      <c r="DC379" s="160"/>
      <c r="DD379" s="160"/>
      <c r="DE379" s="160"/>
      <c r="DF379" s="160"/>
      <c r="DG379" s="137"/>
      <c r="DI379" s="156"/>
      <c r="DJ379" s="156"/>
      <c r="DK379" s="40"/>
    </row>
    <row r="380" spans="59:115" s="42" customFormat="1" ht="18" thickBot="1" x14ac:dyDescent="0.3">
      <c r="BG380" s="242"/>
      <c r="BH380" s="177" t="s">
        <v>732</v>
      </c>
      <c r="BI380" s="177" t="s">
        <v>724</v>
      </c>
      <c r="BJ380" s="188">
        <v>0.19900000000000001</v>
      </c>
      <c r="BK380" s="177" t="s">
        <v>726</v>
      </c>
      <c r="BL380" s="176">
        <v>0.05</v>
      </c>
      <c r="BM380" s="176">
        <v>0.1</v>
      </c>
      <c r="BN380" s="175" t="s">
        <v>727</v>
      </c>
      <c r="BO380" s="158"/>
      <c r="BP380" s="158"/>
      <c r="BQ380" s="158"/>
      <c r="BR380" s="158"/>
      <c r="BS380" s="158"/>
      <c r="BT380" s="158"/>
      <c r="BU380" s="37"/>
      <c r="BV380" s="158"/>
      <c r="BW380" s="158"/>
      <c r="BX380" s="37"/>
      <c r="BY380" s="37"/>
      <c r="BZ380" s="37"/>
      <c r="CA380" s="39"/>
      <c r="CB380" s="37"/>
      <c r="CC380" s="37"/>
      <c r="CD380" s="39"/>
      <c r="CE380" s="39"/>
      <c r="CF380" s="39"/>
      <c r="CG380" s="39"/>
      <c r="CH380" s="37"/>
      <c r="CI380" s="37"/>
      <c r="CJ380" s="39"/>
      <c r="CK380" s="39"/>
      <c r="CL380" s="39"/>
      <c r="CM380" s="40"/>
      <c r="CN380" s="41"/>
      <c r="CO380" s="41">
        <f t="shared" si="120"/>
        <v>0.1</v>
      </c>
      <c r="CV380" s="137"/>
      <c r="CW380" s="160"/>
      <c r="CX380" s="160"/>
      <c r="CY380" s="137"/>
      <c r="CZ380" s="137"/>
      <c r="DA380" s="137"/>
      <c r="DB380" s="160"/>
      <c r="DC380" s="160"/>
      <c r="DD380" s="160"/>
      <c r="DE380" s="160"/>
      <c r="DF380" s="160"/>
      <c r="DG380" s="137"/>
      <c r="DI380" s="156"/>
      <c r="DJ380" s="156"/>
      <c r="DK380" s="40"/>
    </row>
    <row r="381" spans="59:115" s="42" customFormat="1" ht="18" thickBot="1" x14ac:dyDescent="0.3">
      <c r="BG381" s="242"/>
      <c r="BH381" s="177" t="s">
        <v>733</v>
      </c>
      <c r="BI381" s="177" t="s">
        <v>724</v>
      </c>
      <c r="BJ381" s="188">
        <v>0.19</v>
      </c>
      <c r="BK381" s="177" t="s">
        <v>726</v>
      </c>
      <c r="BL381" s="176">
        <v>0.05</v>
      </c>
      <c r="BM381" s="176">
        <v>0.1</v>
      </c>
      <c r="BN381" s="175" t="s">
        <v>727</v>
      </c>
      <c r="BO381" s="158"/>
      <c r="BP381" s="158"/>
      <c r="BQ381" s="158"/>
      <c r="BR381" s="158"/>
      <c r="BS381" s="158"/>
      <c r="BT381" s="158"/>
      <c r="BU381" s="37"/>
      <c r="BV381" s="158"/>
      <c r="BW381" s="158"/>
      <c r="BX381" s="37"/>
      <c r="BY381" s="37"/>
      <c r="BZ381" s="37"/>
      <c r="CA381" s="39"/>
      <c r="CB381" s="37"/>
      <c r="CC381" s="37"/>
      <c r="CD381" s="39"/>
      <c r="CE381" s="39"/>
      <c r="CF381" s="39"/>
      <c r="CG381" s="39"/>
      <c r="CH381" s="37"/>
      <c r="CI381" s="37"/>
      <c r="CJ381" s="39"/>
      <c r="CK381" s="39"/>
      <c r="CL381" s="39"/>
      <c r="CM381" s="40"/>
      <c r="CN381" s="41"/>
      <c r="CO381" s="41">
        <f t="shared" si="120"/>
        <v>0.1</v>
      </c>
      <c r="CV381" s="137"/>
      <c r="CW381" s="160"/>
      <c r="CX381" s="160"/>
      <c r="CY381" s="137"/>
      <c r="CZ381" s="137"/>
      <c r="DA381" s="137"/>
      <c r="DB381" s="160"/>
      <c r="DC381" s="160"/>
      <c r="DD381" s="160"/>
      <c r="DE381" s="160"/>
      <c r="DF381" s="160"/>
      <c r="DG381" s="137"/>
      <c r="DI381" s="156"/>
      <c r="DJ381" s="156"/>
      <c r="DK381" s="40"/>
    </row>
    <row r="382" spans="59:115" s="42" customFormat="1" ht="18" thickBot="1" x14ac:dyDescent="0.3">
      <c r="BG382" s="242"/>
      <c r="BH382" s="177" t="s">
        <v>734</v>
      </c>
      <c r="BI382" s="177" t="s">
        <v>724</v>
      </c>
      <c r="BJ382" s="188">
        <v>0.2</v>
      </c>
      <c r="BK382" s="177" t="s">
        <v>726</v>
      </c>
      <c r="BL382" s="176">
        <v>0.05</v>
      </c>
      <c r="BM382" s="176">
        <v>0.1</v>
      </c>
      <c r="BN382" s="175" t="s">
        <v>727</v>
      </c>
      <c r="BO382" s="158"/>
      <c r="BP382" s="158"/>
      <c r="BQ382" s="158"/>
      <c r="BR382" s="158"/>
      <c r="BS382" s="158"/>
      <c r="BT382" s="158"/>
      <c r="BU382" s="37"/>
      <c r="BV382" s="158"/>
      <c r="BW382" s="158"/>
      <c r="BX382" s="37"/>
      <c r="BY382" s="37"/>
      <c r="BZ382" s="37"/>
      <c r="CA382" s="39"/>
      <c r="CB382" s="37"/>
      <c r="CC382" s="37"/>
      <c r="CD382" s="39"/>
      <c r="CE382" s="39"/>
      <c r="CF382" s="39"/>
      <c r="CG382" s="39"/>
      <c r="CH382" s="37"/>
      <c r="CI382" s="37"/>
      <c r="CJ382" s="39"/>
      <c r="CK382" s="39"/>
      <c r="CL382" s="39"/>
      <c r="CM382" s="40"/>
      <c r="CN382" s="41"/>
      <c r="CO382" s="41">
        <f t="shared" si="120"/>
        <v>0.1</v>
      </c>
      <c r="CV382" s="137"/>
      <c r="CW382" s="160"/>
      <c r="CX382" s="160"/>
      <c r="CY382" s="137"/>
      <c r="CZ382" s="137"/>
      <c r="DA382" s="137"/>
      <c r="DB382" s="160"/>
      <c r="DC382" s="160"/>
      <c r="DD382" s="160"/>
      <c r="DE382" s="160"/>
      <c r="DF382" s="160"/>
      <c r="DG382" s="137"/>
      <c r="DI382" s="156"/>
      <c r="DJ382" s="156"/>
      <c r="DK382" s="40"/>
    </row>
    <row r="383" spans="59:115" s="42" customFormat="1" ht="18" thickBot="1" x14ac:dyDescent="0.3">
      <c r="BG383" s="242"/>
      <c r="BH383" s="177" t="s">
        <v>735</v>
      </c>
      <c r="BI383" s="177" t="s">
        <v>724</v>
      </c>
      <c r="BJ383" s="188">
        <v>0.15</v>
      </c>
      <c r="BK383" s="177" t="s">
        <v>726</v>
      </c>
      <c r="BL383" s="176">
        <v>0.05</v>
      </c>
      <c r="BM383" s="176">
        <v>0.1</v>
      </c>
      <c r="BN383" s="175" t="s">
        <v>727</v>
      </c>
      <c r="BO383" s="158"/>
      <c r="BP383" s="158"/>
      <c r="BQ383" s="158"/>
      <c r="BR383" s="158"/>
      <c r="BS383" s="158"/>
      <c r="BT383" s="158"/>
      <c r="BU383" s="37"/>
      <c r="BV383" s="158"/>
      <c r="BW383" s="158"/>
      <c r="BX383" s="37"/>
      <c r="BY383" s="37"/>
      <c r="BZ383" s="37"/>
      <c r="CA383" s="39"/>
      <c r="CB383" s="37"/>
      <c r="CC383" s="37"/>
      <c r="CD383" s="39"/>
      <c r="CE383" s="39"/>
      <c r="CF383" s="39"/>
      <c r="CG383" s="39"/>
      <c r="CH383" s="37"/>
      <c r="CI383" s="37"/>
      <c r="CJ383" s="39"/>
      <c r="CK383" s="39"/>
      <c r="CL383" s="39"/>
      <c r="CM383" s="40"/>
      <c r="CN383" s="41"/>
      <c r="CO383" s="41">
        <f t="shared" si="120"/>
        <v>0.1</v>
      </c>
      <c r="CV383" s="137"/>
      <c r="CW383" s="160"/>
      <c r="CX383" s="160"/>
      <c r="CY383" s="137"/>
      <c r="CZ383" s="137"/>
      <c r="DA383" s="137"/>
      <c r="DB383" s="160"/>
      <c r="DC383" s="160"/>
      <c r="DD383" s="160"/>
      <c r="DE383" s="160"/>
      <c r="DF383" s="160"/>
      <c r="DG383" s="137"/>
      <c r="DI383" s="156"/>
      <c r="DJ383" s="156"/>
      <c r="DK383" s="40"/>
    </row>
    <row r="384" spans="59:115" s="42" customFormat="1" ht="18" thickBot="1" x14ac:dyDescent="0.3">
      <c r="BG384" s="242"/>
      <c r="BH384" s="177" t="s">
        <v>736</v>
      </c>
      <c r="BI384" s="177" t="s">
        <v>724</v>
      </c>
      <c r="BJ384" s="188">
        <v>0.22</v>
      </c>
      <c r="BK384" s="177" t="s">
        <v>726</v>
      </c>
      <c r="BL384" s="176">
        <v>0.05</v>
      </c>
      <c r="BM384" s="176">
        <v>0.1</v>
      </c>
      <c r="BN384" s="175" t="s">
        <v>727</v>
      </c>
      <c r="BO384" s="158"/>
      <c r="BP384" s="158"/>
      <c r="BQ384" s="158"/>
      <c r="BR384" s="158"/>
      <c r="BS384" s="158"/>
      <c r="BT384" s="158"/>
      <c r="BU384" s="37"/>
      <c r="BV384" s="158"/>
      <c r="BW384" s="158"/>
      <c r="BX384" s="37"/>
      <c r="BY384" s="37"/>
      <c r="BZ384" s="37"/>
      <c r="CA384" s="39"/>
      <c r="CB384" s="37"/>
      <c r="CC384" s="37"/>
      <c r="CD384" s="39"/>
      <c r="CE384" s="39"/>
      <c r="CF384" s="39"/>
      <c r="CG384" s="39"/>
      <c r="CH384" s="37"/>
      <c r="CI384" s="37"/>
      <c r="CJ384" s="39"/>
      <c r="CK384" s="39"/>
      <c r="CL384" s="39"/>
      <c r="CM384" s="40"/>
      <c r="CN384" s="41"/>
      <c r="CO384" s="41">
        <f t="shared" si="120"/>
        <v>0.1</v>
      </c>
      <c r="CV384" s="137"/>
      <c r="CW384" s="160"/>
      <c r="CX384" s="160"/>
      <c r="CY384" s="137"/>
      <c r="CZ384" s="137"/>
      <c r="DA384" s="137"/>
      <c r="DB384" s="160"/>
      <c r="DC384" s="160"/>
      <c r="DD384" s="160"/>
      <c r="DE384" s="160"/>
      <c r="DF384" s="160"/>
      <c r="DG384" s="137"/>
      <c r="DI384" s="156"/>
      <c r="DJ384" s="156"/>
      <c r="DK384" s="40"/>
    </row>
    <row r="385" spans="59:115" s="42" customFormat="1" ht="18" thickBot="1" x14ac:dyDescent="0.3">
      <c r="BG385" s="242"/>
      <c r="BH385" s="177" t="s">
        <v>737</v>
      </c>
      <c r="BI385" s="177" t="s">
        <v>724</v>
      </c>
      <c r="BJ385" s="188">
        <v>0.153</v>
      </c>
      <c r="BK385" s="177" t="s">
        <v>726</v>
      </c>
      <c r="BL385" s="176">
        <v>0.05</v>
      </c>
      <c r="BM385" s="176">
        <v>0.1</v>
      </c>
      <c r="BN385" s="175" t="s">
        <v>738</v>
      </c>
      <c r="BO385" s="158"/>
      <c r="BP385" s="158"/>
      <c r="BQ385" s="158"/>
      <c r="BR385" s="158"/>
      <c r="BS385" s="158"/>
      <c r="BT385" s="158"/>
      <c r="BU385" s="37"/>
      <c r="BV385" s="158"/>
      <c r="BW385" s="158"/>
      <c r="BX385" s="37"/>
      <c r="BY385" s="37"/>
      <c r="BZ385" s="37"/>
      <c r="CA385" s="39"/>
      <c r="CB385" s="37"/>
      <c r="CC385" s="37"/>
      <c r="CD385" s="39"/>
      <c r="CE385" s="39"/>
      <c r="CF385" s="39"/>
      <c r="CG385" s="39"/>
      <c r="CH385" s="37"/>
      <c r="CI385" s="37"/>
      <c r="CJ385" s="39"/>
      <c r="CK385" s="39"/>
      <c r="CL385" s="39"/>
      <c r="CM385" s="40"/>
      <c r="CN385" s="41"/>
      <c r="CO385" s="41">
        <f t="shared" si="120"/>
        <v>0.1</v>
      </c>
      <c r="CV385" s="137"/>
      <c r="CW385" s="160"/>
      <c r="CX385" s="160"/>
      <c r="CY385" s="137"/>
      <c r="CZ385" s="137"/>
      <c r="DA385" s="137"/>
      <c r="DB385" s="160"/>
      <c r="DC385" s="160"/>
      <c r="DD385" s="160"/>
      <c r="DE385" s="160"/>
      <c r="DF385" s="160"/>
      <c r="DG385" s="137"/>
      <c r="DI385" s="156"/>
      <c r="DJ385" s="156"/>
      <c r="DK385" s="40"/>
    </row>
    <row r="386" spans="59:115" s="42" customFormat="1" ht="18" thickBot="1" x14ac:dyDescent="0.3">
      <c r="BG386" s="242"/>
      <c r="BH386" s="177" t="s">
        <v>739</v>
      </c>
      <c r="BI386" s="177" t="s">
        <v>724</v>
      </c>
      <c r="BJ386" s="188">
        <v>0.13600000000000001</v>
      </c>
      <c r="BK386" s="177" t="s">
        <v>726</v>
      </c>
      <c r="BL386" s="176">
        <v>0.05</v>
      </c>
      <c r="BM386" s="176">
        <v>0.1</v>
      </c>
      <c r="BN386" s="175" t="s">
        <v>738</v>
      </c>
      <c r="BO386" s="158"/>
      <c r="BP386" s="158"/>
      <c r="BQ386" s="158"/>
      <c r="BR386" s="158"/>
      <c r="BS386" s="158"/>
      <c r="BT386" s="158"/>
      <c r="BU386" s="37"/>
      <c r="BV386" s="158"/>
      <c r="BW386" s="158"/>
      <c r="BX386" s="37"/>
      <c r="BY386" s="37"/>
      <c r="BZ386" s="37"/>
      <c r="CA386" s="39"/>
      <c r="CB386" s="37"/>
      <c r="CC386" s="37"/>
      <c r="CD386" s="39"/>
      <c r="CE386" s="39"/>
      <c r="CF386" s="39"/>
      <c r="CG386" s="39"/>
      <c r="CH386" s="37"/>
      <c r="CI386" s="37"/>
      <c r="CJ386" s="39"/>
      <c r="CK386" s="39"/>
      <c r="CL386" s="39"/>
      <c r="CM386" s="40"/>
      <c r="CN386" s="41">
        <v>0.05</v>
      </c>
      <c r="CO386" s="41">
        <f t="shared" si="120"/>
        <v>0.1</v>
      </c>
      <c r="CV386" s="137"/>
      <c r="CW386" s="160"/>
      <c r="CX386" s="160"/>
      <c r="CY386" s="137"/>
      <c r="CZ386" s="137"/>
      <c r="DA386" s="137"/>
      <c r="DB386" s="160"/>
      <c r="DC386" s="160"/>
      <c r="DD386" s="160"/>
      <c r="DE386" s="160"/>
      <c r="DF386" s="160"/>
      <c r="DG386" s="137"/>
      <c r="DI386" s="156"/>
      <c r="DJ386" s="156"/>
      <c r="DK386" s="40"/>
    </row>
    <row r="387" spans="59:115" s="42" customFormat="1" ht="18" thickBot="1" x14ac:dyDescent="0.3">
      <c r="BG387" s="242"/>
      <c r="BH387" s="177" t="s">
        <v>740</v>
      </c>
      <c r="BI387" s="177" t="s">
        <v>724</v>
      </c>
      <c r="BJ387" s="188">
        <v>0.29039999999999999</v>
      </c>
      <c r="BK387" s="177" t="s">
        <v>726</v>
      </c>
      <c r="BL387" s="176">
        <v>0.05</v>
      </c>
      <c r="BM387" s="176">
        <v>0.1</v>
      </c>
      <c r="BN387" s="175" t="s">
        <v>727</v>
      </c>
      <c r="BO387" s="158"/>
      <c r="BP387" s="158"/>
      <c r="BQ387" s="158"/>
      <c r="BR387" s="158"/>
      <c r="BS387" s="158"/>
      <c r="BT387" s="158"/>
      <c r="BU387" s="37"/>
      <c r="BV387" s="158"/>
      <c r="BW387" s="158"/>
      <c r="BX387" s="37"/>
      <c r="BY387" s="37"/>
      <c r="BZ387" s="37"/>
      <c r="CA387" s="39"/>
      <c r="CB387" s="37"/>
      <c r="CC387" s="37"/>
      <c r="CD387" s="39"/>
      <c r="CE387" s="39"/>
      <c r="CF387" s="39"/>
      <c r="CG387" s="39"/>
      <c r="CH387" s="37"/>
      <c r="CI387" s="37"/>
      <c r="CJ387" s="39"/>
      <c r="CK387" s="39"/>
      <c r="CL387" s="39"/>
      <c r="CM387" s="40"/>
      <c r="CN387" s="41">
        <v>0.05</v>
      </c>
      <c r="CO387" s="41">
        <f t="shared" si="120"/>
        <v>0.1</v>
      </c>
      <c r="CV387" s="137"/>
      <c r="CW387" s="160"/>
      <c r="CX387" s="160"/>
      <c r="CY387" s="137"/>
      <c r="CZ387" s="137"/>
      <c r="DA387" s="137"/>
      <c r="DB387" s="160"/>
      <c r="DC387" s="160"/>
      <c r="DD387" s="160"/>
      <c r="DE387" s="160"/>
      <c r="DF387" s="160"/>
      <c r="DG387" s="137"/>
      <c r="DI387" s="156"/>
      <c r="DJ387" s="156"/>
      <c r="DK387" s="40"/>
    </row>
    <row r="388" spans="59:115" s="42" customFormat="1" x14ac:dyDescent="0.25">
      <c r="BG388" s="242"/>
      <c r="BH388" s="36"/>
      <c r="BI388" s="37"/>
      <c r="BJ388" s="37"/>
      <c r="BK388" s="37"/>
      <c r="BL388" s="38"/>
      <c r="BM388" s="38"/>
      <c r="BN388" s="38"/>
      <c r="BO388" s="158"/>
      <c r="BP388" s="158"/>
      <c r="BQ388" s="158"/>
      <c r="BR388" s="158"/>
      <c r="BS388" s="158"/>
      <c r="BT388" s="158"/>
      <c r="BU388" s="37"/>
      <c r="BV388" s="158"/>
      <c r="BW388" s="158"/>
      <c r="BX388" s="37"/>
      <c r="BY388" s="37"/>
      <c r="BZ388" s="37"/>
      <c r="CA388" s="39"/>
      <c r="CB388" s="37"/>
      <c r="CC388" s="37"/>
      <c r="CD388" s="39"/>
      <c r="CE388" s="39"/>
      <c r="CF388" s="39"/>
      <c r="CG388" s="39"/>
      <c r="CH388" s="37"/>
      <c r="CI388" s="37"/>
      <c r="CJ388" s="39"/>
      <c r="CK388" s="39"/>
      <c r="CL388" s="39"/>
      <c r="CM388" s="40"/>
      <c r="CN388" s="41"/>
      <c r="CO388" s="41">
        <f t="shared" si="120"/>
        <v>0</v>
      </c>
      <c r="CV388" s="137"/>
      <c r="CW388" s="160"/>
      <c r="CX388" s="160"/>
      <c r="CY388" s="137"/>
      <c r="CZ388" s="137"/>
      <c r="DA388" s="137"/>
      <c r="DB388" s="160"/>
      <c r="DC388" s="160"/>
      <c r="DD388" s="160"/>
      <c r="DE388" s="160"/>
      <c r="DF388" s="160"/>
      <c r="DG388" s="137"/>
      <c r="DI388" s="156"/>
      <c r="DJ388" s="156"/>
      <c r="DK388" s="40"/>
    </row>
    <row r="389" spans="59:115" s="42" customFormat="1" x14ac:dyDescent="0.25">
      <c r="BG389" s="242"/>
      <c r="BH389" s="36"/>
      <c r="BI389" s="37"/>
      <c r="BJ389" s="37"/>
      <c r="BK389" s="37"/>
      <c r="BL389" s="38"/>
      <c r="BM389" s="38"/>
      <c r="BN389" s="38"/>
      <c r="BO389" s="158"/>
      <c r="BP389" s="158"/>
      <c r="BQ389" s="158"/>
      <c r="BR389" s="158"/>
      <c r="BS389" s="158"/>
      <c r="BT389" s="158"/>
      <c r="BU389" s="37"/>
      <c r="BV389" s="158"/>
      <c r="BW389" s="158"/>
      <c r="BX389" s="37"/>
      <c r="BY389" s="37"/>
      <c r="BZ389" s="37"/>
      <c r="CA389" s="39"/>
      <c r="CB389" s="37"/>
      <c r="CC389" s="37"/>
      <c r="CD389" s="39"/>
      <c r="CE389" s="39"/>
      <c r="CF389" s="39"/>
      <c r="CG389" s="39"/>
      <c r="CH389" s="37"/>
      <c r="CI389" s="37"/>
      <c r="CJ389" s="39"/>
      <c r="CK389" s="39"/>
      <c r="CL389" s="39"/>
      <c r="CM389" s="40"/>
      <c r="CN389" s="41"/>
      <c r="CO389" s="41">
        <f t="shared" si="120"/>
        <v>0</v>
      </c>
      <c r="CV389" s="137"/>
      <c r="CW389" s="160"/>
      <c r="CX389" s="160"/>
      <c r="CY389" s="137"/>
      <c r="CZ389" s="137"/>
      <c r="DA389" s="137"/>
      <c r="DB389" s="160"/>
      <c r="DC389" s="160"/>
      <c r="DD389" s="160"/>
      <c r="DE389" s="160"/>
      <c r="DF389" s="160"/>
      <c r="DG389" s="137"/>
      <c r="DI389" s="156"/>
      <c r="DJ389" s="156"/>
      <c r="DK389" s="40"/>
    </row>
    <row r="390" spans="59:115" s="42" customFormat="1" ht="14" thickBot="1" x14ac:dyDescent="0.3">
      <c r="BG390" s="242"/>
      <c r="BH390" s="36"/>
      <c r="BI390" s="37"/>
      <c r="BJ390" s="37"/>
      <c r="BK390" s="37"/>
      <c r="BL390" s="38"/>
      <c r="BM390" s="38"/>
      <c r="BN390" s="38"/>
      <c r="BO390" s="158"/>
      <c r="BP390" s="158"/>
      <c r="BQ390" s="158"/>
      <c r="BR390" s="158"/>
      <c r="BS390" s="158"/>
      <c r="BT390" s="158"/>
      <c r="BU390" s="37"/>
      <c r="BV390" s="158"/>
      <c r="BW390" s="158"/>
      <c r="BX390" s="37"/>
      <c r="BY390" s="37"/>
      <c r="BZ390" s="37"/>
      <c r="CA390" s="39"/>
      <c r="CB390" s="37"/>
      <c r="CC390" s="37"/>
      <c r="CD390" s="39"/>
      <c r="CE390" s="39"/>
      <c r="CF390" s="39"/>
      <c r="CG390" s="39"/>
      <c r="CH390" s="37"/>
      <c r="CI390" s="37"/>
      <c r="CJ390" s="39"/>
      <c r="CK390" s="39"/>
      <c r="CL390" s="39"/>
      <c r="CM390" s="40"/>
      <c r="CN390" s="41"/>
      <c r="CO390" s="41">
        <f t="shared" si="120"/>
        <v>0</v>
      </c>
      <c r="CV390" s="137"/>
      <c r="CW390" s="160"/>
      <c r="CX390" s="160"/>
      <c r="CY390" s="137"/>
      <c r="CZ390" s="137"/>
      <c r="DA390" s="137"/>
      <c r="DB390" s="160"/>
      <c r="DC390" s="160"/>
      <c r="DD390" s="160"/>
      <c r="DE390" s="160"/>
      <c r="DF390" s="160"/>
      <c r="DG390" s="137"/>
      <c r="DI390" s="156"/>
      <c r="DJ390" s="156"/>
      <c r="DK390" s="40"/>
    </row>
    <row r="391" spans="59:115" s="42" customFormat="1" ht="14" x14ac:dyDescent="0.25">
      <c r="BG391" s="242"/>
      <c r="BH391" s="582" t="s">
        <v>741</v>
      </c>
      <c r="BI391" s="170"/>
      <c r="BJ391" s="582" t="s">
        <v>742</v>
      </c>
      <c r="BK391" s="170"/>
      <c r="BL391" s="582" t="s">
        <v>302</v>
      </c>
      <c r="BM391" s="582" t="s">
        <v>302</v>
      </c>
      <c r="BN391" s="582" t="s">
        <v>303</v>
      </c>
      <c r="BO391" s="158"/>
      <c r="BP391" s="158"/>
      <c r="BQ391" s="158"/>
      <c r="BR391" s="158"/>
      <c r="BS391" s="158"/>
      <c r="BT391" s="158"/>
      <c r="BU391" s="37"/>
      <c r="BV391" s="158"/>
      <c r="BW391" s="158"/>
      <c r="BX391" s="37"/>
      <c r="BY391" s="37"/>
      <c r="BZ391" s="37"/>
      <c r="CA391" s="39"/>
      <c r="CB391" s="37"/>
      <c r="CC391" s="37"/>
      <c r="CD391" s="39"/>
      <c r="CE391" s="39"/>
      <c r="CF391" s="39"/>
      <c r="CG391" s="39"/>
      <c r="CH391" s="37"/>
      <c r="CI391" s="37"/>
      <c r="CJ391" s="39"/>
      <c r="CK391" s="39"/>
      <c r="CL391" s="39"/>
      <c r="CM391" s="40"/>
      <c r="CN391" s="41"/>
      <c r="CO391" s="41" t="str">
        <f t="shared" si="120"/>
        <v>Incertidumbre (+/- %)</v>
      </c>
      <c r="CV391" s="137"/>
      <c r="CW391" s="160"/>
      <c r="CX391" s="160"/>
      <c r="CY391" s="137"/>
      <c r="CZ391" s="137"/>
      <c r="DA391" s="137"/>
      <c r="DB391" s="160"/>
      <c r="DC391" s="160"/>
      <c r="DD391" s="160"/>
      <c r="DE391" s="160"/>
      <c r="DF391" s="160"/>
      <c r="DG391" s="137"/>
      <c r="DI391" s="156"/>
      <c r="DJ391" s="156"/>
      <c r="DK391" s="40"/>
    </row>
    <row r="392" spans="59:115" s="42" customFormat="1" ht="14.5" thickBot="1" x14ac:dyDescent="0.3">
      <c r="BG392" s="242"/>
      <c r="BH392" s="583"/>
      <c r="BI392" s="171" t="s">
        <v>308</v>
      </c>
      <c r="BJ392" s="583"/>
      <c r="BK392" s="171" t="s">
        <v>309</v>
      </c>
      <c r="BL392" s="583"/>
      <c r="BM392" s="583"/>
      <c r="BN392" s="583"/>
      <c r="BO392" s="158"/>
      <c r="BP392" s="158"/>
      <c r="BQ392" s="158"/>
      <c r="BR392" s="158"/>
      <c r="BS392" s="158"/>
      <c r="BT392" s="158"/>
      <c r="BU392" s="37"/>
      <c r="BV392" s="158"/>
      <c r="BW392" s="158"/>
      <c r="BX392" s="37"/>
      <c r="BY392" s="37"/>
      <c r="BZ392" s="37"/>
      <c r="CA392" s="39"/>
      <c r="CB392" s="37"/>
      <c r="CC392" s="37"/>
      <c r="CD392" s="39"/>
      <c r="CE392" s="39"/>
      <c r="CF392" s="39"/>
      <c r="CG392" s="39"/>
      <c r="CH392" s="37"/>
      <c r="CI392" s="37"/>
      <c r="CJ392" s="39"/>
      <c r="CK392" s="39"/>
      <c r="CL392" s="39"/>
      <c r="CM392" s="40"/>
      <c r="CN392" s="41"/>
      <c r="CO392" s="41">
        <f t="shared" si="120"/>
        <v>0</v>
      </c>
      <c r="CV392" s="137"/>
      <c r="CW392" s="160"/>
      <c r="CX392" s="160"/>
      <c r="CY392" s="137"/>
      <c r="CZ392" s="137"/>
      <c r="DA392" s="137"/>
      <c r="DB392" s="160"/>
      <c r="DC392" s="160"/>
      <c r="DD392" s="160"/>
      <c r="DE392" s="160"/>
      <c r="DF392" s="160"/>
      <c r="DG392" s="137"/>
      <c r="DI392" s="156"/>
      <c r="DJ392" s="156"/>
      <c r="DK392" s="40"/>
    </row>
    <row r="393" spans="59:115" s="42" customFormat="1" ht="18" thickBot="1" x14ac:dyDescent="0.3">
      <c r="BG393" s="242"/>
      <c r="BH393" s="177" t="s">
        <v>743</v>
      </c>
      <c r="BI393" s="177" t="s">
        <v>744</v>
      </c>
      <c r="BJ393" s="188">
        <v>68.819999999999993</v>
      </c>
      <c r="BK393" s="177" t="s">
        <v>745</v>
      </c>
      <c r="BL393" s="176">
        <v>0.05</v>
      </c>
      <c r="BM393" s="176">
        <v>0.05</v>
      </c>
      <c r="BN393" s="175" t="s">
        <v>746</v>
      </c>
      <c r="BO393" s="158"/>
      <c r="BP393" s="158"/>
      <c r="BQ393" s="158"/>
      <c r="BR393" s="158"/>
      <c r="BS393" s="158"/>
      <c r="BT393" s="158"/>
      <c r="BU393" s="37"/>
      <c r="BV393" s="158"/>
      <c r="BW393" s="158"/>
      <c r="BX393" s="37"/>
      <c r="BY393" s="37"/>
      <c r="BZ393" s="37"/>
      <c r="CA393" s="39"/>
      <c r="CB393" s="37"/>
      <c r="CC393" s="37"/>
      <c r="CD393" s="39"/>
      <c r="CE393" s="39"/>
      <c r="CF393" s="39"/>
      <c r="CG393" s="39"/>
      <c r="CH393" s="37"/>
      <c r="CI393" s="37"/>
      <c r="CJ393" s="39"/>
      <c r="CK393" s="39"/>
      <c r="CL393" s="39"/>
      <c r="CM393" s="40"/>
      <c r="CN393" s="41">
        <v>0.05</v>
      </c>
      <c r="CO393" s="41">
        <f t="shared" si="120"/>
        <v>0.05</v>
      </c>
      <c r="CV393" s="137"/>
      <c r="CW393" s="160"/>
      <c r="CX393" s="160"/>
      <c r="CY393" s="137"/>
      <c r="CZ393" s="137"/>
      <c r="DA393" s="137"/>
      <c r="DB393" s="160"/>
      <c r="DC393" s="160"/>
      <c r="DD393" s="160"/>
      <c r="DE393" s="160"/>
      <c r="DF393" s="160"/>
      <c r="DG393" s="137"/>
      <c r="DI393" s="156"/>
      <c r="DJ393" s="156"/>
      <c r="DK393" s="40"/>
    </row>
    <row r="394" spans="59:115" s="42" customFormat="1" ht="18" thickBot="1" x14ac:dyDescent="0.3">
      <c r="BG394" s="242"/>
      <c r="BH394" s="177" t="s">
        <v>747</v>
      </c>
      <c r="BI394" s="177" t="s">
        <v>744</v>
      </c>
      <c r="BJ394" s="188">
        <v>83.37</v>
      </c>
      <c r="BK394" s="177" t="s">
        <v>745</v>
      </c>
      <c r="BL394" s="176">
        <v>0.05</v>
      </c>
      <c r="BM394" s="176">
        <v>0.05</v>
      </c>
      <c r="BN394" s="175" t="s">
        <v>746</v>
      </c>
      <c r="BO394" s="158"/>
      <c r="BP394" s="158"/>
      <c r="BQ394" s="158"/>
      <c r="BR394" s="158"/>
      <c r="BS394" s="158"/>
      <c r="BT394" s="158"/>
      <c r="BU394" s="37"/>
      <c r="BV394" s="158"/>
      <c r="BW394" s="158"/>
      <c r="BX394" s="37"/>
      <c r="BY394" s="37"/>
      <c r="BZ394" s="37"/>
      <c r="CA394" s="39"/>
      <c r="CB394" s="37"/>
      <c r="CC394" s="37"/>
      <c r="CD394" s="39"/>
      <c r="CE394" s="39"/>
      <c r="CF394" s="39"/>
      <c r="CG394" s="39"/>
      <c r="CH394" s="37"/>
      <c r="CI394" s="37"/>
      <c r="CJ394" s="39"/>
      <c r="CK394" s="39"/>
      <c r="CL394" s="39"/>
      <c r="CM394" s="40"/>
      <c r="CN394" s="41">
        <v>0.05</v>
      </c>
      <c r="CO394" s="41">
        <f t="shared" si="120"/>
        <v>0.05</v>
      </c>
      <c r="CV394" s="137"/>
      <c r="CW394" s="160"/>
      <c r="CX394" s="160"/>
      <c r="CY394" s="137"/>
      <c r="CZ394" s="137"/>
      <c r="DA394" s="137"/>
      <c r="DB394" s="160"/>
      <c r="DC394" s="160"/>
      <c r="DD394" s="160"/>
      <c r="DE394" s="160"/>
      <c r="DF394" s="160"/>
      <c r="DG394" s="137"/>
      <c r="DI394" s="156"/>
      <c r="DJ394" s="156"/>
      <c r="DK394" s="40"/>
    </row>
    <row r="395" spans="59:115" s="42" customFormat="1" ht="18" thickBot="1" x14ac:dyDescent="0.3">
      <c r="BG395" s="242"/>
      <c r="BH395" s="177" t="s">
        <v>748</v>
      </c>
      <c r="BI395" s="177" t="s">
        <v>744</v>
      </c>
      <c r="BJ395" s="188">
        <v>159.43</v>
      </c>
      <c r="BK395" s="177" t="s">
        <v>745</v>
      </c>
      <c r="BL395" s="176">
        <v>0.05</v>
      </c>
      <c r="BM395" s="176">
        <v>0.05</v>
      </c>
      <c r="BN395" s="175" t="s">
        <v>746</v>
      </c>
      <c r="BO395" s="158"/>
      <c r="BP395" s="158"/>
      <c r="BQ395" s="158"/>
      <c r="BR395" s="158"/>
      <c r="BS395" s="158"/>
      <c r="BT395" s="158"/>
      <c r="BU395" s="37"/>
      <c r="BV395" s="158"/>
      <c r="BW395" s="158"/>
      <c r="BX395" s="37"/>
      <c r="BY395" s="37"/>
      <c r="BZ395" s="37"/>
      <c r="CA395" s="39"/>
      <c r="CB395" s="37"/>
      <c r="CC395" s="37"/>
      <c r="CD395" s="39"/>
      <c r="CE395" s="39"/>
      <c r="CF395" s="39"/>
      <c r="CG395" s="39"/>
      <c r="CH395" s="37"/>
      <c r="CI395" s="37"/>
      <c r="CJ395" s="39"/>
      <c r="CK395" s="39"/>
      <c r="CL395" s="39"/>
      <c r="CM395" s="40"/>
      <c r="CN395" s="41">
        <v>0.05</v>
      </c>
      <c r="CO395" s="41">
        <f t="shared" si="120"/>
        <v>0.05</v>
      </c>
      <c r="CV395" s="137"/>
      <c r="CW395" s="160"/>
      <c r="CX395" s="160"/>
      <c r="CY395" s="137"/>
      <c r="CZ395" s="137"/>
      <c r="DA395" s="137"/>
      <c r="DB395" s="160"/>
      <c r="DC395" s="160"/>
      <c r="DD395" s="160"/>
      <c r="DE395" s="160"/>
      <c r="DF395" s="160"/>
      <c r="DG395" s="137"/>
      <c r="DI395" s="156"/>
      <c r="DJ395" s="156"/>
      <c r="DK395" s="40"/>
    </row>
    <row r="396" spans="59:115" s="42" customFormat="1" ht="18" thickBot="1" x14ac:dyDescent="0.3">
      <c r="BG396" s="242"/>
      <c r="BH396" s="177" t="s">
        <v>749</v>
      </c>
      <c r="BI396" s="177" t="s">
        <v>744</v>
      </c>
      <c r="BJ396" s="188">
        <v>102.71</v>
      </c>
      <c r="BK396" s="177" t="s">
        <v>745</v>
      </c>
      <c r="BL396" s="176">
        <v>0.05</v>
      </c>
      <c r="BM396" s="176">
        <v>0.05</v>
      </c>
      <c r="BN396" s="175" t="s">
        <v>746</v>
      </c>
      <c r="BO396" s="158"/>
      <c r="BP396" s="158"/>
      <c r="BQ396" s="158"/>
      <c r="BR396" s="158"/>
      <c r="BS396" s="158"/>
      <c r="BT396" s="158"/>
      <c r="BU396" s="37"/>
      <c r="BV396" s="158"/>
      <c r="BW396" s="158"/>
      <c r="BX396" s="37"/>
      <c r="BY396" s="37"/>
      <c r="BZ396" s="37"/>
      <c r="CA396" s="39"/>
      <c r="CB396" s="37"/>
      <c r="CC396" s="37"/>
      <c r="CD396" s="39"/>
      <c r="CE396" s="39"/>
      <c r="CF396" s="39"/>
      <c r="CG396" s="39"/>
      <c r="CH396" s="37"/>
      <c r="CI396" s="37"/>
      <c r="CJ396" s="39"/>
      <c r="CK396" s="39"/>
      <c r="CL396" s="39"/>
      <c r="CM396" s="40"/>
      <c r="CN396" s="41">
        <v>0.05</v>
      </c>
      <c r="CO396" s="41">
        <f t="shared" si="120"/>
        <v>0.05</v>
      </c>
      <c r="CV396" s="137"/>
      <c r="CW396" s="160"/>
      <c r="CX396" s="160"/>
      <c r="CY396" s="137"/>
      <c r="CZ396" s="137"/>
      <c r="DA396" s="137"/>
      <c r="DB396" s="160"/>
      <c r="DC396" s="160"/>
      <c r="DD396" s="160"/>
      <c r="DE396" s="160"/>
      <c r="DF396" s="160"/>
      <c r="DG396" s="137"/>
      <c r="DI396" s="156"/>
      <c r="DJ396" s="156"/>
      <c r="DK396" s="40"/>
    </row>
    <row r="397" spans="59:115" s="42" customFormat="1" ht="18" thickBot="1" x14ac:dyDescent="0.3">
      <c r="BG397" s="242"/>
      <c r="BH397" s="177" t="s">
        <v>750</v>
      </c>
      <c r="BI397" s="177" t="s">
        <v>744</v>
      </c>
      <c r="BJ397" s="188">
        <v>81.25</v>
      </c>
      <c r="BK397" s="177" t="s">
        <v>745</v>
      </c>
      <c r="BL397" s="176">
        <v>0.05</v>
      </c>
      <c r="BM397" s="176">
        <v>0.05</v>
      </c>
      <c r="BN397" s="175" t="s">
        <v>746</v>
      </c>
      <c r="BO397" s="158"/>
      <c r="BP397" s="158"/>
      <c r="BQ397" s="158"/>
      <c r="BR397" s="158"/>
      <c r="BS397" s="158"/>
      <c r="BT397" s="158"/>
      <c r="BU397" s="37"/>
      <c r="BV397" s="158"/>
      <c r="BW397" s="158"/>
      <c r="BX397" s="37"/>
      <c r="BY397" s="37"/>
      <c r="BZ397" s="37"/>
      <c r="CA397" s="39"/>
      <c r="CB397" s="37"/>
      <c r="CC397" s="37"/>
      <c r="CD397" s="39"/>
      <c r="CE397" s="39"/>
      <c r="CF397" s="39"/>
      <c r="CG397" s="39"/>
      <c r="CH397" s="37"/>
      <c r="CI397" s="37"/>
      <c r="CJ397" s="39"/>
      <c r="CK397" s="39"/>
      <c r="CL397" s="39"/>
      <c r="CM397" s="40"/>
      <c r="CN397" s="41">
        <v>0.05</v>
      </c>
      <c r="CO397" s="41">
        <f t="shared" si="120"/>
        <v>0.05</v>
      </c>
      <c r="CV397" s="137"/>
      <c r="CW397" s="160"/>
      <c r="CX397" s="160"/>
      <c r="CY397" s="137"/>
      <c r="CZ397" s="137"/>
      <c r="DA397" s="137"/>
      <c r="DB397" s="160"/>
      <c r="DC397" s="160"/>
      <c r="DD397" s="160"/>
      <c r="DE397" s="160"/>
      <c r="DF397" s="160"/>
      <c r="DG397" s="137"/>
      <c r="DI397" s="156"/>
      <c r="DJ397" s="156"/>
      <c r="DK397" s="40"/>
    </row>
    <row r="398" spans="59:115" s="42" customFormat="1" ht="18" thickBot="1" x14ac:dyDescent="0.3">
      <c r="BG398" s="242"/>
      <c r="BH398" s="177" t="s">
        <v>751</v>
      </c>
      <c r="BI398" s="177" t="s">
        <v>744</v>
      </c>
      <c r="BJ398" s="188">
        <v>97.7</v>
      </c>
      <c r="BK398" s="177" t="s">
        <v>745</v>
      </c>
      <c r="BL398" s="176">
        <v>0.05</v>
      </c>
      <c r="BM398" s="176">
        <v>0.05</v>
      </c>
      <c r="BN398" s="175" t="s">
        <v>746</v>
      </c>
      <c r="BO398" s="158"/>
      <c r="BP398" s="158"/>
      <c r="BQ398" s="158"/>
      <c r="BR398" s="158"/>
      <c r="BS398" s="158"/>
      <c r="BT398" s="158"/>
      <c r="BU398" s="37"/>
      <c r="BV398" s="158"/>
      <c r="BW398" s="158"/>
      <c r="BX398" s="37"/>
      <c r="BY398" s="37"/>
      <c r="BZ398" s="37"/>
      <c r="CA398" s="39"/>
      <c r="CB398" s="37"/>
      <c r="CC398" s="37"/>
      <c r="CD398" s="39"/>
      <c r="CE398" s="39"/>
      <c r="CF398" s="39"/>
      <c r="CG398" s="39"/>
      <c r="CH398" s="37"/>
      <c r="CI398" s="37"/>
      <c r="CJ398" s="39"/>
      <c r="CK398" s="39"/>
      <c r="CL398" s="39"/>
      <c r="CM398" s="40"/>
      <c r="CN398" s="41">
        <v>0.05</v>
      </c>
      <c r="CO398" s="41">
        <f t="shared" si="120"/>
        <v>0.05</v>
      </c>
      <c r="CV398" s="137"/>
      <c r="CW398" s="160"/>
      <c r="CX398" s="160"/>
      <c r="CY398" s="137"/>
      <c r="CZ398" s="137"/>
      <c r="DA398" s="137"/>
      <c r="DB398" s="160"/>
      <c r="DC398" s="160"/>
      <c r="DD398" s="160"/>
      <c r="DE398" s="160"/>
      <c r="DF398" s="160"/>
      <c r="DG398" s="137"/>
      <c r="DI398" s="156"/>
      <c r="DJ398" s="156"/>
      <c r="DK398" s="40"/>
    </row>
    <row r="399" spans="59:115" s="42" customFormat="1" ht="18" thickBot="1" x14ac:dyDescent="0.3">
      <c r="BG399" s="242"/>
      <c r="BH399" s="177" t="s">
        <v>752</v>
      </c>
      <c r="BI399" s="177" t="s">
        <v>744</v>
      </c>
      <c r="BJ399" s="188">
        <v>159.58000000000001</v>
      </c>
      <c r="BK399" s="177" t="s">
        <v>745</v>
      </c>
      <c r="BL399" s="176">
        <v>0.05</v>
      </c>
      <c r="BM399" s="176">
        <v>0.05</v>
      </c>
      <c r="BN399" s="175" t="s">
        <v>746</v>
      </c>
      <c r="BO399" s="158"/>
      <c r="BP399" s="158"/>
      <c r="BQ399" s="158"/>
      <c r="BR399" s="158"/>
      <c r="BS399" s="158"/>
      <c r="BT399" s="158"/>
      <c r="BU399" s="37"/>
      <c r="BV399" s="158"/>
      <c r="BW399" s="158"/>
      <c r="BX399" s="37"/>
      <c r="BY399" s="37"/>
      <c r="BZ399" s="37"/>
      <c r="CA399" s="39"/>
      <c r="CB399" s="37"/>
      <c r="CC399" s="37"/>
      <c r="CD399" s="39"/>
      <c r="CE399" s="39"/>
      <c r="CF399" s="39"/>
      <c r="CG399" s="39"/>
      <c r="CH399" s="37"/>
      <c r="CI399" s="37"/>
      <c r="CJ399" s="39"/>
      <c r="CK399" s="39"/>
      <c r="CL399" s="39"/>
      <c r="CM399" s="40"/>
      <c r="CN399" s="41">
        <v>0.05</v>
      </c>
      <c r="CO399" s="41">
        <f t="shared" si="120"/>
        <v>0.05</v>
      </c>
      <c r="CV399" s="137"/>
      <c r="CW399" s="160"/>
      <c r="CX399" s="160"/>
      <c r="CY399" s="137"/>
      <c r="CZ399" s="137"/>
      <c r="DA399" s="137"/>
      <c r="DB399" s="160"/>
      <c r="DC399" s="160"/>
      <c r="DD399" s="160"/>
      <c r="DE399" s="160"/>
      <c r="DF399" s="160"/>
      <c r="DG399" s="137"/>
      <c r="DI399" s="156"/>
      <c r="DJ399" s="156"/>
      <c r="DK399" s="40"/>
    </row>
    <row r="400" spans="59:115" s="42" customFormat="1" ht="18" thickBot="1" x14ac:dyDescent="0.3">
      <c r="BG400" s="242"/>
      <c r="BH400" s="177" t="s">
        <v>753</v>
      </c>
      <c r="BI400" s="177" t="s">
        <v>744</v>
      </c>
      <c r="BJ400" s="188">
        <v>116.5</v>
      </c>
      <c r="BK400" s="177" t="s">
        <v>745</v>
      </c>
      <c r="BL400" s="176">
        <v>0.05</v>
      </c>
      <c r="BM400" s="176">
        <v>0.05</v>
      </c>
      <c r="BN400" s="175" t="s">
        <v>746</v>
      </c>
      <c r="BO400" s="158"/>
      <c r="BP400" s="158"/>
      <c r="BQ400" s="158"/>
      <c r="BR400" s="158"/>
      <c r="BS400" s="158"/>
      <c r="BT400" s="158"/>
      <c r="BU400" s="37"/>
      <c r="BV400" s="158"/>
      <c r="BW400" s="158"/>
      <c r="BX400" s="37"/>
      <c r="BY400" s="37"/>
      <c r="BZ400" s="37"/>
      <c r="CA400" s="39"/>
      <c r="CB400" s="37"/>
      <c r="CC400" s="37"/>
      <c r="CD400" s="39"/>
      <c r="CE400" s="39"/>
      <c r="CF400" s="39"/>
      <c r="CG400" s="39"/>
      <c r="CH400" s="37"/>
      <c r="CI400" s="37"/>
      <c r="CJ400" s="39"/>
      <c r="CK400" s="39"/>
      <c r="CL400" s="39"/>
      <c r="CM400" s="40"/>
      <c r="CN400" s="41">
        <v>0.05</v>
      </c>
      <c r="CO400" s="41">
        <f t="shared" si="120"/>
        <v>0.05</v>
      </c>
      <c r="CV400" s="137"/>
      <c r="CW400" s="160"/>
      <c r="CX400" s="160"/>
      <c r="CY400" s="137"/>
      <c r="CZ400" s="137"/>
      <c r="DA400" s="137"/>
      <c r="DB400" s="160"/>
      <c r="DC400" s="160"/>
      <c r="DD400" s="160"/>
      <c r="DE400" s="160"/>
      <c r="DF400" s="160"/>
      <c r="DG400" s="137"/>
      <c r="DI400" s="156"/>
      <c r="DJ400" s="156"/>
      <c r="DK400" s="40"/>
    </row>
    <row r="401" spans="59:115" s="42" customFormat="1" ht="18" thickBot="1" x14ac:dyDescent="0.3">
      <c r="BG401" s="242"/>
      <c r="BH401" s="177" t="s">
        <v>754</v>
      </c>
      <c r="BI401" s="177" t="s">
        <v>744</v>
      </c>
      <c r="BJ401" s="188">
        <v>88.52</v>
      </c>
      <c r="BK401" s="177" t="s">
        <v>745</v>
      </c>
      <c r="BL401" s="176">
        <v>0.05</v>
      </c>
      <c r="BM401" s="176">
        <v>0.05</v>
      </c>
      <c r="BN401" s="175" t="s">
        <v>746</v>
      </c>
      <c r="BO401" s="158"/>
      <c r="BP401" s="158"/>
      <c r="BQ401" s="158"/>
      <c r="BR401" s="158"/>
      <c r="BS401" s="158"/>
      <c r="BT401" s="158"/>
      <c r="BU401" s="37"/>
      <c r="BV401" s="158"/>
      <c r="BW401" s="158"/>
      <c r="BX401" s="37"/>
      <c r="BY401" s="37"/>
      <c r="BZ401" s="37"/>
      <c r="CA401" s="39"/>
      <c r="CB401" s="37"/>
      <c r="CC401" s="37"/>
      <c r="CD401" s="39"/>
      <c r="CE401" s="39"/>
      <c r="CF401" s="39"/>
      <c r="CG401" s="39"/>
      <c r="CH401" s="37"/>
      <c r="CI401" s="37"/>
      <c r="CJ401" s="39"/>
      <c r="CK401" s="39"/>
      <c r="CL401" s="39"/>
      <c r="CM401" s="40"/>
      <c r="CN401" s="41">
        <v>0.05</v>
      </c>
      <c r="CO401" s="41">
        <f t="shared" si="120"/>
        <v>0.05</v>
      </c>
      <c r="CV401" s="137"/>
      <c r="CW401" s="160"/>
      <c r="CX401" s="160"/>
      <c r="CY401" s="137"/>
      <c r="CZ401" s="137"/>
      <c r="DA401" s="137"/>
      <c r="DB401" s="160"/>
      <c r="DC401" s="160"/>
      <c r="DD401" s="160"/>
      <c r="DE401" s="160"/>
      <c r="DF401" s="160"/>
      <c r="DG401" s="137"/>
      <c r="DI401" s="156"/>
      <c r="DJ401" s="156"/>
      <c r="DK401" s="40"/>
    </row>
    <row r="402" spans="59:115" s="42" customFormat="1" ht="18" thickBot="1" x14ac:dyDescent="0.3">
      <c r="BG402" s="242"/>
      <c r="BH402" s="177" t="s">
        <v>755</v>
      </c>
      <c r="BI402" s="177" t="s">
        <v>744</v>
      </c>
      <c r="BJ402" s="188">
        <v>43.4</v>
      </c>
      <c r="BK402" s="177" t="s">
        <v>745</v>
      </c>
      <c r="BL402" s="176">
        <v>0.05</v>
      </c>
      <c r="BM402" s="176">
        <v>0.05</v>
      </c>
      <c r="BN402" s="175" t="s">
        <v>746</v>
      </c>
      <c r="BO402" s="158"/>
      <c r="BP402" s="158"/>
      <c r="BQ402" s="158"/>
      <c r="BR402" s="158"/>
      <c r="BS402" s="158"/>
      <c r="BT402" s="158"/>
      <c r="BU402" s="37"/>
      <c r="BV402" s="158"/>
      <c r="BW402" s="158"/>
      <c r="BX402" s="37"/>
      <c r="BY402" s="37"/>
      <c r="BZ402" s="37"/>
      <c r="CA402" s="39"/>
      <c r="CB402" s="37"/>
      <c r="CC402" s="37"/>
      <c r="CD402" s="39"/>
      <c r="CE402" s="39"/>
      <c r="CF402" s="39"/>
      <c r="CG402" s="39"/>
      <c r="CH402" s="37"/>
      <c r="CI402" s="37"/>
      <c r="CJ402" s="39"/>
      <c r="CK402" s="39"/>
      <c r="CL402" s="39"/>
      <c r="CM402" s="40"/>
      <c r="CN402" s="41">
        <v>0.05</v>
      </c>
      <c r="CO402" s="41">
        <f t="shared" si="120"/>
        <v>0.05</v>
      </c>
      <c r="CV402" s="137"/>
      <c r="CW402" s="160"/>
      <c r="CX402" s="160"/>
      <c r="CY402" s="137"/>
      <c r="CZ402" s="137"/>
      <c r="DA402" s="137"/>
      <c r="DB402" s="160"/>
      <c r="DC402" s="160"/>
      <c r="DD402" s="160"/>
      <c r="DE402" s="160"/>
      <c r="DF402" s="160"/>
      <c r="DG402" s="137"/>
      <c r="DI402" s="156"/>
      <c r="DJ402" s="156"/>
      <c r="DK402" s="40"/>
    </row>
    <row r="403" spans="59:115" s="42" customFormat="1" ht="18" thickBot="1" x14ac:dyDescent="0.3">
      <c r="BG403" s="242"/>
      <c r="BH403" s="177" t="s">
        <v>756</v>
      </c>
      <c r="BI403" s="177" t="s">
        <v>744</v>
      </c>
      <c r="BJ403" s="188">
        <v>229.26</v>
      </c>
      <c r="BK403" s="177" t="s">
        <v>745</v>
      </c>
      <c r="BL403" s="176">
        <v>0.05</v>
      </c>
      <c r="BM403" s="176">
        <v>0.05</v>
      </c>
      <c r="BN403" s="175" t="s">
        <v>746</v>
      </c>
      <c r="BO403" s="158"/>
      <c r="BP403" s="158"/>
      <c r="BQ403" s="158"/>
      <c r="BR403" s="158"/>
      <c r="BS403" s="158"/>
      <c r="BT403" s="158"/>
      <c r="BU403" s="37"/>
      <c r="BV403" s="158"/>
      <c r="BW403" s="158"/>
      <c r="BX403" s="37"/>
      <c r="BY403" s="37"/>
      <c r="BZ403" s="37"/>
      <c r="CA403" s="39"/>
      <c r="CB403" s="37"/>
      <c r="CC403" s="37"/>
      <c r="CD403" s="39"/>
      <c r="CE403" s="39"/>
      <c r="CF403" s="39"/>
      <c r="CG403" s="39"/>
      <c r="CH403" s="37"/>
      <c r="CI403" s="37"/>
      <c r="CJ403" s="39"/>
      <c r="CK403" s="39"/>
      <c r="CL403" s="39"/>
      <c r="CM403" s="40"/>
      <c r="CN403" s="41">
        <v>0.05</v>
      </c>
      <c r="CO403" s="41">
        <f t="shared" si="120"/>
        <v>0.05</v>
      </c>
      <c r="CV403" s="137"/>
      <c r="CW403" s="160"/>
      <c r="CX403" s="160"/>
      <c r="CY403" s="137"/>
      <c r="CZ403" s="137"/>
      <c r="DA403" s="137"/>
      <c r="DB403" s="160"/>
      <c r="DC403" s="160"/>
      <c r="DD403" s="160"/>
      <c r="DE403" s="160"/>
      <c r="DF403" s="160"/>
      <c r="DG403" s="137"/>
      <c r="DI403" s="156"/>
      <c r="DJ403" s="156"/>
      <c r="DK403" s="40"/>
    </row>
    <row r="404" spans="59:115" s="42" customFormat="1" ht="18" thickBot="1" x14ac:dyDescent="0.3">
      <c r="BG404" s="242"/>
      <c r="BH404" s="177" t="s">
        <v>757</v>
      </c>
      <c r="BI404" s="177" t="s">
        <v>744</v>
      </c>
      <c r="BJ404" s="188">
        <v>55.15</v>
      </c>
      <c r="BK404" s="177" t="s">
        <v>745</v>
      </c>
      <c r="BL404" s="176">
        <v>0.05</v>
      </c>
      <c r="BM404" s="176">
        <v>0.05</v>
      </c>
      <c r="BN404" s="175" t="s">
        <v>746</v>
      </c>
      <c r="BO404" s="158"/>
      <c r="BP404" s="158"/>
      <c r="BQ404" s="158"/>
      <c r="BR404" s="158"/>
      <c r="BS404" s="158"/>
      <c r="BT404" s="158"/>
      <c r="BU404" s="37"/>
      <c r="BV404" s="158"/>
      <c r="BW404" s="158"/>
      <c r="BX404" s="37"/>
      <c r="BY404" s="37"/>
      <c r="BZ404" s="37"/>
      <c r="CA404" s="39"/>
      <c r="CB404" s="37"/>
      <c r="CC404" s="37"/>
      <c r="CD404" s="39"/>
      <c r="CE404" s="39"/>
      <c r="CF404" s="39"/>
      <c r="CG404" s="39"/>
      <c r="CH404" s="37"/>
      <c r="CI404" s="37"/>
      <c r="CJ404" s="39"/>
      <c r="CK404" s="39"/>
      <c r="CL404" s="39"/>
      <c r="CM404" s="40"/>
      <c r="CN404" s="41">
        <v>0.05</v>
      </c>
      <c r="CO404" s="41">
        <f t="shared" si="120"/>
        <v>0.05</v>
      </c>
      <c r="CV404" s="137"/>
      <c r="CW404" s="160"/>
      <c r="CX404" s="160"/>
      <c r="CY404" s="137"/>
      <c r="CZ404" s="137"/>
      <c r="DA404" s="137"/>
      <c r="DB404" s="160"/>
      <c r="DC404" s="160"/>
      <c r="DD404" s="160"/>
      <c r="DE404" s="160"/>
      <c r="DF404" s="160"/>
      <c r="DG404" s="137"/>
      <c r="DI404" s="156"/>
      <c r="DJ404" s="156"/>
      <c r="DK404" s="40"/>
    </row>
    <row r="405" spans="59:115" s="42" customFormat="1" ht="18" thickBot="1" x14ac:dyDescent="0.3">
      <c r="BG405" s="242"/>
      <c r="BH405" s="177" t="s">
        <v>758</v>
      </c>
      <c r="BI405" s="177" t="s">
        <v>744</v>
      </c>
      <c r="BJ405" s="188">
        <v>84.94</v>
      </c>
      <c r="BK405" s="177" t="s">
        <v>745</v>
      </c>
      <c r="BL405" s="176">
        <v>0.05</v>
      </c>
      <c r="BM405" s="176">
        <v>0.05</v>
      </c>
      <c r="BN405" s="175" t="s">
        <v>746</v>
      </c>
      <c r="BO405" s="158"/>
      <c r="BP405" s="158"/>
      <c r="BQ405" s="158"/>
      <c r="BR405" s="158"/>
      <c r="BS405" s="158"/>
      <c r="BT405" s="158"/>
      <c r="BU405" s="37"/>
      <c r="BV405" s="158"/>
      <c r="BW405" s="158"/>
      <c r="BX405" s="37"/>
      <c r="BY405" s="37"/>
      <c r="BZ405" s="37"/>
      <c r="CA405" s="39"/>
      <c r="CB405" s="37"/>
      <c r="CC405" s="37"/>
      <c r="CD405" s="39"/>
      <c r="CE405" s="39"/>
      <c r="CF405" s="39"/>
      <c r="CG405" s="39"/>
      <c r="CH405" s="37"/>
      <c r="CI405" s="37"/>
      <c r="CJ405" s="39"/>
      <c r="CK405" s="39"/>
      <c r="CL405" s="39"/>
      <c r="CM405" s="40"/>
      <c r="CN405" s="41">
        <v>0.05</v>
      </c>
      <c r="CO405" s="41">
        <f t="shared" si="120"/>
        <v>0.05</v>
      </c>
      <c r="CV405" s="137"/>
      <c r="CW405" s="160"/>
      <c r="CX405" s="160"/>
      <c r="CY405" s="137"/>
      <c r="CZ405" s="137"/>
      <c r="DA405" s="137"/>
      <c r="DB405" s="160"/>
      <c r="DC405" s="160"/>
      <c r="DD405" s="160"/>
      <c r="DE405" s="160"/>
      <c r="DF405" s="160"/>
      <c r="DG405" s="137"/>
      <c r="DI405" s="156"/>
      <c r="DJ405" s="156"/>
      <c r="DK405" s="40"/>
    </row>
    <row r="406" spans="59:115" s="42" customFormat="1" ht="18" thickBot="1" x14ac:dyDescent="0.3">
      <c r="BG406" s="242"/>
      <c r="BH406" s="177" t="s">
        <v>759</v>
      </c>
      <c r="BI406" s="177" t="s">
        <v>744</v>
      </c>
      <c r="BJ406" s="188">
        <v>169.75</v>
      </c>
      <c r="BK406" s="177" t="s">
        <v>745</v>
      </c>
      <c r="BL406" s="176">
        <v>0.05</v>
      </c>
      <c r="BM406" s="176">
        <v>0.05</v>
      </c>
      <c r="BN406" s="175" t="s">
        <v>746</v>
      </c>
      <c r="BO406" s="158"/>
      <c r="BP406" s="158"/>
      <c r="BQ406" s="158"/>
      <c r="BR406" s="158"/>
      <c r="BS406" s="158"/>
      <c r="BT406" s="158"/>
      <c r="BU406" s="37"/>
      <c r="BV406" s="158"/>
      <c r="BW406" s="158"/>
      <c r="BX406" s="37"/>
      <c r="BY406" s="37"/>
      <c r="BZ406" s="37"/>
      <c r="CA406" s="39"/>
      <c r="CB406" s="37"/>
      <c r="CC406" s="37"/>
      <c r="CD406" s="39"/>
      <c r="CE406" s="39"/>
      <c r="CF406" s="39"/>
      <c r="CG406" s="39"/>
      <c r="CH406" s="37"/>
      <c r="CI406" s="37"/>
      <c r="CJ406" s="39"/>
      <c r="CK406" s="39"/>
      <c r="CL406" s="39"/>
      <c r="CM406" s="40"/>
      <c r="CN406" s="41">
        <v>0.05</v>
      </c>
      <c r="CO406" s="41">
        <f t="shared" si="120"/>
        <v>0.05</v>
      </c>
      <c r="CV406" s="137"/>
      <c r="CW406" s="160"/>
      <c r="CX406" s="160"/>
      <c r="CY406" s="137"/>
      <c r="CZ406" s="137"/>
      <c r="DA406" s="137"/>
      <c r="DB406" s="160"/>
      <c r="DC406" s="160"/>
      <c r="DD406" s="160"/>
      <c r="DE406" s="160"/>
      <c r="DF406" s="160"/>
      <c r="DG406" s="137"/>
      <c r="DI406" s="156"/>
      <c r="DJ406" s="156"/>
      <c r="DK406" s="40"/>
    </row>
    <row r="407" spans="59:115" s="42" customFormat="1" ht="18" thickBot="1" x14ac:dyDescent="0.3">
      <c r="BG407" s="242"/>
      <c r="BH407" s="177" t="s">
        <v>760</v>
      </c>
      <c r="BI407" s="177" t="s">
        <v>744</v>
      </c>
      <c r="BJ407" s="188">
        <v>137.47</v>
      </c>
      <c r="BK407" s="177" t="s">
        <v>745</v>
      </c>
      <c r="BL407" s="176">
        <v>0.05</v>
      </c>
      <c r="BM407" s="176">
        <v>0.05</v>
      </c>
      <c r="BN407" s="175" t="s">
        <v>746</v>
      </c>
      <c r="BO407" s="158"/>
      <c r="BP407" s="158"/>
      <c r="BQ407" s="158"/>
      <c r="BR407" s="158"/>
      <c r="BS407" s="158"/>
      <c r="BT407" s="158"/>
      <c r="BU407" s="37"/>
      <c r="BV407" s="158"/>
      <c r="BW407" s="158"/>
      <c r="BX407" s="37"/>
      <c r="BY407" s="37"/>
      <c r="BZ407" s="37"/>
      <c r="CA407" s="39"/>
      <c r="CB407" s="37"/>
      <c r="CC407" s="37"/>
      <c r="CD407" s="39"/>
      <c r="CE407" s="39"/>
      <c r="CF407" s="39"/>
      <c r="CG407" s="39"/>
      <c r="CH407" s="37"/>
      <c r="CI407" s="37"/>
      <c r="CJ407" s="39"/>
      <c r="CK407" s="39"/>
      <c r="CL407" s="39"/>
      <c r="CM407" s="40"/>
      <c r="CN407" s="41">
        <v>0.05</v>
      </c>
      <c r="CO407" s="41">
        <f t="shared" si="120"/>
        <v>0.05</v>
      </c>
      <c r="CV407" s="137"/>
      <c r="CW407" s="160"/>
      <c r="CX407" s="160"/>
      <c r="CY407" s="137"/>
      <c r="CZ407" s="137"/>
      <c r="DA407" s="137"/>
      <c r="DB407" s="160"/>
      <c r="DC407" s="160"/>
      <c r="DD407" s="160"/>
      <c r="DE407" s="160"/>
      <c r="DF407" s="160"/>
      <c r="DG407" s="137"/>
      <c r="DI407" s="156"/>
      <c r="DJ407" s="156"/>
      <c r="DK407" s="40"/>
    </row>
    <row r="408" spans="59:115" s="42" customFormat="1" ht="18" thickBot="1" x14ac:dyDescent="0.3">
      <c r="BG408" s="242"/>
      <c r="BH408" s="177" t="s">
        <v>761</v>
      </c>
      <c r="BI408" s="177" t="s">
        <v>744</v>
      </c>
      <c r="BJ408" s="188">
        <v>75.37</v>
      </c>
      <c r="BK408" s="177" t="s">
        <v>745</v>
      </c>
      <c r="BL408" s="176">
        <v>0.05</v>
      </c>
      <c r="BM408" s="176">
        <v>0.05</v>
      </c>
      <c r="BN408" s="175" t="s">
        <v>746</v>
      </c>
      <c r="BO408" s="158"/>
      <c r="BP408" s="158"/>
      <c r="BQ408" s="158"/>
      <c r="BR408" s="158"/>
      <c r="BS408" s="158"/>
      <c r="BT408" s="158"/>
      <c r="BU408" s="37"/>
      <c r="BV408" s="158"/>
      <c r="BW408" s="158"/>
      <c r="BX408" s="37"/>
      <c r="BY408" s="37"/>
      <c r="BZ408" s="37"/>
      <c r="CA408" s="39"/>
      <c r="CB408" s="37"/>
      <c r="CC408" s="37"/>
      <c r="CD408" s="39"/>
      <c r="CE408" s="39"/>
      <c r="CF408" s="39"/>
      <c r="CG408" s="39"/>
      <c r="CH408" s="37"/>
      <c r="CI408" s="37"/>
      <c r="CJ408" s="39"/>
      <c r="CK408" s="39"/>
      <c r="CL408" s="39"/>
      <c r="CM408" s="40"/>
      <c r="CN408" s="41">
        <v>0.05</v>
      </c>
      <c r="CO408" s="41">
        <f t="shared" si="120"/>
        <v>0.05</v>
      </c>
      <c r="CV408" s="137"/>
      <c r="CW408" s="160"/>
      <c r="CX408" s="160"/>
      <c r="CY408" s="137"/>
      <c r="CZ408" s="137"/>
      <c r="DA408" s="137"/>
      <c r="DB408" s="160"/>
      <c r="DC408" s="160"/>
      <c r="DD408" s="160"/>
      <c r="DE408" s="160"/>
      <c r="DF408" s="160"/>
      <c r="DG408" s="137"/>
      <c r="DI408" s="156"/>
      <c r="DJ408" s="156"/>
      <c r="DK408" s="40"/>
    </row>
    <row r="409" spans="59:115" s="42" customFormat="1" ht="18" thickBot="1" x14ac:dyDescent="0.3">
      <c r="BG409" s="242"/>
      <c r="BH409" s="177" t="s">
        <v>762</v>
      </c>
      <c r="BI409" s="177" t="s">
        <v>744</v>
      </c>
      <c r="BJ409" s="188">
        <v>130.97999999999999</v>
      </c>
      <c r="BK409" s="177" t="s">
        <v>745</v>
      </c>
      <c r="BL409" s="176">
        <v>0.05</v>
      </c>
      <c r="BM409" s="176">
        <v>0.05</v>
      </c>
      <c r="BN409" s="175" t="s">
        <v>746</v>
      </c>
      <c r="BO409" s="158"/>
      <c r="BP409" s="158"/>
      <c r="BQ409" s="158"/>
      <c r="BR409" s="158"/>
      <c r="BS409" s="158"/>
      <c r="BT409" s="158"/>
      <c r="BU409" s="37"/>
      <c r="BV409" s="158"/>
      <c r="BW409" s="158"/>
      <c r="BX409" s="37"/>
      <c r="BY409" s="37"/>
      <c r="BZ409" s="37"/>
      <c r="CA409" s="39"/>
      <c r="CB409" s="37"/>
      <c r="CC409" s="37"/>
      <c r="CD409" s="39"/>
      <c r="CE409" s="39"/>
      <c r="CF409" s="39"/>
      <c r="CG409" s="39"/>
      <c r="CH409" s="37"/>
      <c r="CI409" s="37"/>
      <c r="CJ409" s="39"/>
      <c r="CK409" s="39"/>
      <c r="CL409" s="39"/>
      <c r="CM409" s="40"/>
      <c r="CN409" s="41">
        <v>0.05</v>
      </c>
      <c r="CO409" s="41">
        <f t="shared" si="120"/>
        <v>0.05</v>
      </c>
      <c r="CV409" s="137"/>
      <c r="CW409" s="160"/>
      <c r="CX409" s="160"/>
      <c r="CY409" s="137"/>
      <c r="CZ409" s="137"/>
      <c r="DA409" s="137"/>
      <c r="DB409" s="160"/>
      <c r="DC409" s="160"/>
      <c r="DD409" s="160"/>
      <c r="DE409" s="160"/>
      <c r="DF409" s="160"/>
      <c r="DG409" s="137"/>
      <c r="DI409" s="156"/>
      <c r="DJ409" s="156"/>
      <c r="DK409" s="40"/>
    </row>
    <row r="410" spans="59:115" s="42" customFormat="1" ht="18" thickBot="1" x14ac:dyDescent="0.3">
      <c r="BG410" s="242"/>
      <c r="BH410" s="177" t="s">
        <v>763</v>
      </c>
      <c r="BI410" s="177" t="s">
        <v>744</v>
      </c>
      <c r="BJ410" s="188">
        <v>79.5</v>
      </c>
      <c r="BK410" s="177" t="s">
        <v>745</v>
      </c>
      <c r="BL410" s="176">
        <v>0.05</v>
      </c>
      <c r="BM410" s="176">
        <v>0.05</v>
      </c>
      <c r="BN410" s="175" t="s">
        <v>746</v>
      </c>
      <c r="BO410" s="158"/>
      <c r="BP410" s="158"/>
      <c r="BQ410" s="158"/>
      <c r="BR410" s="158"/>
      <c r="BS410" s="158"/>
      <c r="BT410" s="158"/>
      <c r="BU410" s="37"/>
      <c r="BV410" s="158"/>
      <c r="BW410" s="158"/>
      <c r="BX410" s="37"/>
      <c r="BY410" s="37"/>
      <c r="BZ410" s="37"/>
      <c r="CA410" s="39"/>
      <c r="CB410" s="37"/>
      <c r="CC410" s="37"/>
      <c r="CD410" s="39"/>
      <c r="CE410" s="39"/>
      <c r="CF410" s="39"/>
      <c r="CG410" s="39"/>
      <c r="CH410" s="37"/>
      <c r="CI410" s="37"/>
      <c r="CJ410" s="39"/>
      <c r="CK410" s="39"/>
      <c r="CL410" s="39"/>
      <c r="CM410" s="40"/>
      <c r="CN410" s="41">
        <v>0.05</v>
      </c>
      <c r="CO410" s="41">
        <f t="shared" si="120"/>
        <v>0.05</v>
      </c>
      <c r="CV410" s="137"/>
      <c r="CW410" s="160"/>
      <c r="CX410" s="160"/>
      <c r="CY410" s="137"/>
      <c r="CZ410" s="137"/>
      <c r="DA410" s="137"/>
      <c r="DB410" s="160"/>
      <c r="DC410" s="160"/>
      <c r="DD410" s="160"/>
      <c r="DE410" s="160"/>
      <c r="DF410" s="160"/>
      <c r="DG410" s="137"/>
      <c r="DI410" s="156"/>
      <c r="DJ410" s="156"/>
      <c r="DK410" s="40"/>
    </row>
    <row r="411" spans="59:115" s="42" customFormat="1" ht="18" thickBot="1" x14ac:dyDescent="0.3">
      <c r="BG411" s="242"/>
      <c r="BH411" s="177" t="s">
        <v>764</v>
      </c>
      <c r="BI411" s="177" t="s">
        <v>744</v>
      </c>
      <c r="BJ411" s="188">
        <v>73.42</v>
      </c>
      <c r="BK411" s="177" t="s">
        <v>745</v>
      </c>
      <c r="BL411" s="176">
        <v>0.05</v>
      </c>
      <c r="BM411" s="176">
        <v>0.05</v>
      </c>
      <c r="BN411" s="175" t="s">
        <v>746</v>
      </c>
      <c r="BO411" s="158"/>
      <c r="BP411" s="158"/>
      <c r="BQ411" s="158"/>
      <c r="BR411" s="158"/>
      <c r="BS411" s="158"/>
      <c r="BT411" s="158"/>
      <c r="BU411" s="37"/>
      <c r="BV411" s="158"/>
      <c r="BW411" s="158"/>
      <c r="BX411" s="37"/>
      <c r="BY411" s="37"/>
      <c r="BZ411" s="37"/>
      <c r="CA411" s="39"/>
      <c r="CB411" s="37"/>
      <c r="CC411" s="37"/>
      <c r="CD411" s="39"/>
      <c r="CE411" s="39"/>
      <c r="CF411" s="39"/>
      <c r="CG411" s="39"/>
      <c r="CH411" s="37"/>
      <c r="CI411" s="37"/>
      <c r="CJ411" s="39"/>
      <c r="CK411" s="39"/>
      <c r="CL411" s="39"/>
      <c r="CM411" s="40"/>
      <c r="CN411" s="41">
        <v>0.05</v>
      </c>
      <c r="CO411" s="41">
        <f t="shared" si="120"/>
        <v>0.05</v>
      </c>
      <c r="CV411" s="137"/>
      <c r="CW411" s="160"/>
      <c r="CX411" s="160"/>
      <c r="CY411" s="137"/>
      <c r="CZ411" s="137"/>
      <c r="DA411" s="137"/>
      <c r="DB411" s="160"/>
      <c r="DC411" s="160"/>
      <c r="DD411" s="160"/>
      <c r="DE411" s="160"/>
      <c r="DF411" s="160"/>
      <c r="DG411" s="137"/>
      <c r="DI411" s="156"/>
      <c r="DJ411" s="156"/>
      <c r="DK411" s="40"/>
    </row>
    <row r="412" spans="59:115" s="42" customFormat="1" ht="18" thickBot="1" x14ac:dyDescent="0.3">
      <c r="BG412" s="242"/>
      <c r="BH412" s="177" t="s">
        <v>765</v>
      </c>
      <c r="BI412" s="177" t="s">
        <v>744</v>
      </c>
      <c r="BJ412" s="188">
        <v>131.06</v>
      </c>
      <c r="BK412" s="177" t="s">
        <v>745</v>
      </c>
      <c r="BL412" s="176">
        <v>0.05</v>
      </c>
      <c r="BM412" s="176">
        <v>0.05</v>
      </c>
      <c r="BN412" s="175" t="s">
        <v>746</v>
      </c>
      <c r="BO412" s="158"/>
      <c r="BP412" s="158"/>
      <c r="BQ412" s="158"/>
      <c r="BR412" s="158"/>
      <c r="BS412" s="158"/>
      <c r="BT412" s="158"/>
      <c r="BU412" s="37"/>
      <c r="BV412" s="158"/>
      <c r="BW412" s="158"/>
      <c r="BX412" s="37"/>
      <c r="BY412" s="37"/>
      <c r="BZ412" s="37"/>
      <c r="CA412" s="39"/>
      <c r="CB412" s="37"/>
      <c r="CC412" s="37"/>
      <c r="CD412" s="39"/>
      <c r="CE412" s="39"/>
      <c r="CF412" s="39"/>
      <c r="CG412" s="39"/>
      <c r="CH412" s="37"/>
      <c r="CI412" s="37"/>
      <c r="CJ412" s="39"/>
      <c r="CK412" s="39"/>
      <c r="CL412" s="39"/>
      <c r="CM412" s="40"/>
      <c r="CN412" s="41">
        <v>0.05</v>
      </c>
      <c r="CO412" s="41">
        <f t="shared" si="120"/>
        <v>0.05</v>
      </c>
      <c r="CV412" s="137"/>
      <c r="CW412" s="160"/>
      <c r="CX412" s="160"/>
      <c r="CY412" s="137"/>
      <c r="CZ412" s="137"/>
      <c r="DA412" s="137"/>
      <c r="DB412" s="160"/>
      <c r="DC412" s="160"/>
      <c r="DD412" s="160"/>
      <c r="DE412" s="160"/>
      <c r="DF412" s="160"/>
      <c r="DG412" s="137"/>
      <c r="DI412" s="156"/>
      <c r="DJ412" s="156"/>
      <c r="DK412" s="40"/>
    </row>
    <row r="413" spans="59:115" s="42" customFormat="1" ht="18" thickBot="1" x14ac:dyDescent="0.3">
      <c r="BG413" s="242"/>
      <c r="BH413" s="177" t="s">
        <v>766</v>
      </c>
      <c r="BI413" s="177" t="s">
        <v>744</v>
      </c>
      <c r="BJ413" s="188">
        <v>196.94</v>
      </c>
      <c r="BK413" s="177" t="s">
        <v>745</v>
      </c>
      <c r="BL413" s="176">
        <v>0.05</v>
      </c>
      <c r="BM413" s="176">
        <v>0.05</v>
      </c>
      <c r="BN413" s="175" t="s">
        <v>746</v>
      </c>
      <c r="BO413" s="158"/>
      <c r="BP413" s="158"/>
      <c r="BQ413" s="158"/>
      <c r="BR413" s="158"/>
      <c r="BS413" s="158"/>
      <c r="BT413" s="158"/>
      <c r="BU413" s="37"/>
      <c r="BV413" s="158"/>
      <c r="BW413" s="158"/>
      <c r="BX413" s="37"/>
      <c r="BY413" s="37"/>
      <c r="BZ413" s="37"/>
      <c r="CA413" s="39"/>
      <c r="CB413" s="37"/>
      <c r="CC413" s="37"/>
      <c r="CD413" s="39"/>
      <c r="CE413" s="39"/>
      <c r="CF413" s="39"/>
      <c r="CG413" s="39"/>
      <c r="CH413" s="37"/>
      <c r="CI413" s="37"/>
      <c r="CJ413" s="39"/>
      <c r="CK413" s="39"/>
      <c r="CL413" s="39"/>
      <c r="CM413" s="40"/>
      <c r="CN413" s="41">
        <v>0.05</v>
      </c>
      <c r="CO413" s="41">
        <f t="shared" si="120"/>
        <v>0.05</v>
      </c>
      <c r="CV413" s="137"/>
      <c r="CW413" s="160"/>
      <c r="CX413" s="160"/>
      <c r="CY413" s="137"/>
      <c r="CZ413" s="137"/>
      <c r="DA413" s="137"/>
      <c r="DB413" s="160"/>
      <c r="DC413" s="160"/>
      <c r="DD413" s="160"/>
      <c r="DE413" s="160"/>
      <c r="DF413" s="160"/>
      <c r="DG413" s="137"/>
      <c r="DI413" s="156"/>
      <c r="DJ413" s="156"/>
      <c r="DK413" s="40"/>
    </row>
    <row r="414" spans="59:115" s="42" customFormat="1" ht="18" thickBot="1" x14ac:dyDescent="0.3">
      <c r="BG414" s="242"/>
      <c r="BH414" s="177" t="s">
        <v>767</v>
      </c>
      <c r="BI414" s="177" t="s">
        <v>744</v>
      </c>
      <c r="BJ414" s="188">
        <v>188.24</v>
      </c>
      <c r="BK414" s="177" t="s">
        <v>745</v>
      </c>
      <c r="BL414" s="176">
        <v>0.05</v>
      </c>
      <c r="BM414" s="176">
        <v>0.05</v>
      </c>
      <c r="BN414" s="175" t="s">
        <v>746</v>
      </c>
      <c r="BO414" s="158"/>
      <c r="BP414" s="158"/>
      <c r="BQ414" s="158"/>
      <c r="BR414" s="158"/>
      <c r="BS414" s="158"/>
      <c r="BT414" s="158"/>
      <c r="BU414" s="37"/>
      <c r="BV414" s="158"/>
      <c r="BW414" s="158"/>
      <c r="BX414" s="37"/>
      <c r="BY414" s="37"/>
      <c r="BZ414" s="37"/>
      <c r="CA414" s="39"/>
      <c r="CB414" s="37"/>
      <c r="CC414" s="37"/>
      <c r="CD414" s="39"/>
      <c r="CE414" s="39"/>
      <c r="CF414" s="39"/>
      <c r="CG414" s="39"/>
      <c r="CH414" s="37"/>
      <c r="CI414" s="37"/>
      <c r="CJ414" s="39"/>
      <c r="CK414" s="39"/>
      <c r="CL414" s="39"/>
      <c r="CM414" s="40"/>
      <c r="CN414" s="41">
        <v>0.05</v>
      </c>
      <c r="CO414" s="41">
        <f t="shared" si="120"/>
        <v>0.05</v>
      </c>
      <c r="CV414" s="137"/>
      <c r="CW414" s="160"/>
      <c r="CX414" s="160"/>
      <c r="CY414" s="137"/>
      <c r="CZ414" s="137"/>
      <c r="DA414" s="137"/>
      <c r="DB414" s="160"/>
      <c r="DC414" s="160"/>
      <c r="DD414" s="160"/>
      <c r="DE414" s="160"/>
      <c r="DF414" s="160"/>
      <c r="DG414" s="137"/>
      <c r="DI414" s="156"/>
      <c r="DJ414" s="156"/>
      <c r="DK414" s="40"/>
    </row>
    <row r="415" spans="59:115" s="42" customFormat="1" ht="18" thickBot="1" x14ac:dyDescent="0.3">
      <c r="BG415" s="242"/>
      <c r="BH415" s="177" t="s">
        <v>768</v>
      </c>
      <c r="BI415" s="177" t="s">
        <v>744</v>
      </c>
      <c r="BJ415" s="188">
        <v>166.07</v>
      </c>
      <c r="BK415" s="177" t="s">
        <v>745</v>
      </c>
      <c r="BL415" s="176">
        <v>0.05</v>
      </c>
      <c r="BM415" s="176">
        <v>0.05</v>
      </c>
      <c r="BN415" s="175" t="s">
        <v>746</v>
      </c>
      <c r="BO415" s="158"/>
      <c r="BP415" s="158"/>
      <c r="BQ415" s="158"/>
      <c r="BR415" s="158"/>
      <c r="BS415" s="158"/>
      <c r="BT415" s="158"/>
      <c r="BU415" s="37"/>
      <c r="BV415" s="158"/>
      <c r="BW415" s="158"/>
      <c r="BX415" s="37"/>
      <c r="BY415" s="37"/>
      <c r="BZ415" s="37"/>
      <c r="CA415" s="39"/>
      <c r="CB415" s="37"/>
      <c r="CC415" s="37"/>
      <c r="CD415" s="39"/>
      <c r="CE415" s="39"/>
      <c r="CF415" s="39"/>
      <c r="CG415" s="39"/>
      <c r="CH415" s="37"/>
      <c r="CI415" s="37"/>
      <c r="CJ415" s="39"/>
      <c r="CK415" s="39"/>
      <c r="CL415" s="39"/>
      <c r="CM415" s="40"/>
      <c r="CN415" s="41">
        <v>0.05</v>
      </c>
      <c r="CO415" s="41">
        <f t="shared" si="120"/>
        <v>0.05</v>
      </c>
      <c r="CV415" s="137"/>
      <c r="CW415" s="160"/>
      <c r="CX415" s="160"/>
      <c r="CY415" s="137"/>
      <c r="CZ415" s="137"/>
      <c r="DA415" s="137"/>
      <c r="DB415" s="160"/>
      <c r="DC415" s="160"/>
      <c r="DD415" s="160"/>
      <c r="DE415" s="160"/>
      <c r="DF415" s="160"/>
      <c r="DG415" s="137"/>
      <c r="DI415" s="156"/>
      <c r="DJ415" s="156"/>
      <c r="DK415" s="40"/>
    </row>
    <row r="416" spans="59:115" s="42" customFormat="1" ht="18" thickBot="1" x14ac:dyDescent="0.3">
      <c r="BG416" s="242"/>
      <c r="BH416" s="177" t="s">
        <v>769</v>
      </c>
      <c r="BI416" s="177" t="s">
        <v>744</v>
      </c>
      <c r="BJ416" s="188">
        <v>176.09</v>
      </c>
      <c r="BK416" s="177" t="s">
        <v>745</v>
      </c>
      <c r="BL416" s="176">
        <v>0.05</v>
      </c>
      <c r="BM416" s="176">
        <v>0.05</v>
      </c>
      <c r="BN416" s="175" t="s">
        <v>746</v>
      </c>
      <c r="BO416" s="158"/>
      <c r="BP416" s="158"/>
      <c r="BQ416" s="158"/>
      <c r="BR416" s="158"/>
      <c r="BS416" s="158"/>
      <c r="BT416" s="158"/>
      <c r="BU416" s="37"/>
      <c r="BV416" s="158"/>
      <c r="BW416" s="158"/>
      <c r="BX416" s="37"/>
      <c r="BY416" s="37"/>
      <c r="BZ416" s="37"/>
      <c r="CA416" s="39"/>
      <c r="CB416" s="37"/>
      <c r="CC416" s="37"/>
      <c r="CD416" s="39"/>
      <c r="CE416" s="39"/>
      <c r="CF416" s="39"/>
      <c r="CG416" s="39"/>
      <c r="CH416" s="37"/>
      <c r="CI416" s="37"/>
      <c r="CJ416" s="39"/>
      <c r="CK416" s="39"/>
      <c r="CL416" s="39"/>
      <c r="CM416" s="40"/>
      <c r="CN416" s="41">
        <v>0.05</v>
      </c>
      <c r="CO416" s="41">
        <f t="shared" si="120"/>
        <v>0.05</v>
      </c>
      <c r="CV416" s="137"/>
      <c r="CW416" s="160"/>
      <c r="CX416" s="160"/>
      <c r="CY416" s="137"/>
      <c r="CZ416" s="137"/>
      <c r="DA416" s="137"/>
      <c r="DB416" s="160"/>
      <c r="DC416" s="160"/>
      <c r="DD416" s="160"/>
      <c r="DE416" s="160"/>
      <c r="DF416" s="160"/>
      <c r="DG416" s="137"/>
      <c r="DI416" s="156"/>
      <c r="DJ416" s="156"/>
      <c r="DK416" s="40"/>
    </row>
    <row r="417" spans="59:115" s="42" customFormat="1" ht="18" thickBot="1" x14ac:dyDescent="0.3">
      <c r="BG417" s="242"/>
      <c r="BH417" s="177" t="s">
        <v>770</v>
      </c>
      <c r="BI417" s="177" t="s">
        <v>744</v>
      </c>
      <c r="BJ417" s="188">
        <v>162.44</v>
      </c>
      <c r="BK417" s="177" t="s">
        <v>745</v>
      </c>
      <c r="BL417" s="176">
        <v>0.05</v>
      </c>
      <c r="BM417" s="176">
        <v>0.05</v>
      </c>
      <c r="BN417" s="175" t="s">
        <v>746</v>
      </c>
      <c r="BO417" s="158"/>
      <c r="BP417" s="158"/>
      <c r="BQ417" s="158"/>
      <c r="BR417" s="158"/>
      <c r="BS417" s="158"/>
      <c r="BT417" s="158"/>
      <c r="BU417" s="37"/>
      <c r="BV417" s="158"/>
      <c r="BW417" s="158"/>
      <c r="BX417" s="37"/>
      <c r="BY417" s="37"/>
      <c r="BZ417" s="37"/>
      <c r="CA417" s="39"/>
      <c r="CB417" s="37"/>
      <c r="CC417" s="37"/>
      <c r="CD417" s="39"/>
      <c r="CE417" s="39"/>
      <c r="CF417" s="39"/>
      <c r="CG417" s="39"/>
      <c r="CH417" s="37"/>
      <c r="CI417" s="37"/>
      <c r="CJ417" s="39"/>
      <c r="CK417" s="39"/>
      <c r="CL417" s="39"/>
      <c r="CM417" s="40"/>
      <c r="CN417" s="41">
        <v>0.05</v>
      </c>
      <c r="CO417" s="41">
        <f t="shared" si="120"/>
        <v>0.05</v>
      </c>
      <c r="CV417" s="137"/>
      <c r="CW417" s="160"/>
      <c r="CX417" s="160"/>
      <c r="CY417" s="137"/>
      <c r="CZ417" s="137"/>
      <c r="DA417" s="137"/>
      <c r="DB417" s="160"/>
      <c r="DC417" s="160"/>
      <c r="DD417" s="160"/>
      <c r="DE417" s="160"/>
      <c r="DF417" s="160"/>
      <c r="DG417" s="137"/>
      <c r="DI417" s="156"/>
      <c r="DJ417" s="156"/>
      <c r="DK417" s="40"/>
    </row>
    <row r="418" spans="59:115" s="42" customFormat="1" ht="18" thickBot="1" x14ac:dyDescent="0.3">
      <c r="BG418" s="242"/>
      <c r="BH418" s="177" t="s">
        <v>771</v>
      </c>
      <c r="BI418" s="177" t="s">
        <v>744</v>
      </c>
      <c r="BJ418" s="188">
        <v>39.6</v>
      </c>
      <c r="BK418" s="177" t="s">
        <v>745</v>
      </c>
      <c r="BL418" s="176">
        <v>0.05</v>
      </c>
      <c r="BM418" s="176">
        <v>0.05</v>
      </c>
      <c r="BN418" s="175" t="s">
        <v>746</v>
      </c>
      <c r="BO418" s="158"/>
      <c r="BP418" s="158"/>
      <c r="BQ418" s="158"/>
      <c r="BR418" s="158"/>
      <c r="BS418" s="158"/>
      <c r="BT418" s="158"/>
      <c r="BU418" s="37"/>
      <c r="BV418" s="158"/>
      <c r="BW418" s="158"/>
      <c r="BX418" s="37"/>
      <c r="BY418" s="37"/>
      <c r="BZ418" s="37"/>
      <c r="CA418" s="39"/>
      <c r="CB418" s="37"/>
      <c r="CC418" s="37"/>
      <c r="CD418" s="39"/>
      <c r="CE418" s="39"/>
      <c r="CF418" s="39"/>
      <c r="CG418" s="39"/>
      <c r="CH418" s="37"/>
      <c r="CI418" s="37"/>
      <c r="CJ418" s="39"/>
      <c r="CK418" s="39"/>
      <c r="CL418" s="39"/>
      <c r="CM418" s="40"/>
      <c r="CN418" s="41">
        <v>0.05</v>
      </c>
      <c r="CO418" s="41">
        <f t="shared" si="120"/>
        <v>0.05</v>
      </c>
      <c r="CV418" s="137"/>
      <c r="CW418" s="160"/>
      <c r="CX418" s="160"/>
      <c r="CY418" s="137"/>
      <c r="CZ418" s="137"/>
      <c r="DA418" s="137"/>
      <c r="DB418" s="160"/>
      <c r="DC418" s="160"/>
      <c r="DD418" s="160"/>
      <c r="DE418" s="160"/>
      <c r="DF418" s="160"/>
      <c r="DG418" s="137"/>
      <c r="DI418" s="156"/>
      <c r="DJ418" s="156"/>
      <c r="DK418" s="40"/>
    </row>
    <row r="419" spans="59:115" s="42" customFormat="1" ht="18" thickBot="1" x14ac:dyDescent="0.3">
      <c r="BG419" s="242"/>
      <c r="BH419" s="177" t="s">
        <v>772</v>
      </c>
      <c r="BI419" s="177" t="s">
        <v>744</v>
      </c>
      <c r="BJ419" s="188">
        <v>83.35</v>
      </c>
      <c r="BK419" s="177" t="s">
        <v>745</v>
      </c>
      <c r="BL419" s="176">
        <v>0.05</v>
      </c>
      <c r="BM419" s="176">
        <v>0.05</v>
      </c>
      <c r="BN419" s="175" t="s">
        <v>746</v>
      </c>
      <c r="BO419" s="158"/>
      <c r="BP419" s="158"/>
      <c r="BQ419" s="158"/>
      <c r="BR419" s="158"/>
      <c r="BS419" s="158"/>
      <c r="BT419" s="158"/>
      <c r="BU419" s="37"/>
      <c r="BV419" s="158"/>
      <c r="BW419" s="158"/>
      <c r="BX419" s="37"/>
      <c r="BY419" s="37"/>
      <c r="BZ419" s="37"/>
      <c r="CA419" s="39"/>
      <c r="CB419" s="37"/>
      <c r="CC419" s="37"/>
      <c r="CD419" s="39"/>
      <c r="CE419" s="39"/>
      <c r="CF419" s="39"/>
      <c r="CG419" s="39"/>
      <c r="CH419" s="37"/>
      <c r="CI419" s="37"/>
      <c r="CJ419" s="39"/>
      <c r="CK419" s="39"/>
      <c r="CL419" s="39"/>
      <c r="CM419" s="40"/>
      <c r="CN419" s="41">
        <v>0.05</v>
      </c>
      <c r="CO419" s="41">
        <f t="shared" si="120"/>
        <v>0.05</v>
      </c>
      <c r="CV419" s="137"/>
      <c r="CW419" s="160"/>
      <c r="CX419" s="160"/>
      <c r="CY419" s="137"/>
      <c r="CZ419" s="137"/>
      <c r="DA419" s="137"/>
      <c r="DB419" s="160"/>
      <c r="DC419" s="160"/>
      <c r="DD419" s="160"/>
      <c r="DE419" s="160"/>
      <c r="DF419" s="160"/>
      <c r="DG419" s="137"/>
      <c r="DI419" s="156"/>
      <c r="DJ419" s="156"/>
      <c r="DK419" s="40"/>
    </row>
    <row r="420" spans="59:115" s="42" customFormat="1" ht="14" thickBot="1" x14ac:dyDescent="0.3">
      <c r="BG420" s="242"/>
      <c r="BH420" s="177" t="s">
        <v>773</v>
      </c>
      <c r="BI420" s="191" t="s">
        <v>774</v>
      </c>
      <c r="BJ420" s="188">
        <v>1.05</v>
      </c>
      <c r="BK420" s="191" t="s">
        <v>775</v>
      </c>
      <c r="BL420" s="198">
        <v>0.05</v>
      </c>
      <c r="BM420" s="198">
        <v>0.05</v>
      </c>
      <c r="BN420" s="191" t="s">
        <v>776</v>
      </c>
      <c r="BO420" s="158"/>
      <c r="BP420" s="158"/>
      <c r="BQ420" s="158"/>
      <c r="BR420" s="158"/>
      <c r="BS420" s="158"/>
      <c r="BT420" s="158"/>
      <c r="BU420" s="37"/>
      <c r="BV420" s="158"/>
      <c r="BW420" s="158"/>
      <c r="BX420" s="37"/>
      <c r="BY420" s="37"/>
      <c r="BZ420" s="37"/>
      <c r="CA420" s="39"/>
      <c r="CB420" s="37"/>
      <c r="CC420" s="37"/>
      <c r="CD420" s="39"/>
      <c r="CE420" s="39"/>
      <c r="CF420" s="39"/>
      <c r="CG420" s="39"/>
      <c r="CH420" s="37"/>
      <c r="CI420" s="37"/>
      <c r="CJ420" s="39"/>
      <c r="CK420" s="39"/>
      <c r="CL420" s="39"/>
      <c r="CM420" s="40"/>
      <c r="CN420" s="41">
        <v>0.05</v>
      </c>
      <c r="CO420" s="41">
        <f t="shared" si="120"/>
        <v>0.05</v>
      </c>
      <c r="CV420" s="137"/>
      <c r="CW420" s="160"/>
      <c r="CX420" s="160"/>
      <c r="CY420" s="137"/>
      <c r="CZ420" s="137"/>
      <c r="DA420" s="137"/>
      <c r="DB420" s="160"/>
      <c r="DC420" s="160"/>
      <c r="DD420" s="160"/>
      <c r="DE420" s="160"/>
      <c r="DF420" s="160"/>
      <c r="DG420" s="137"/>
      <c r="DI420" s="156"/>
      <c r="DJ420" s="156"/>
      <c r="DK420" s="40"/>
    </row>
    <row r="421" spans="59:115" s="42" customFormat="1" ht="14" thickBot="1" x14ac:dyDescent="0.3">
      <c r="BG421" s="242"/>
      <c r="BH421" s="177" t="s">
        <v>777</v>
      </c>
      <c r="BI421" s="191" t="s">
        <v>774</v>
      </c>
      <c r="BJ421" s="188">
        <v>1.44E-2</v>
      </c>
      <c r="BK421" s="191" t="s">
        <v>775</v>
      </c>
      <c r="BL421" s="198">
        <v>0.05</v>
      </c>
      <c r="BM421" s="198">
        <v>0.05</v>
      </c>
      <c r="BN421" s="191" t="s">
        <v>778</v>
      </c>
      <c r="BO421" s="158"/>
      <c r="BP421" s="158"/>
      <c r="BQ421" s="158"/>
      <c r="BR421" s="158"/>
      <c r="BS421" s="158"/>
      <c r="BT421" s="158"/>
      <c r="BU421" s="37"/>
      <c r="BV421" s="158"/>
      <c r="BW421" s="158"/>
      <c r="BX421" s="37"/>
      <c r="BY421" s="37"/>
      <c r="BZ421" s="37"/>
      <c r="CA421" s="39"/>
      <c r="CB421" s="37"/>
      <c r="CC421" s="37"/>
      <c r="CD421" s="39"/>
      <c r="CE421" s="39"/>
      <c r="CF421" s="39"/>
      <c r="CG421" s="39"/>
      <c r="CH421" s="37"/>
      <c r="CI421" s="37"/>
      <c r="CJ421" s="39"/>
      <c r="CK421" s="39"/>
      <c r="CL421" s="39"/>
      <c r="CM421" s="40"/>
      <c r="CN421" s="41">
        <v>0.05</v>
      </c>
      <c r="CO421" s="41">
        <f t="shared" si="120"/>
        <v>0.05</v>
      </c>
      <c r="CV421" s="137"/>
      <c r="CW421" s="160"/>
      <c r="CX421" s="160"/>
      <c r="CY421" s="137"/>
      <c r="CZ421" s="137"/>
      <c r="DA421" s="137"/>
      <c r="DB421" s="160"/>
      <c r="DC421" s="160"/>
      <c r="DD421" s="160"/>
      <c r="DE421" s="160"/>
      <c r="DF421" s="160"/>
      <c r="DG421" s="137"/>
      <c r="DI421" s="156"/>
      <c r="DJ421" s="156"/>
      <c r="DK421" s="40"/>
    </row>
    <row r="422" spans="59:115" s="42" customFormat="1" ht="14" thickBot="1" x14ac:dyDescent="0.3">
      <c r="BG422" s="242"/>
      <c r="BH422" s="177" t="s">
        <v>779</v>
      </c>
      <c r="BI422" s="191" t="s">
        <v>774</v>
      </c>
      <c r="BJ422" s="188">
        <v>7.8200000000000006E-2</v>
      </c>
      <c r="BK422" s="191" t="s">
        <v>775</v>
      </c>
      <c r="BL422" s="198">
        <v>0.05</v>
      </c>
      <c r="BM422" s="198">
        <v>0.05</v>
      </c>
      <c r="BN422" s="191" t="s">
        <v>780</v>
      </c>
      <c r="BO422" s="158"/>
      <c r="BP422" s="158"/>
      <c r="BQ422" s="158"/>
      <c r="BR422" s="158"/>
      <c r="BS422" s="158"/>
      <c r="BT422" s="158"/>
      <c r="BU422" s="37"/>
      <c r="BV422" s="158"/>
      <c r="BW422" s="158"/>
      <c r="BX422" s="37"/>
      <c r="BY422" s="37"/>
      <c r="BZ422" s="37"/>
      <c r="CA422" s="39"/>
      <c r="CB422" s="37"/>
      <c r="CC422" s="37"/>
      <c r="CD422" s="39"/>
      <c r="CE422" s="39"/>
      <c r="CF422" s="39"/>
      <c r="CG422" s="39"/>
      <c r="CH422" s="37"/>
      <c r="CI422" s="37"/>
      <c r="CJ422" s="39"/>
      <c r="CK422" s="39"/>
      <c r="CL422" s="39"/>
      <c r="CM422" s="40"/>
      <c r="CN422" s="41">
        <v>0.05</v>
      </c>
      <c r="CO422" s="41">
        <f t="shared" si="120"/>
        <v>0.05</v>
      </c>
      <c r="CV422" s="137"/>
      <c r="CW422" s="160"/>
      <c r="CX422" s="160"/>
      <c r="CY422" s="137"/>
      <c r="CZ422" s="137"/>
      <c r="DA422" s="137"/>
      <c r="DB422" s="160"/>
      <c r="DC422" s="160"/>
      <c r="DD422" s="160"/>
      <c r="DE422" s="160"/>
      <c r="DF422" s="160"/>
      <c r="DG422" s="137"/>
      <c r="DI422" s="156"/>
      <c r="DJ422" s="156"/>
      <c r="DK422" s="40"/>
    </row>
    <row r="423" spans="59:115" s="42" customFormat="1" x14ac:dyDescent="0.25">
      <c r="BG423" s="242"/>
      <c r="BH423" s="36"/>
      <c r="BI423" s="37"/>
      <c r="BJ423" s="37"/>
      <c r="BK423" s="37"/>
      <c r="BL423" s="38"/>
      <c r="BM423" s="38"/>
      <c r="BN423" s="38"/>
      <c r="BO423" s="158"/>
      <c r="BP423" s="158"/>
      <c r="BQ423" s="158"/>
      <c r="BR423" s="158"/>
      <c r="BS423" s="158"/>
      <c r="BT423" s="158"/>
      <c r="BU423" s="37"/>
      <c r="BV423" s="158"/>
      <c r="BW423" s="158"/>
      <c r="BX423" s="37"/>
      <c r="BY423" s="37"/>
      <c r="BZ423" s="37"/>
      <c r="CA423" s="39"/>
      <c r="CB423" s="37"/>
      <c r="CC423" s="37"/>
      <c r="CD423" s="39"/>
      <c r="CE423" s="39"/>
      <c r="CF423" s="39"/>
      <c r="CG423" s="39"/>
      <c r="CH423" s="37"/>
      <c r="CI423" s="37"/>
      <c r="CJ423" s="39"/>
      <c r="CK423" s="39"/>
      <c r="CL423" s="39"/>
      <c r="CM423" s="40"/>
      <c r="CN423" s="41"/>
      <c r="CO423" s="41">
        <f t="shared" si="120"/>
        <v>0</v>
      </c>
      <c r="CV423" s="137"/>
      <c r="CW423" s="160"/>
      <c r="CX423" s="160"/>
      <c r="CY423" s="137"/>
      <c r="CZ423" s="137"/>
      <c r="DA423" s="137"/>
      <c r="DB423" s="160"/>
      <c r="DC423" s="160"/>
      <c r="DD423" s="160"/>
      <c r="DE423" s="160"/>
      <c r="DF423" s="160"/>
      <c r="DG423" s="137"/>
      <c r="DI423" s="156"/>
      <c r="DJ423" s="156"/>
      <c r="DK423" s="40"/>
    </row>
    <row r="424" spans="59:115" s="42" customFormat="1" x14ac:dyDescent="0.25">
      <c r="BG424" s="242"/>
      <c r="BH424" s="36"/>
      <c r="BI424" s="37"/>
      <c r="BJ424" s="37"/>
      <c r="BK424" s="37"/>
      <c r="BL424" s="38"/>
      <c r="BM424" s="38"/>
      <c r="BN424" s="38"/>
      <c r="BO424" s="158"/>
      <c r="BP424" s="158"/>
      <c r="BQ424" s="158"/>
      <c r="BR424" s="158"/>
      <c r="BS424" s="158"/>
      <c r="BT424" s="158"/>
      <c r="BU424" s="37"/>
      <c r="BV424" s="158"/>
      <c r="BW424" s="158"/>
      <c r="BX424" s="37"/>
      <c r="BY424" s="37"/>
      <c r="BZ424" s="37"/>
      <c r="CA424" s="39"/>
      <c r="CB424" s="37"/>
      <c r="CC424" s="37"/>
      <c r="CD424" s="39"/>
      <c r="CE424" s="39"/>
      <c r="CF424" s="39"/>
      <c r="CG424" s="39"/>
      <c r="CH424" s="37"/>
      <c r="CI424" s="37"/>
      <c r="CJ424" s="39"/>
      <c r="CK424" s="39"/>
      <c r="CL424" s="39"/>
      <c r="CM424" s="40"/>
      <c r="CN424" s="41"/>
      <c r="CO424" s="41">
        <f t="shared" si="120"/>
        <v>0</v>
      </c>
      <c r="CV424" s="137"/>
      <c r="CW424" s="160"/>
      <c r="CX424" s="160"/>
      <c r="CY424" s="137"/>
      <c r="CZ424" s="137"/>
      <c r="DA424" s="137"/>
      <c r="DB424" s="160"/>
      <c r="DC424" s="160"/>
      <c r="DD424" s="160"/>
      <c r="DE424" s="160"/>
      <c r="DF424" s="160"/>
      <c r="DG424" s="137"/>
      <c r="DI424" s="156"/>
      <c r="DJ424" s="156"/>
      <c r="DK424" s="40"/>
    </row>
    <row r="425" spans="59:115" s="42" customFormat="1" ht="14" thickBot="1" x14ac:dyDescent="0.3">
      <c r="BG425" s="242"/>
      <c r="BH425" s="36"/>
      <c r="BI425" s="37"/>
      <c r="BJ425" s="37"/>
      <c r="BK425" s="37"/>
      <c r="BL425" s="38"/>
      <c r="BM425" s="38"/>
      <c r="BN425" s="38"/>
      <c r="BO425" s="158"/>
      <c r="BP425" s="158"/>
      <c r="BQ425" s="158"/>
      <c r="BR425" s="158"/>
      <c r="BS425" s="158"/>
      <c r="BT425" s="158"/>
      <c r="BU425" s="37"/>
      <c r="BV425" s="158"/>
      <c r="BW425" s="158"/>
      <c r="BX425" s="37"/>
      <c r="BY425" s="37"/>
      <c r="BZ425" s="37"/>
      <c r="CA425" s="39"/>
      <c r="CB425" s="37"/>
      <c r="CC425" s="37"/>
      <c r="CD425" s="39"/>
      <c r="CE425" s="39"/>
      <c r="CF425" s="39"/>
      <c r="CG425" s="39"/>
      <c r="CH425" s="37"/>
      <c r="CI425" s="37"/>
      <c r="CJ425" s="39"/>
      <c r="CK425" s="39"/>
      <c r="CL425" s="39"/>
      <c r="CM425" s="40"/>
      <c r="CN425" s="41"/>
      <c r="CO425" s="41">
        <f t="shared" si="120"/>
        <v>0</v>
      </c>
      <c r="CV425" s="137"/>
      <c r="CW425" s="160"/>
      <c r="CX425" s="160"/>
      <c r="CY425" s="137"/>
      <c r="CZ425" s="137"/>
      <c r="DA425" s="137"/>
      <c r="DB425" s="160"/>
      <c r="DC425" s="160"/>
      <c r="DD425" s="160"/>
      <c r="DE425" s="160"/>
      <c r="DF425" s="160"/>
      <c r="DG425" s="137"/>
      <c r="DI425" s="156"/>
      <c r="DJ425" s="156"/>
      <c r="DK425" s="40"/>
    </row>
    <row r="426" spans="59:115" s="42" customFormat="1" ht="15" customHeight="1" x14ac:dyDescent="0.25">
      <c r="BG426" s="242"/>
      <c r="BH426" s="582" t="s">
        <v>781</v>
      </c>
      <c r="BI426" s="170"/>
      <c r="BJ426" s="582" t="s">
        <v>742</v>
      </c>
      <c r="BK426" s="170"/>
      <c r="BL426" s="582" t="s">
        <v>302</v>
      </c>
      <c r="BM426" s="582" t="s">
        <v>302</v>
      </c>
      <c r="BN426" s="582" t="s">
        <v>303</v>
      </c>
      <c r="BO426" s="158"/>
      <c r="BP426" s="158"/>
      <c r="BQ426" s="158"/>
      <c r="BR426" s="158"/>
      <c r="BS426" s="158"/>
      <c r="BT426" s="158"/>
      <c r="BU426" s="37"/>
      <c r="BV426" s="158"/>
      <c r="BW426" s="158"/>
      <c r="BX426" s="37"/>
      <c r="BY426" s="37"/>
      <c r="BZ426" s="37"/>
      <c r="CA426" s="39"/>
      <c r="CB426" s="37"/>
      <c r="CC426" s="37"/>
      <c r="CD426" s="39"/>
      <c r="CE426" s="39"/>
      <c r="CF426" s="39"/>
      <c r="CG426" s="39"/>
      <c r="CH426" s="37"/>
      <c r="CI426" s="37"/>
      <c r="CJ426" s="39"/>
      <c r="CK426" s="39"/>
      <c r="CL426" s="39"/>
      <c r="CM426" s="40"/>
      <c r="CN426" s="41"/>
      <c r="CO426" s="41" t="str">
        <f t="shared" si="120"/>
        <v>Incertidumbre (+/- %)</v>
      </c>
      <c r="CV426" s="137"/>
      <c r="CW426" s="160"/>
      <c r="CX426" s="160"/>
      <c r="CY426" s="137"/>
      <c r="CZ426" s="137"/>
      <c r="DA426" s="137"/>
      <c r="DB426" s="160"/>
      <c r="DC426" s="160"/>
      <c r="DD426" s="160"/>
      <c r="DE426" s="160"/>
      <c r="DF426" s="160"/>
      <c r="DG426" s="137"/>
      <c r="DI426" s="156"/>
      <c r="DJ426" s="156"/>
      <c r="DK426" s="40"/>
    </row>
    <row r="427" spans="59:115" s="42" customFormat="1" ht="14.5" thickBot="1" x14ac:dyDescent="0.3">
      <c r="BG427" s="242"/>
      <c r="BH427" s="583"/>
      <c r="BI427" s="171" t="s">
        <v>308</v>
      </c>
      <c r="BJ427" s="583"/>
      <c r="BK427" s="171" t="s">
        <v>309</v>
      </c>
      <c r="BL427" s="583"/>
      <c r="BM427" s="583"/>
      <c r="BN427" s="583"/>
      <c r="BO427" s="158"/>
      <c r="BP427" s="158"/>
      <c r="BQ427" s="158"/>
      <c r="BR427" s="158"/>
      <c r="BS427" s="158"/>
      <c r="BT427" s="158"/>
      <c r="BU427" s="37"/>
      <c r="BV427" s="158"/>
      <c r="BW427" s="158"/>
      <c r="BX427" s="37"/>
      <c r="BY427" s="37"/>
      <c r="BZ427" s="37"/>
      <c r="CA427" s="39"/>
      <c r="CB427" s="37"/>
      <c r="CC427" s="37"/>
      <c r="CD427" s="39"/>
      <c r="CE427" s="39"/>
      <c r="CF427" s="39"/>
      <c r="CG427" s="39"/>
      <c r="CH427" s="37"/>
      <c r="CI427" s="37"/>
      <c r="CJ427" s="39"/>
      <c r="CK427" s="39"/>
      <c r="CL427" s="39"/>
      <c r="CM427" s="40"/>
      <c r="CN427" s="41"/>
      <c r="CO427" s="41">
        <f t="shared" si="120"/>
        <v>0</v>
      </c>
      <c r="CV427" s="137"/>
      <c r="CW427" s="160"/>
      <c r="CX427" s="160"/>
      <c r="CY427" s="137"/>
      <c r="CZ427" s="137"/>
      <c r="DA427" s="137"/>
      <c r="DB427" s="160"/>
      <c r="DC427" s="160"/>
      <c r="DD427" s="160"/>
      <c r="DE427" s="160"/>
      <c r="DF427" s="160"/>
      <c r="DG427" s="137"/>
      <c r="DI427" s="156"/>
      <c r="DJ427" s="156"/>
      <c r="DK427" s="40"/>
    </row>
    <row r="428" spans="59:115" s="42" customFormat="1" ht="18.75" customHeight="1" thickBot="1" x14ac:dyDescent="0.3">
      <c r="BG428" s="242"/>
      <c r="BH428" s="473" t="s">
        <v>290</v>
      </c>
      <c r="BI428" s="177" t="s">
        <v>272</v>
      </c>
      <c r="BJ428" s="188">
        <v>1.05</v>
      </c>
      <c r="BK428" s="177" t="s">
        <v>782</v>
      </c>
      <c r="BL428" s="176">
        <v>0.01</v>
      </c>
      <c r="BM428" s="176">
        <v>0.5</v>
      </c>
      <c r="BN428" s="36" t="s">
        <v>783</v>
      </c>
      <c r="BO428" s="158"/>
      <c r="BP428" s="158"/>
      <c r="BQ428" s="158"/>
      <c r="BR428" s="158"/>
      <c r="BS428" s="158"/>
      <c r="BT428" s="158"/>
      <c r="BU428" s="37"/>
      <c r="BV428" s="158"/>
      <c r="BW428" s="158"/>
      <c r="BX428" s="37"/>
      <c r="BY428" s="37"/>
      <c r="BZ428" s="37"/>
      <c r="CA428" s="39"/>
      <c r="CB428" s="37"/>
      <c r="CC428" s="37"/>
      <c r="CD428" s="39"/>
      <c r="CE428" s="39"/>
      <c r="CF428" s="39"/>
      <c r="CG428" s="39"/>
      <c r="CH428" s="37"/>
      <c r="CI428" s="37"/>
      <c r="CJ428" s="39"/>
      <c r="CK428" s="39"/>
      <c r="CL428" s="39"/>
      <c r="CM428" s="40"/>
      <c r="CN428" s="41">
        <v>0.01</v>
      </c>
      <c r="CO428" s="41">
        <f t="shared" si="120"/>
        <v>0.5</v>
      </c>
      <c r="CV428" s="137"/>
      <c r="CW428" s="160"/>
      <c r="CX428" s="160"/>
      <c r="CY428" s="137"/>
      <c r="CZ428" s="137"/>
      <c r="DA428" s="137"/>
      <c r="DB428" s="160"/>
      <c r="DC428" s="160"/>
      <c r="DD428" s="160"/>
      <c r="DE428" s="160"/>
      <c r="DF428" s="160"/>
      <c r="DG428" s="137"/>
      <c r="DI428" s="156"/>
      <c r="DJ428" s="156"/>
      <c r="DK428" s="40"/>
    </row>
    <row r="429" spans="59:115" s="42" customFormat="1" ht="18.75" customHeight="1" thickBot="1" x14ac:dyDescent="0.3">
      <c r="BG429" s="242"/>
      <c r="BH429" s="177" t="s">
        <v>784</v>
      </c>
      <c r="BI429" s="177" t="s">
        <v>272</v>
      </c>
      <c r="BJ429" s="188">
        <v>0.81</v>
      </c>
      <c r="BK429" s="177" t="s">
        <v>782</v>
      </c>
      <c r="BL429" s="176">
        <v>0.01</v>
      </c>
      <c r="BM429" s="176">
        <v>0.5</v>
      </c>
      <c r="BN429" s="150" t="s">
        <v>785</v>
      </c>
      <c r="BO429" s="158"/>
      <c r="BP429" s="158"/>
      <c r="BQ429" s="158"/>
      <c r="BR429" s="158"/>
      <c r="BS429" s="158"/>
      <c r="BT429" s="158"/>
      <c r="BU429" s="37"/>
      <c r="BV429" s="158"/>
      <c r="BW429" s="158"/>
      <c r="BX429" s="37"/>
      <c r="BY429" s="37"/>
      <c r="BZ429" s="37"/>
      <c r="CA429" s="39"/>
      <c r="CB429" s="37"/>
      <c r="CC429" s="37"/>
      <c r="CD429" s="39"/>
      <c r="CE429" s="39"/>
      <c r="CF429" s="39"/>
      <c r="CG429" s="39"/>
      <c r="CH429" s="37"/>
      <c r="CI429" s="37"/>
      <c r="CJ429" s="39"/>
      <c r="CK429" s="39"/>
      <c r="CL429" s="39"/>
      <c r="CM429" s="40"/>
      <c r="CN429" s="41">
        <v>0.01</v>
      </c>
      <c r="CO429" s="41">
        <f t="shared" si="120"/>
        <v>0.5</v>
      </c>
      <c r="CV429" s="137"/>
      <c r="CW429" s="160"/>
      <c r="CX429" s="160"/>
      <c r="CY429" s="137"/>
      <c r="CZ429" s="137"/>
      <c r="DA429" s="137"/>
      <c r="DB429" s="160"/>
      <c r="DC429" s="160"/>
      <c r="DD429" s="160"/>
      <c r="DE429" s="160"/>
      <c r="DF429" s="160"/>
      <c r="DG429" s="137"/>
      <c r="DI429" s="156"/>
      <c r="DJ429" s="156"/>
      <c r="DK429" s="40"/>
    </row>
    <row r="430" spans="59:115" s="42" customFormat="1" ht="18.75" customHeight="1" thickBot="1" x14ac:dyDescent="0.3">
      <c r="BG430" s="242"/>
      <c r="BH430" s="177" t="s">
        <v>786</v>
      </c>
      <c r="BI430" s="177" t="s">
        <v>272</v>
      </c>
      <c r="BJ430" s="188">
        <v>0.83</v>
      </c>
      <c r="BK430" s="177" t="s">
        <v>782</v>
      </c>
      <c r="BL430" s="176">
        <v>0.01</v>
      </c>
      <c r="BM430" s="176">
        <v>0.5</v>
      </c>
      <c r="BN430" s="36" t="s">
        <v>787</v>
      </c>
      <c r="BO430" s="158"/>
      <c r="BP430" s="158"/>
      <c r="BQ430" s="158"/>
      <c r="BR430" s="158"/>
      <c r="BS430" s="158"/>
      <c r="BT430" s="158"/>
      <c r="BU430" s="37"/>
      <c r="BV430" s="158"/>
      <c r="BW430" s="158"/>
      <c r="BX430" s="37"/>
      <c r="BY430" s="37"/>
      <c r="BZ430" s="37"/>
      <c r="CA430" s="39"/>
      <c r="CB430" s="37"/>
      <c r="CC430" s="37"/>
      <c r="CD430" s="39"/>
      <c r="CE430" s="39"/>
      <c r="CF430" s="39"/>
      <c r="CG430" s="39"/>
      <c r="CH430" s="37"/>
      <c r="CI430" s="37"/>
      <c r="CJ430" s="39"/>
      <c r="CK430" s="39"/>
      <c r="CL430" s="39"/>
      <c r="CM430" s="40"/>
      <c r="CN430" s="41">
        <v>0.01</v>
      </c>
      <c r="CO430" s="41">
        <f t="shared" si="120"/>
        <v>0.5</v>
      </c>
      <c r="CV430" s="137"/>
      <c r="CW430" s="160"/>
      <c r="CX430" s="160"/>
      <c r="CY430" s="137"/>
      <c r="CZ430" s="137"/>
      <c r="DA430" s="137"/>
      <c r="DB430" s="160"/>
      <c r="DC430" s="160"/>
      <c r="DD430" s="160"/>
      <c r="DE430" s="160"/>
      <c r="DF430" s="160"/>
      <c r="DG430" s="137"/>
      <c r="DI430" s="156"/>
      <c r="DJ430" s="156"/>
      <c r="DK430" s="40"/>
    </row>
    <row r="431" spans="59:115" s="42" customFormat="1" ht="18.75" customHeight="1" thickBot="1" x14ac:dyDescent="0.3">
      <c r="BG431" s="242"/>
      <c r="BH431" s="177" t="s">
        <v>788</v>
      </c>
      <c r="BI431" s="177" t="s">
        <v>272</v>
      </c>
      <c r="BJ431" s="188">
        <v>1.39</v>
      </c>
      <c r="BK431" s="177" t="s">
        <v>782</v>
      </c>
      <c r="BL431" s="176">
        <v>0.01</v>
      </c>
      <c r="BM431" s="176">
        <v>0.5</v>
      </c>
      <c r="BN431" s="36" t="s">
        <v>787</v>
      </c>
      <c r="BO431" s="158"/>
      <c r="BP431" s="158"/>
      <c r="BQ431" s="158"/>
      <c r="BR431" s="158"/>
      <c r="BS431" s="158"/>
      <c r="BT431" s="158"/>
      <c r="BU431" s="37"/>
      <c r="BV431" s="158"/>
      <c r="BW431" s="158"/>
      <c r="BX431" s="37"/>
      <c r="BY431" s="37"/>
      <c r="BZ431" s="37"/>
      <c r="CA431" s="39"/>
      <c r="CB431" s="37"/>
      <c r="CC431" s="37"/>
      <c r="CD431" s="39"/>
      <c r="CE431" s="39"/>
      <c r="CF431" s="39"/>
      <c r="CG431" s="39"/>
      <c r="CH431" s="37"/>
      <c r="CI431" s="37"/>
      <c r="CJ431" s="39"/>
      <c r="CK431" s="39"/>
      <c r="CL431" s="39"/>
      <c r="CM431" s="40"/>
      <c r="CN431" s="41">
        <v>0.01</v>
      </c>
      <c r="CO431" s="41">
        <f t="shared" si="120"/>
        <v>0.5</v>
      </c>
      <c r="CV431" s="137"/>
      <c r="CW431" s="160"/>
      <c r="CX431" s="160"/>
      <c r="CY431" s="137"/>
      <c r="CZ431" s="137"/>
      <c r="DA431" s="137"/>
      <c r="DB431" s="160"/>
      <c r="DC431" s="160"/>
      <c r="DD431" s="160"/>
      <c r="DE431" s="160"/>
      <c r="DF431" s="160"/>
      <c r="DG431" s="137"/>
      <c r="DI431" s="156"/>
      <c r="DJ431" s="156"/>
      <c r="DK431" s="40"/>
    </row>
    <row r="432" spans="59:115" s="42" customFormat="1" ht="18.75" customHeight="1" thickBot="1" x14ac:dyDescent="0.3">
      <c r="BG432" s="242"/>
      <c r="BH432" s="177" t="s">
        <v>789</v>
      </c>
      <c r="BI432" s="177" t="s">
        <v>272</v>
      </c>
      <c r="BJ432" s="188">
        <v>2.87</v>
      </c>
      <c r="BK432" s="177" t="s">
        <v>782</v>
      </c>
      <c r="BL432" s="176">
        <v>0.01</v>
      </c>
      <c r="BM432" s="176">
        <v>0.5</v>
      </c>
      <c r="BN432" s="150" t="s">
        <v>790</v>
      </c>
      <c r="BO432" s="158"/>
      <c r="BP432" s="158"/>
      <c r="BQ432" s="158"/>
      <c r="BR432" s="158"/>
      <c r="BS432" s="158"/>
      <c r="BT432" s="158"/>
      <c r="BU432" s="37"/>
      <c r="BV432" s="158"/>
      <c r="BW432" s="158"/>
      <c r="BX432" s="37"/>
      <c r="BY432" s="37"/>
      <c r="BZ432" s="37"/>
      <c r="CA432" s="39"/>
      <c r="CB432" s="37"/>
      <c r="CC432" s="37"/>
      <c r="CD432" s="39"/>
      <c r="CE432" s="39"/>
      <c r="CF432" s="39"/>
      <c r="CG432" s="39"/>
      <c r="CH432" s="37"/>
      <c r="CI432" s="37"/>
      <c r="CJ432" s="39"/>
      <c r="CK432" s="39"/>
      <c r="CL432" s="39"/>
      <c r="CM432" s="40"/>
      <c r="CN432" s="41">
        <v>0.01</v>
      </c>
      <c r="CO432" s="41">
        <f t="shared" si="120"/>
        <v>0.5</v>
      </c>
      <c r="CV432" s="137"/>
      <c r="CW432" s="160"/>
      <c r="CX432" s="160"/>
      <c r="CY432" s="137"/>
      <c r="CZ432" s="137"/>
      <c r="DA432" s="137"/>
      <c r="DB432" s="160"/>
      <c r="DC432" s="160"/>
      <c r="DD432" s="160"/>
      <c r="DE432" s="160"/>
      <c r="DF432" s="160"/>
      <c r="DG432" s="137"/>
      <c r="DI432" s="156"/>
      <c r="DJ432" s="156"/>
      <c r="DK432" s="40"/>
    </row>
    <row r="433" spans="59:115" s="42" customFormat="1" ht="18.75" customHeight="1" thickBot="1" x14ac:dyDescent="0.3">
      <c r="BG433" s="242"/>
      <c r="BH433" s="177" t="s">
        <v>791</v>
      </c>
      <c r="BI433" s="177" t="s">
        <v>272</v>
      </c>
      <c r="BJ433" s="188">
        <v>2.08</v>
      </c>
      <c r="BK433" s="177" t="s">
        <v>782</v>
      </c>
      <c r="BL433" s="176">
        <v>0.01</v>
      </c>
      <c r="BM433" s="176">
        <v>0.5</v>
      </c>
      <c r="BN433" s="150" t="s">
        <v>792</v>
      </c>
      <c r="BO433" s="158"/>
      <c r="BP433" s="158"/>
      <c r="BQ433" s="158"/>
      <c r="BR433" s="158"/>
      <c r="BS433" s="158"/>
      <c r="BT433" s="158"/>
      <c r="BU433" s="37"/>
      <c r="BV433" s="158"/>
      <c r="BW433" s="158"/>
      <c r="BX433" s="37"/>
      <c r="BY433" s="37"/>
      <c r="BZ433" s="37"/>
      <c r="CA433" s="39"/>
      <c r="CB433" s="37"/>
      <c r="CC433" s="37"/>
      <c r="CD433" s="39"/>
      <c r="CE433" s="39"/>
      <c r="CF433" s="39"/>
      <c r="CG433" s="39"/>
      <c r="CH433" s="37"/>
      <c r="CI433" s="37"/>
      <c r="CJ433" s="39"/>
      <c r="CK433" s="39"/>
      <c r="CL433" s="39"/>
      <c r="CM433" s="40"/>
      <c r="CN433" s="41">
        <v>0.01</v>
      </c>
      <c r="CO433" s="41">
        <f t="shared" si="120"/>
        <v>0.5</v>
      </c>
      <c r="CV433" s="137"/>
      <c r="CW433" s="160"/>
      <c r="CX433" s="160"/>
      <c r="CY433" s="137"/>
      <c r="CZ433" s="137"/>
      <c r="DA433" s="137"/>
      <c r="DB433" s="160"/>
      <c r="DC433" s="160"/>
      <c r="DD433" s="160"/>
      <c r="DE433" s="160"/>
      <c r="DF433" s="160"/>
      <c r="DG433" s="137"/>
      <c r="DI433" s="156"/>
      <c r="DJ433" s="156"/>
      <c r="DK433" s="40"/>
    </row>
    <row r="434" spans="59:115" s="42" customFormat="1" ht="18.75" customHeight="1" thickBot="1" x14ac:dyDescent="0.3">
      <c r="BG434" s="242"/>
      <c r="BH434" s="177" t="s">
        <v>793</v>
      </c>
      <c r="BI434" s="177" t="s">
        <v>272</v>
      </c>
      <c r="BJ434" s="188">
        <v>2.89</v>
      </c>
      <c r="BK434" s="177" t="s">
        <v>782</v>
      </c>
      <c r="BL434" s="176">
        <v>0.01</v>
      </c>
      <c r="BM434" s="176">
        <v>0.5</v>
      </c>
      <c r="BN434" s="150" t="s">
        <v>794</v>
      </c>
      <c r="BO434" s="158"/>
      <c r="BP434" s="158"/>
      <c r="BQ434" s="158"/>
      <c r="BR434" s="158"/>
      <c r="BS434" s="158"/>
      <c r="BT434" s="158"/>
      <c r="BU434" s="37"/>
      <c r="BV434" s="158"/>
      <c r="BW434" s="158"/>
      <c r="BX434" s="37"/>
      <c r="BY434" s="37"/>
      <c r="BZ434" s="37"/>
      <c r="CA434" s="39"/>
      <c r="CB434" s="37"/>
      <c r="CC434" s="37"/>
      <c r="CD434" s="39"/>
      <c r="CE434" s="39"/>
      <c r="CF434" s="39"/>
      <c r="CG434" s="39"/>
      <c r="CH434" s="37"/>
      <c r="CI434" s="37"/>
      <c r="CJ434" s="39"/>
      <c r="CK434" s="39"/>
      <c r="CL434" s="39"/>
      <c r="CM434" s="40"/>
      <c r="CN434" s="41">
        <v>0.01</v>
      </c>
      <c r="CO434" s="41">
        <f t="shared" si="120"/>
        <v>0.5</v>
      </c>
      <c r="CV434" s="137"/>
      <c r="CW434" s="160"/>
      <c r="CX434" s="160"/>
      <c r="CY434" s="137"/>
      <c r="CZ434" s="137"/>
      <c r="DA434" s="137"/>
      <c r="DB434" s="160"/>
      <c r="DC434" s="160"/>
      <c r="DD434" s="160"/>
      <c r="DE434" s="160"/>
      <c r="DF434" s="160"/>
      <c r="DG434" s="137"/>
      <c r="DI434" s="156"/>
      <c r="DJ434" s="156"/>
      <c r="DK434" s="40"/>
    </row>
    <row r="435" spans="59:115" s="42" customFormat="1" ht="18.75" customHeight="1" thickBot="1" x14ac:dyDescent="0.3">
      <c r="BG435" s="242"/>
      <c r="BH435" s="177" t="s">
        <v>795</v>
      </c>
      <c r="BI435" s="177" t="s">
        <v>272</v>
      </c>
      <c r="BJ435" s="188">
        <v>11.1</v>
      </c>
      <c r="BK435" s="177" t="s">
        <v>782</v>
      </c>
      <c r="BL435" s="176">
        <v>0.01</v>
      </c>
      <c r="BM435" s="176">
        <v>0.5</v>
      </c>
      <c r="BN435" s="150" t="s">
        <v>796</v>
      </c>
      <c r="BO435" s="158"/>
      <c r="BP435" s="158"/>
      <c r="BQ435" s="158"/>
      <c r="BR435" s="158"/>
      <c r="BS435" s="158"/>
      <c r="BT435" s="158"/>
      <c r="BU435" s="37"/>
      <c r="BV435" s="158"/>
      <c r="BW435" s="158"/>
      <c r="BX435" s="37"/>
      <c r="BY435" s="37"/>
      <c r="BZ435" s="37"/>
      <c r="CA435" s="39"/>
      <c r="CB435" s="37"/>
      <c r="CC435" s="37"/>
      <c r="CD435" s="39"/>
      <c r="CE435" s="39"/>
      <c r="CF435" s="39"/>
      <c r="CG435" s="39"/>
      <c r="CH435" s="37"/>
      <c r="CI435" s="37"/>
      <c r="CJ435" s="39"/>
      <c r="CK435" s="39"/>
      <c r="CL435" s="39"/>
      <c r="CM435" s="40"/>
      <c r="CN435" s="41">
        <v>0.01</v>
      </c>
      <c r="CO435" s="41">
        <f t="shared" si="120"/>
        <v>0.5</v>
      </c>
      <c r="CV435" s="137"/>
      <c r="CW435" s="160"/>
      <c r="CX435" s="160"/>
      <c r="CY435" s="137"/>
      <c r="CZ435" s="137"/>
      <c r="DA435" s="137"/>
      <c r="DB435" s="160"/>
      <c r="DC435" s="160"/>
      <c r="DD435" s="160"/>
      <c r="DE435" s="160"/>
      <c r="DF435" s="160"/>
      <c r="DG435" s="137"/>
      <c r="DI435" s="156"/>
      <c r="DJ435" s="156"/>
      <c r="DK435" s="40"/>
    </row>
    <row r="436" spans="59:115" s="42" customFormat="1" ht="18.75" customHeight="1" thickBot="1" x14ac:dyDescent="0.3">
      <c r="BG436" s="242"/>
      <c r="BH436" s="177" t="s">
        <v>797</v>
      </c>
      <c r="BI436" s="177" t="s">
        <v>272</v>
      </c>
      <c r="BJ436" s="188">
        <v>2.33</v>
      </c>
      <c r="BK436" s="177" t="s">
        <v>782</v>
      </c>
      <c r="BL436" s="176">
        <v>0.01</v>
      </c>
      <c r="BM436" s="176">
        <v>0.5</v>
      </c>
      <c r="BN436" s="150" t="s">
        <v>798</v>
      </c>
      <c r="BO436" s="158"/>
      <c r="BP436" s="158"/>
      <c r="BQ436" s="158"/>
      <c r="BR436" s="158"/>
      <c r="BS436" s="158"/>
      <c r="BT436" s="158"/>
      <c r="BU436" s="37"/>
      <c r="BV436" s="158"/>
      <c r="BW436" s="158"/>
      <c r="BX436" s="37"/>
      <c r="BY436" s="37"/>
      <c r="BZ436" s="37"/>
      <c r="CA436" s="39"/>
      <c r="CB436" s="37"/>
      <c r="CC436" s="37"/>
      <c r="CD436" s="39"/>
      <c r="CE436" s="39"/>
      <c r="CF436" s="39"/>
      <c r="CG436" s="39"/>
      <c r="CH436" s="37"/>
      <c r="CI436" s="37"/>
      <c r="CJ436" s="39"/>
      <c r="CK436" s="39"/>
      <c r="CL436" s="39"/>
      <c r="CM436" s="40"/>
      <c r="CN436" s="41">
        <v>0.01</v>
      </c>
      <c r="CO436" s="41">
        <f t="shared" si="120"/>
        <v>0.5</v>
      </c>
      <c r="CV436" s="137"/>
      <c r="CW436" s="160"/>
      <c r="CX436" s="160"/>
      <c r="CY436" s="137"/>
      <c r="CZ436" s="137"/>
      <c r="DA436" s="137"/>
      <c r="DB436" s="160"/>
      <c r="DC436" s="160"/>
      <c r="DD436" s="160"/>
      <c r="DE436" s="160"/>
      <c r="DF436" s="160"/>
      <c r="DG436" s="137"/>
      <c r="DI436" s="156"/>
      <c r="DJ436" s="156"/>
      <c r="DK436" s="40"/>
    </row>
    <row r="437" spans="59:115" s="42" customFormat="1" ht="18.75" customHeight="1" thickBot="1" x14ac:dyDescent="0.3">
      <c r="BG437" s="242"/>
      <c r="BH437" s="183" t="s">
        <v>292</v>
      </c>
      <c r="BI437" s="177" t="s">
        <v>272</v>
      </c>
      <c r="BJ437" s="188">
        <v>0.91</v>
      </c>
      <c r="BK437" s="177" t="s">
        <v>782</v>
      </c>
      <c r="BL437" s="176">
        <v>0.01</v>
      </c>
      <c r="BM437" s="176">
        <v>0.5</v>
      </c>
      <c r="BN437" s="150" t="s">
        <v>799</v>
      </c>
      <c r="BO437" s="158"/>
      <c r="BP437" s="158"/>
      <c r="BQ437" s="158"/>
      <c r="BR437" s="158"/>
      <c r="BS437" s="158"/>
      <c r="BT437" s="158"/>
      <c r="BU437" s="37"/>
      <c r="BV437" s="158"/>
      <c r="BW437" s="158"/>
      <c r="BX437" s="37"/>
      <c r="BY437" s="37"/>
      <c r="BZ437" s="37"/>
      <c r="CA437" s="39"/>
      <c r="CB437" s="37"/>
      <c r="CC437" s="37"/>
      <c r="CD437" s="39"/>
      <c r="CE437" s="39"/>
      <c r="CF437" s="39"/>
      <c r="CG437" s="39"/>
      <c r="CH437" s="37"/>
      <c r="CI437" s="37"/>
      <c r="CJ437" s="39"/>
      <c r="CK437" s="39"/>
      <c r="CL437" s="39"/>
      <c r="CM437" s="40"/>
      <c r="CN437" s="41">
        <v>0.01</v>
      </c>
      <c r="CO437" s="41">
        <f t="shared" ref="CO437:CO482" si="121">BM437</f>
        <v>0.5</v>
      </c>
      <c r="CV437" s="137"/>
      <c r="CW437" s="160"/>
      <c r="CX437" s="160"/>
      <c r="CY437" s="137"/>
      <c r="CZ437" s="137"/>
      <c r="DA437" s="137"/>
      <c r="DB437" s="160"/>
      <c r="DC437" s="160"/>
      <c r="DD437" s="160"/>
      <c r="DE437" s="160"/>
      <c r="DF437" s="160"/>
      <c r="DG437" s="137"/>
      <c r="DI437" s="156"/>
      <c r="DJ437" s="156"/>
      <c r="DK437" s="40"/>
    </row>
    <row r="438" spans="59:115" s="42" customFormat="1" x14ac:dyDescent="0.25">
      <c r="BG438" s="242"/>
      <c r="BH438" s="36"/>
      <c r="BI438" s="37"/>
      <c r="BJ438" s="37"/>
      <c r="BK438" s="37"/>
      <c r="BL438" s="38"/>
      <c r="BM438" s="38"/>
      <c r="BN438" s="38"/>
      <c r="BO438" s="158"/>
      <c r="BP438" s="158"/>
      <c r="BQ438" s="158"/>
      <c r="BR438" s="158"/>
      <c r="BS438" s="158"/>
      <c r="BT438" s="158"/>
      <c r="BU438" s="37"/>
      <c r="BV438" s="158"/>
      <c r="BW438" s="158"/>
      <c r="BX438" s="37"/>
      <c r="BY438" s="37"/>
      <c r="BZ438" s="37"/>
      <c r="CA438" s="39"/>
      <c r="CB438" s="37"/>
      <c r="CC438" s="37"/>
      <c r="CD438" s="39"/>
      <c r="CE438" s="39"/>
      <c r="CF438" s="39"/>
      <c r="CG438" s="39"/>
      <c r="CH438" s="37"/>
      <c r="CI438" s="37"/>
      <c r="CJ438" s="39"/>
      <c r="CK438" s="39"/>
      <c r="CL438" s="39"/>
      <c r="CM438" s="40"/>
      <c r="CN438" s="41"/>
      <c r="CO438" s="41">
        <f t="shared" si="121"/>
        <v>0</v>
      </c>
      <c r="CV438" s="137"/>
      <c r="CW438" s="160"/>
      <c r="CX438" s="160"/>
      <c r="CY438" s="137"/>
      <c r="CZ438" s="137"/>
      <c r="DA438" s="137"/>
      <c r="DB438" s="160"/>
      <c r="DC438" s="160"/>
      <c r="DD438" s="160"/>
      <c r="DE438" s="160"/>
      <c r="DF438" s="160"/>
      <c r="DG438" s="137"/>
      <c r="DI438" s="156"/>
      <c r="DJ438" s="156"/>
      <c r="DK438" s="40"/>
    </row>
    <row r="439" spans="59:115" s="42" customFormat="1" x14ac:dyDescent="0.25">
      <c r="BG439" s="242"/>
      <c r="BH439" s="36"/>
      <c r="BI439" s="37"/>
      <c r="BJ439" s="37"/>
      <c r="BK439" s="37"/>
      <c r="BL439" s="38"/>
      <c r="BM439" s="38"/>
      <c r="BN439" s="38"/>
      <c r="BO439" s="158"/>
      <c r="BP439" s="158"/>
      <c r="BQ439" s="158"/>
      <c r="BR439" s="158"/>
      <c r="BS439" s="158"/>
      <c r="BT439" s="158"/>
      <c r="BU439" s="37"/>
      <c r="BV439" s="158"/>
      <c r="BW439" s="158"/>
      <c r="BX439" s="37"/>
      <c r="BY439" s="37"/>
      <c r="BZ439" s="37"/>
      <c r="CA439" s="39"/>
      <c r="CB439" s="37"/>
      <c r="CC439" s="37"/>
      <c r="CD439" s="39"/>
      <c r="CE439" s="39"/>
      <c r="CF439" s="39"/>
      <c r="CG439" s="39"/>
      <c r="CH439" s="37"/>
      <c r="CI439" s="37"/>
      <c r="CJ439" s="39"/>
      <c r="CK439" s="39"/>
      <c r="CL439" s="39"/>
      <c r="CM439" s="40"/>
      <c r="CN439" s="41"/>
      <c r="CO439" s="41">
        <f t="shared" si="121"/>
        <v>0</v>
      </c>
      <c r="CV439" s="137"/>
      <c r="CW439" s="160"/>
      <c r="CX439" s="160"/>
      <c r="CY439" s="137"/>
      <c r="CZ439" s="137"/>
      <c r="DA439" s="137"/>
      <c r="DB439" s="160"/>
      <c r="DC439" s="160"/>
      <c r="DD439" s="160"/>
      <c r="DE439" s="160"/>
      <c r="DF439" s="160"/>
      <c r="DG439" s="137"/>
      <c r="DI439" s="156"/>
      <c r="DJ439" s="156"/>
      <c r="DK439" s="40"/>
    </row>
    <row r="440" spans="59:115" s="42" customFormat="1" x14ac:dyDescent="0.25">
      <c r="BG440" s="242"/>
      <c r="BH440" s="36"/>
      <c r="BI440" s="37"/>
      <c r="BJ440" s="37"/>
      <c r="BK440" s="37"/>
      <c r="BL440" s="38"/>
      <c r="BM440" s="38"/>
      <c r="BN440" s="38"/>
      <c r="BO440" s="158"/>
      <c r="BP440" s="158"/>
      <c r="BQ440" s="158"/>
      <c r="BR440" s="158"/>
      <c r="BS440" s="158"/>
      <c r="BT440" s="158"/>
      <c r="BU440" s="37"/>
      <c r="BV440" s="158"/>
      <c r="BW440" s="158"/>
      <c r="BX440" s="37"/>
      <c r="BY440" s="37"/>
      <c r="BZ440" s="37"/>
      <c r="CA440" s="39"/>
      <c r="CB440" s="37"/>
      <c r="CC440" s="37"/>
      <c r="CD440" s="39"/>
      <c r="CE440" s="39"/>
      <c r="CF440" s="39"/>
      <c r="CG440" s="39"/>
      <c r="CH440" s="37"/>
      <c r="CI440" s="37"/>
      <c r="CJ440" s="39"/>
      <c r="CK440" s="39"/>
      <c r="CL440" s="39"/>
      <c r="CM440" s="40"/>
      <c r="CN440" s="41"/>
      <c r="CO440" s="41">
        <f t="shared" si="121"/>
        <v>0</v>
      </c>
      <c r="CV440" s="137"/>
      <c r="CW440" s="160"/>
      <c r="CX440" s="160"/>
      <c r="CY440" s="137"/>
      <c r="CZ440" s="137"/>
      <c r="DA440" s="137"/>
      <c r="DB440" s="160"/>
      <c r="DC440" s="160"/>
      <c r="DD440" s="160"/>
      <c r="DE440" s="160"/>
      <c r="DF440" s="160"/>
      <c r="DG440" s="137"/>
      <c r="DI440" s="156"/>
      <c r="DJ440" s="156"/>
      <c r="DK440" s="40"/>
    </row>
    <row r="441" spans="59:115" s="42" customFormat="1" x14ac:dyDescent="0.25">
      <c r="BG441" s="242"/>
      <c r="BH441" s="36"/>
      <c r="BI441" s="37"/>
      <c r="BJ441" s="37"/>
      <c r="BK441" s="37"/>
      <c r="BL441" s="38"/>
      <c r="BM441" s="38"/>
      <c r="BN441" s="38"/>
      <c r="BO441" s="158"/>
      <c r="BP441" s="158"/>
      <c r="BQ441" s="158"/>
      <c r="BR441" s="158"/>
      <c r="BS441" s="158"/>
      <c r="BT441" s="158"/>
      <c r="BU441" s="37"/>
      <c r="BV441" s="158"/>
      <c r="BW441" s="158"/>
      <c r="BX441" s="37"/>
      <c r="BY441" s="37"/>
      <c r="BZ441" s="37"/>
      <c r="CA441" s="39"/>
      <c r="CB441" s="37"/>
      <c r="CC441" s="37"/>
      <c r="CD441" s="39"/>
      <c r="CE441" s="39"/>
      <c r="CF441" s="39"/>
      <c r="CG441" s="39"/>
      <c r="CH441" s="37"/>
      <c r="CI441" s="37"/>
      <c r="CJ441" s="39"/>
      <c r="CK441" s="39"/>
      <c r="CL441" s="39"/>
      <c r="CM441" s="40"/>
      <c r="CN441" s="41"/>
      <c r="CO441" s="41">
        <f t="shared" si="121"/>
        <v>0</v>
      </c>
      <c r="CV441" s="137"/>
      <c r="CW441" s="160"/>
      <c r="CX441" s="160"/>
      <c r="CY441" s="137"/>
      <c r="CZ441" s="137"/>
      <c r="DA441" s="137"/>
      <c r="DB441" s="160"/>
      <c r="DC441" s="160"/>
      <c r="DD441" s="160"/>
      <c r="DE441" s="160"/>
      <c r="DF441" s="160"/>
      <c r="DG441" s="137"/>
      <c r="DI441" s="156"/>
      <c r="DJ441" s="156"/>
      <c r="DK441" s="40"/>
    </row>
    <row r="442" spans="59:115" s="42" customFormat="1" x14ac:dyDescent="0.25">
      <c r="BG442" s="242"/>
      <c r="BH442" s="36"/>
      <c r="BI442" s="37"/>
      <c r="BJ442" s="37"/>
      <c r="BK442" s="37"/>
      <c r="BL442" s="38"/>
      <c r="BM442" s="38"/>
      <c r="BN442" s="38"/>
      <c r="BO442" s="158"/>
      <c r="BP442" s="158"/>
      <c r="BQ442" s="158"/>
      <c r="BR442" s="158"/>
      <c r="BS442" s="158"/>
      <c r="BT442" s="158"/>
      <c r="BU442" s="37"/>
      <c r="BV442" s="158"/>
      <c r="BW442" s="158"/>
      <c r="BX442" s="37"/>
      <c r="BY442" s="37"/>
      <c r="BZ442" s="37"/>
      <c r="CA442" s="39"/>
      <c r="CB442" s="37"/>
      <c r="CC442" s="37"/>
      <c r="CD442" s="39"/>
      <c r="CE442" s="39"/>
      <c r="CF442" s="39"/>
      <c r="CG442" s="39"/>
      <c r="CH442" s="37"/>
      <c r="CI442" s="37"/>
      <c r="CJ442" s="39"/>
      <c r="CK442" s="39"/>
      <c r="CL442" s="39"/>
      <c r="CM442" s="40"/>
      <c r="CN442" s="41"/>
      <c r="CO442" s="41">
        <f t="shared" si="121"/>
        <v>0</v>
      </c>
      <c r="CV442" s="137"/>
      <c r="CW442" s="160"/>
      <c r="CX442" s="160"/>
      <c r="CY442" s="137"/>
      <c r="CZ442" s="137"/>
      <c r="DA442" s="137"/>
      <c r="DB442" s="160"/>
      <c r="DC442" s="160"/>
      <c r="DD442" s="160"/>
      <c r="DE442" s="160"/>
      <c r="DF442" s="160"/>
      <c r="DG442" s="137"/>
      <c r="DI442" s="156"/>
      <c r="DJ442" s="156"/>
      <c r="DK442" s="40"/>
    </row>
    <row r="443" spans="59:115" s="42" customFormat="1" x14ac:dyDescent="0.25">
      <c r="BG443" s="242"/>
      <c r="BH443" s="36"/>
      <c r="BI443" s="37"/>
      <c r="BJ443" s="37"/>
      <c r="BK443" s="37"/>
      <c r="BL443" s="38"/>
      <c r="BM443" s="38"/>
      <c r="BN443" s="38"/>
      <c r="BO443" s="158"/>
      <c r="BP443" s="158"/>
      <c r="BQ443" s="158"/>
      <c r="BR443" s="158"/>
      <c r="BS443" s="158"/>
      <c r="BT443" s="158"/>
      <c r="BU443" s="37"/>
      <c r="BV443" s="158"/>
      <c r="BW443" s="158"/>
      <c r="BX443" s="37"/>
      <c r="BY443" s="37"/>
      <c r="BZ443" s="37"/>
      <c r="CA443" s="39"/>
      <c r="CB443" s="37"/>
      <c r="CC443" s="37"/>
      <c r="CD443" s="39"/>
      <c r="CE443" s="39"/>
      <c r="CF443" s="39"/>
      <c r="CG443" s="39"/>
      <c r="CH443" s="37"/>
      <c r="CI443" s="37"/>
      <c r="CJ443" s="39"/>
      <c r="CK443" s="39"/>
      <c r="CL443" s="39"/>
      <c r="CM443" s="40"/>
      <c r="CN443" s="41"/>
      <c r="CO443" s="41">
        <f t="shared" si="121"/>
        <v>0</v>
      </c>
      <c r="CV443" s="137"/>
      <c r="CW443" s="160"/>
      <c r="CX443" s="160"/>
      <c r="CY443" s="137"/>
      <c r="CZ443" s="137"/>
      <c r="DA443" s="137"/>
      <c r="DB443" s="160"/>
      <c r="DC443" s="160"/>
      <c r="DD443" s="160"/>
      <c r="DE443" s="160"/>
      <c r="DF443" s="160"/>
      <c r="DG443" s="137"/>
      <c r="DI443" s="156"/>
      <c r="DJ443" s="156"/>
      <c r="DK443" s="40"/>
    </row>
    <row r="444" spans="59:115" s="42" customFormat="1" ht="14" thickBot="1" x14ac:dyDescent="0.3">
      <c r="BG444" s="242"/>
      <c r="BH444" s="36"/>
      <c r="BI444" s="37"/>
      <c r="BJ444" s="37"/>
      <c r="BK444" s="37"/>
      <c r="BL444" s="38"/>
      <c r="BM444" s="38"/>
      <c r="BN444" s="38"/>
      <c r="BO444" s="158"/>
      <c r="BP444" s="158"/>
      <c r="BQ444" s="158"/>
      <c r="BR444" s="158"/>
      <c r="BS444" s="158"/>
      <c r="BT444" s="158"/>
      <c r="BU444" s="37"/>
      <c r="BV444" s="158"/>
      <c r="BW444" s="158"/>
      <c r="BX444" s="37"/>
      <c r="BY444" s="37"/>
      <c r="BZ444" s="37"/>
      <c r="CA444" s="39"/>
      <c r="CB444" s="37"/>
      <c r="CC444" s="37"/>
      <c r="CD444" s="39"/>
      <c r="CE444" s="39"/>
      <c r="CF444" s="39"/>
      <c r="CG444" s="39"/>
      <c r="CH444" s="37"/>
      <c r="CI444" s="37"/>
      <c r="CJ444" s="39"/>
      <c r="CK444" s="39"/>
      <c r="CL444" s="39"/>
      <c r="CM444" s="40"/>
      <c r="CN444" s="41"/>
      <c r="CO444" s="41">
        <f t="shared" si="121"/>
        <v>0</v>
      </c>
      <c r="CV444" s="137"/>
      <c r="CW444" s="160"/>
      <c r="CX444" s="160"/>
      <c r="CY444" s="137"/>
      <c r="CZ444" s="137"/>
      <c r="DA444" s="137"/>
      <c r="DB444" s="160"/>
      <c r="DC444" s="160"/>
      <c r="DD444" s="160"/>
      <c r="DE444" s="160"/>
      <c r="DF444" s="160"/>
      <c r="DG444" s="137"/>
      <c r="DI444" s="156"/>
      <c r="DJ444" s="156"/>
      <c r="DK444" s="40"/>
    </row>
    <row r="445" spans="59:115" s="42" customFormat="1" ht="14.5" thickBot="1" x14ac:dyDescent="0.3">
      <c r="BG445" s="242"/>
      <c r="BH445" s="199" t="s">
        <v>127</v>
      </c>
      <c r="BI445" s="200" t="s">
        <v>133</v>
      </c>
      <c r="BJ445" s="37"/>
      <c r="BK445" s="37"/>
      <c r="BL445" s="38"/>
      <c r="BM445" s="38"/>
      <c r="BN445" s="38"/>
      <c r="BO445" s="158"/>
      <c r="BP445" s="158"/>
      <c r="BQ445" s="158"/>
      <c r="BR445" s="158"/>
      <c r="BS445" s="158"/>
      <c r="BT445" s="158"/>
      <c r="BU445" s="37"/>
      <c r="BV445" s="158"/>
      <c r="BW445" s="158"/>
      <c r="BX445" s="37"/>
      <c r="BY445" s="37"/>
      <c r="BZ445" s="37"/>
      <c r="CA445" s="39"/>
      <c r="CB445" s="37"/>
      <c r="CC445" s="37"/>
      <c r="CD445" s="39"/>
      <c r="CE445" s="39"/>
      <c r="CF445" s="39"/>
      <c r="CG445" s="39"/>
      <c r="CH445" s="37"/>
      <c r="CI445" s="37"/>
      <c r="CJ445" s="39"/>
      <c r="CK445" s="39"/>
      <c r="CL445" s="39"/>
      <c r="CM445" s="40"/>
      <c r="CN445" s="41"/>
      <c r="CO445" s="41">
        <f t="shared" si="121"/>
        <v>0</v>
      </c>
      <c r="CV445" s="137"/>
      <c r="CW445" s="160"/>
      <c r="CX445" s="160"/>
      <c r="CY445" s="137"/>
      <c r="CZ445" s="137"/>
      <c r="DA445" s="137"/>
      <c r="DB445" s="160"/>
      <c r="DC445" s="160"/>
      <c r="DD445" s="160"/>
      <c r="DE445" s="160"/>
      <c r="DF445" s="160"/>
      <c r="DG445" s="137"/>
      <c r="DI445" s="156"/>
      <c r="DJ445" s="156"/>
      <c r="DK445" s="40"/>
    </row>
    <row r="446" spans="59:115" s="42" customFormat="1" ht="14" thickBot="1" x14ac:dyDescent="0.3">
      <c r="BG446" s="242"/>
      <c r="BH446" s="177">
        <v>0</v>
      </c>
      <c r="BI446" s="191">
        <v>0</v>
      </c>
      <c r="BJ446" s="37"/>
      <c r="BK446" s="37"/>
      <c r="BL446" s="38"/>
      <c r="BM446" s="38"/>
      <c r="BN446" s="38"/>
      <c r="BO446" s="158"/>
      <c r="BP446" s="158"/>
      <c r="BQ446" s="158"/>
      <c r="BR446" s="158"/>
      <c r="BS446" s="158"/>
      <c r="BT446" s="158"/>
      <c r="BU446" s="37"/>
      <c r="BV446" s="158"/>
      <c r="BW446" s="158"/>
      <c r="BX446" s="37"/>
      <c r="BY446" s="37"/>
      <c r="BZ446" s="37"/>
      <c r="CA446" s="39"/>
      <c r="CB446" s="37"/>
      <c r="CC446" s="37"/>
      <c r="CD446" s="39"/>
      <c r="CE446" s="39"/>
      <c r="CF446" s="39"/>
      <c r="CG446" s="39"/>
      <c r="CH446" s="37"/>
      <c r="CI446" s="37"/>
      <c r="CJ446" s="39"/>
      <c r="CK446" s="39"/>
      <c r="CL446" s="39"/>
      <c r="CM446" s="40"/>
      <c r="CN446" s="41"/>
      <c r="CO446" s="41">
        <f t="shared" si="121"/>
        <v>0</v>
      </c>
      <c r="CV446" s="137"/>
      <c r="CW446" s="160"/>
      <c r="CX446" s="160"/>
      <c r="CY446" s="137"/>
      <c r="CZ446" s="137"/>
      <c r="DA446" s="137"/>
      <c r="DB446" s="160"/>
      <c r="DC446" s="160"/>
      <c r="DD446" s="160"/>
      <c r="DE446" s="160"/>
      <c r="DF446" s="160"/>
      <c r="DG446" s="137"/>
      <c r="DI446" s="156"/>
      <c r="DJ446" s="156"/>
      <c r="DK446" s="40"/>
    </row>
    <row r="447" spans="59:115" s="42" customFormat="1" ht="14" thickBot="1" x14ac:dyDescent="0.3">
      <c r="BG447" s="242"/>
      <c r="BH447" s="177">
        <v>2</v>
      </c>
      <c r="BI447" s="191">
        <v>12.71</v>
      </c>
      <c r="BJ447" s="37"/>
      <c r="BK447" s="37"/>
      <c r="BL447" s="38"/>
      <c r="BM447" s="38"/>
      <c r="BN447" s="38"/>
      <c r="BO447" s="39"/>
      <c r="BP447" s="39"/>
      <c r="BQ447" s="39"/>
      <c r="BR447" s="39"/>
      <c r="BS447" s="39"/>
      <c r="BT447" s="39"/>
      <c r="BU447" s="39"/>
      <c r="BV447" s="39"/>
      <c r="BW447" s="39"/>
      <c r="BX447" s="39"/>
      <c r="BY447" s="39"/>
      <c r="BZ447" s="39"/>
      <c r="CA447" s="39"/>
      <c r="CB447" s="37"/>
      <c r="CC447" s="37"/>
      <c r="CD447" s="39"/>
      <c r="CE447" s="39"/>
      <c r="CF447" s="39"/>
      <c r="CG447" s="39"/>
      <c r="CH447" s="37"/>
      <c r="CI447" s="37"/>
      <c r="CJ447" s="39"/>
      <c r="CK447" s="39"/>
      <c r="CL447" s="39"/>
      <c r="CM447" s="40"/>
      <c r="CN447" s="41"/>
      <c r="CO447" s="41">
        <f t="shared" si="121"/>
        <v>0</v>
      </c>
      <c r="CV447" s="40"/>
      <c r="CW447" s="40"/>
      <c r="CX447" s="40"/>
      <c r="CY447" s="40"/>
      <c r="CZ447" s="40"/>
      <c r="DA447" s="40"/>
      <c r="DB447" s="40"/>
      <c r="DC447" s="40"/>
      <c r="DD447" s="40"/>
      <c r="DE447" s="40"/>
      <c r="DF447" s="40"/>
      <c r="DG447" s="40"/>
      <c r="DH447" s="40"/>
    </row>
    <row r="448" spans="59:115" s="42" customFormat="1" ht="14" thickBot="1" x14ac:dyDescent="0.3">
      <c r="BG448" s="242"/>
      <c r="BH448" s="177">
        <v>3</v>
      </c>
      <c r="BI448" s="191">
        <v>4.3</v>
      </c>
      <c r="BJ448" s="37"/>
      <c r="BK448" s="37"/>
      <c r="BL448" s="38"/>
      <c r="BM448" s="38"/>
      <c r="BN448" s="38"/>
      <c r="BO448" s="39"/>
      <c r="BP448" s="39"/>
      <c r="BQ448" s="39"/>
      <c r="BR448" s="39"/>
      <c r="BS448" s="39"/>
      <c r="BT448" s="39"/>
      <c r="BU448" s="39"/>
      <c r="BV448" s="39"/>
      <c r="BW448" s="39"/>
      <c r="BX448" s="39"/>
      <c r="BY448" s="39"/>
      <c r="BZ448" s="39"/>
      <c r="CA448" s="39"/>
      <c r="CB448" s="37"/>
      <c r="CC448" s="37"/>
      <c r="CD448" s="39"/>
      <c r="CE448" s="39"/>
      <c r="CF448" s="39"/>
      <c r="CG448" s="39"/>
      <c r="CH448" s="37"/>
      <c r="CI448" s="37"/>
      <c r="CJ448" s="39"/>
      <c r="CK448" s="39"/>
      <c r="CL448" s="39"/>
      <c r="CM448" s="40"/>
      <c r="CN448" s="41"/>
      <c r="CO448" s="41">
        <f t="shared" si="121"/>
        <v>0</v>
      </c>
      <c r="CV448" s="40"/>
      <c r="CW448" s="40"/>
      <c r="CX448" s="40"/>
      <c r="CY448" s="40"/>
      <c r="CZ448" s="40"/>
      <c r="DA448" s="40"/>
      <c r="DB448" s="40"/>
      <c r="DC448" s="40"/>
      <c r="DD448" s="40"/>
      <c r="DE448" s="40"/>
      <c r="DF448" s="40"/>
      <c r="DG448" s="40"/>
      <c r="DH448" s="40"/>
      <c r="DI448" s="40"/>
      <c r="DJ448" s="40"/>
      <c r="DK448" s="40"/>
    </row>
    <row r="449" spans="26:116" s="42" customFormat="1" ht="14" thickBot="1" x14ac:dyDescent="0.3">
      <c r="BG449" s="242"/>
      <c r="BH449" s="177">
        <v>4</v>
      </c>
      <c r="BI449" s="191">
        <v>3.18</v>
      </c>
      <c r="BJ449" s="37"/>
      <c r="BK449" s="37"/>
      <c r="BL449" s="38"/>
      <c r="BM449" s="38"/>
      <c r="BN449" s="38"/>
      <c r="BO449" s="37"/>
      <c r="BP449" s="37"/>
      <c r="BQ449" s="37"/>
      <c r="BR449" s="37"/>
      <c r="BS449" s="37"/>
      <c r="BT449" s="37"/>
      <c r="BU449" s="39"/>
      <c r="BV449" s="37"/>
      <c r="BW449" s="37"/>
      <c r="BX449" s="39"/>
      <c r="BY449" s="39"/>
      <c r="BZ449" s="39"/>
      <c r="CA449" s="39"/>
      <c r="CB449" s="37"/>
      <c r="CC449" s="37"/>
      <c r="CD449" s="39"/>
      <c r="CE449" s="39"/>
      <c r="CF449" s="39"/>
      <c r="CG449" s="39"/>
      <c r="CH449" s="37"/>
      <c r="CI449" s="37"/>
      <c r="CJ449" s="39"/>
      <c r="CK449" s="39"/>
      <c r="CL449" s="39"/>
      <c r="CM449" s="40"/>
      <c r="CN449" s="41"/>
      <c r="CO449" s="41">
        <f t="shared" si="121"/>
        <v>0</v>
      </c>
      <c r="CV449" s="40"/>
      <c r="CW449" s="137"/>
      <c r="CX449" s="137"/>
      <c r="CY449" s="40"/>
      <c r="CZ449" s="40"/>
      <c r="DA449" s="40"/>
      <c r="DB449" s="40"/>
      <c r="DC449" s="137"/>
      <c r="DD449" s="137"/>
      <c r="DE449" s="40"/>
      <c r="DF449" s="40"/>
      <c r="DG449" s="40"/>
      <c r="DH449" s="40"/>
      <c r="DI449" s="40"/>
      <c r="DJ449" s="40"/>
      <c r="DL449" s="40"/>
    </row>
    <row r="450" spans="26:116" s="42" customFormat="1" ht="14" thickBot="1" x14ac:dyDescent="0.3">
      <c r="BG450" s="242"/>
      <c r="BH450" s="177">
        <v>5</v>
      </c>
      <c r="BI450" s="191">
        <v>2.78</v>
      </c>
      <c r="BJ450" s="37"/>
      <c r="BK450" s="37"/>
      <c r="BL450" s="38"/>
      <c r="BM450" s="38"/>
      <c r="BN450" s="38"/>
      <c r="BO450" s="37"/>
      <c r="BP450" s="37"/>
      <c r="BQ450" s="37"/>
      <c r="BR450" s="37"/>
      <c r="BS450" s="37"/>
      <c r="BT450" s="37"/>
      <c r="BU450" s="37"/>
      <c r="BV450" s="37"/>
      <c r="BW450" s="37"/>
      <c r="BX450" s="37"/>
      <c r="BY450" s="37"/>
      <c r="BZ450" s="37"/>
      <c r="CA450" s="39"/>
      <c r="CB450" s="37"/>
      <c r="CC450" s="37"/>
      <c r="CD450" s="39"/>
      <c r="CE450" s="39"/>
      <c r="CF450" s="39"/>
      <c r="CG450" s="39"/>
      <c r="CH450" s="37"/>
      <c r="CI450" s="37"/>
      <c r="CJ450" s="39"/>
      <c r="CK450" s="39"/>
      <c r="CL450" s="39"/>
      <c r="CM450" s="40"/>
      <c r="CN450" s="41"/>
      <c r="CO450" s="41">
        <f t="shared" si="121"/>
        <v>0</v>
      </c>
      <c r="CV450" s="40"/>
      <c r="CW450" s="137"/>
      <c r="CX450" s="137"/>
      <c r="CY450" s="40"/>
      <c r="CZ450" s="40"/>
      <c r="DA450" s="40"/>
      <c r="DB450" s="40"/>
      <c r="DC450" s="137"/>
      <c r="DD450" s="137"/>
      <c r="DE450" s="40"/>
      <c r="DF450" s="40"/>
      <c r="DG450" s="40"/>
      <c r="DH450" s="40"/>
    </row>
    <row r="451" spans="26:116" s="42" customFormat="1" ht="14" thickBot="1" x14ac:dyDescent="0.3">
      <c r="BG451" s="242"/>
      <c r="BH451" s="177">
        <v>6</v>
      </c>
      <c r="BI451" s="191">
        <v>2.57</v>
      </c>
      <c r="BJ451" s="37"/>
      <c r="BK451" s="37"/>
      <c r="BL451" s="38"/>
      <c r="BM451" s="38"/>
      <c r="BN451" s="38"/>
      <c r="BO451" s="37"/>
      <c r="BP451" s="37"/>
      <c r="BQ451" s="37"/>
      <c r="BR451" s="37"/>
      <c r="BS451" s="37"/>
      <c r="BT451" s="37"/>
      <c r="BU451" s="37"/>
      <c r="BV451" s="37"/>
      <c r="BW451" s="37"/>
      <c r="BX451" s="37"/>
      <c r="BY451" s="37"/>
      <c r="BZ451" s="37"/>
      <c r="CA451" s="39"/>
      <c r="CB451" s="37"/>
      <c r="CC451" s="37"/>
      <c r="CD451" s="39"/>
      <c r="CE451" s="39"/>
      <c r="CF451" s="39"/>
      <c r="CG451" s="39"/>
      <c r="CH451" s="37"/>
      <c r="CI451" s="37"/>
      <c r="CJ451" s="39"/>
      <c r="CK451" s="39"/>
      <c r="CL451" s="39"/>
      <c r="CM451" s="40"/>
      <c r="CN451" s="161"/>
      <c r="CO451" s="41">
        <f t="shared" si="121"/>
        <v>0</v>
      </c>
    </row>
    <row r="452" spans="26:116" s="42" customFormat="1" ht="14" thickBot="1" x14ac:dyDescent="0.3">
      <c r="BG452" s="242"/>
      <c r="BH452" s="177">
        <v>7</v>
      </c>
      <c r="BI452" s="191">
        <v>2.4500000000000002</v>
      </c>
      <c r="BJ452" s="37"/>
      <c r="BK452" s="37"/>
      <c r="BL452" s="38"/>
      <c r="BM452" s="38"/>
      <c r="BN452" s="38"/>
      <c r="BO452" s="37"/>
      <c r="BP452" s="37"/>
      <c r="BQ452" s="37"/>
      <c r="BR452" s="37"/>
      <c r="BS452" s="37"/>
      <c r="BT452" s="37"/>
      <c r="BU452" s="37"/>
      <c r="BV452" s="37"/>
      <c r="BW452" s="37"/>
      <c r="BX452" s="37"/>
      <c r="BY452" s="37"/>
      <c r="BZ452" s="37"/>
      <c r="CA452" s="39"/>
      <c r="CB452" s="37"/>
      <c r="CC452" s="37"/>
      <c r="CD452" s="39"/>
      <c r="CE452" s="39"/>
      <c r="CF452" s="39"/>
      <c r="CG452" s="39"/>
      <c r="CH452" s="37"/>
      <c r="CI452" s="37"/>
      <c r="CJ452" s="39"/>
      <c r="CK452" s="39"/>
      <c r="CL452" s="39"/>
      <c r="CM452" s="40"/>
      <c r="CN452" s="41"/>
      <c r="CO452" s="41">
        <f t="shared" si="121"/>
        <v>0</v>
      </c>
    </row>
    <row r="453" spans="26:116" s="42" customFormat="1" ht="14" thickBot="1" x14ac:dyDescent="0.3">
      <c r="BG453" s="242"/>
      <c r="BH453" s="177">
        <v>8</v>
      </c>
      <c r="BI453" s="191">
        <v>2.36</v>
      </c>
      <c r="BJ453" s="37"/>
      <c r="BK453" s="37"/>
      <c r="BL453" s="38"/>
      <c r="BM453" s="38"/>
      <c r="BN453" s="38"/>
      <c r="BO453" s="37"/>
      <c r="BP453" s="37"/>
      <c r="BQ453" s="37"/>
      <c r="BR453" s="37"/>
      <c r="BS453" s="37"/>
      <c r="BT453" s="37"/>
      <c r="BU453" s="37"/>
      <c r="BV453" s="37"/>
      <c r="BW453" s="37"/>
      <c r="BX453" s="37"/>
      <c r="BY453" s="37"/>
      <c r="BZ453" s="37"/>
      <c r="CA453" s="39"/>
      <c r="CB453" s="37"/>
      <c r="CC453" s="37"/>
      <c r="CD453" s="39"/>
      <c r="CE453" s="39"/>
      <c r="CF453" s="39"/>
      <c r="CG453" s="39"/>
      <c r="CH453" s="37"/>
      <c r="CI453" s="37"/>
      <c r="CJ453" s="39"/>
      <c r="CK453" s="39"/>
      <c r="CL453" s="39"/>
      <c r="CM453" s="40"/>
      <c r="CN453" s="41"/>
      <c r="CO453" s="41">
        <f t="shared" si="121"/>
        <v>0</v>
      </c>
    </row>
    <row r="454" spans="26:116" s="42" customFormat="1" ht="14" thickBot="1" x14ac:dyDescent="0.3">
      <c r="BG454" s="242"/>
      <c r="BH454" s="177">
        <v>9</v>
      </c>
      <c r="BI454" s="191">
        <v>2.31</v>
      </c>
      <c r="BJ454" s="37"/>
      <c r="BK454" s="37"/>
      <c r="BL454" s="38"/>
      <c r="BM454" s="38"/>
      <c r="BN454" s="38"/>
      <c r="BO454" s="37"/>
      <c r="BP454" s="37"/>
      <c r="BQ454" s="37"/>
      <c r="BR454" s="37"/>
      <c r="BS454" s="37"/>
      <c r="BT454" s="37"/>
      <c r="BU454" s="37"/>
      <c r="BV454" s="37"/>
      <c r="BW454" s="37"/>
      <c r="BX454" s="37"/>
      <c r="BY454" s="37"/>
      <c r="BZ454" s="37"/>
      <c r="CA454" s="39"/>
      <c r="CB454" s="37"/>
      <c r="CC454" s="37"/>
      <c r="CD454" s="39"/>
      <c r="CE454" s="39"/>
      <c r="CF454" s="39"/>
      <c r="CG454" s="39"/>
      <c r="CH454" s="37"/>
      <c r="CI454" s="37"/>
      <c r="CJ454" s="39"/>
      <c r="CK454" s="39"/>
      <c r="CL454" s="39"/>
      <c r="CM454" s="40"/>
      <c r="CN454" s="41"/>
      <c r="CO454" s="41">
        <f t="shared" si="121"/>
        <v>0</v>
      </c>
    </row>
    <row r="455" spans="26:116" s="42" customFormat="1" ht="14" thickBot="1" x14ac:dyDescent="0.3">
      <c r="BG455" s="242"/>
      <c r="BH455" s="177">
        <v>10</v>
      </c>
      <c r="BI455" s="191">
        <v>2.2599999999999998</v>
      </c>
      <c r="BJ455" s="37"/>
      <c r="BK455" s="37"/>
      <c r="BL455" s="38"/>
      <c r="BM455" s="38"/>
      <c r="BN455" s="38"/>
      <c r="BO455" s="37"/>
      <c r="BP455" s="37"/>
      <c r="BQ455" s="37"/>
      <c r="BR455" s="37"/>
      <c r="BS455" s="37"/>
      <c r="BT455" s="37"/>
      <c r="BU455" s="37"/>
      <c r="BV455" s="37"/>
      <c r="BW455" s="37"/>
      <c r="BX455" s="37"/>
      <c r="BY455" s="37"/>
      <c r="BZ455" s="37"/>
      <c r="CA455" s="39"/>
      <c r="CB455" s="37"/>
      <c r="CC455" s="37"/>
      <c r="CD455" s="39"/>
      <c r="CE455" s="39"/>
      <c r="CF455" s="39"/>
      <c r="CG455" s="39"/>
      <c r="CH455" s="37"/>
      <c r="CI455" s="37"/>
      <c r="CJ455" s="39"/>
      <c r="CK455" s="39"/>
      <c r="CL455" s="39"/>
      <c r="CM455" s="40"/>
      <c r="CN455" s="41"/>
      <c r="CO455" s="41">
        <f t="shared" si="121"/>
        <v>0</v>
      </c>
    </row>
    <row r="456" spans="26:116" s="42" customFormat="1" ht="14" thickBot="1" x14ac:dyDescent="0.3">
      <c r="BG456" s="242"/>
      <c r="BH456" s="177">
        <v>11</v>
      </c>
      <c r="BI456" s="191">
        <v>2.23</v>
      </c>
      <c r="BJ456" s="37"/>
      <c r="BK456" s="37"/>
      <c r="BL456" s="38"/>
      <c r="BM456" s="38"/>
      <c r="BN456" s="38"/>
      <c r="BO456" s="37"/>
      <c r="BP456" s="37"/>
      <c r="BQ456" s="37"/>
      <c r="BR456" s="37"/>
      <c r="BS456" s="37"/>
      <c r="BT456" s="37"/>
      <c r="BU456" s="37"/>
      <c r="BV456" s="37"/>
      <c r="BW456" s="37"/>
      <c r="BX456" s="37"/>
      <c r="BY456" s="37"/>
      <c r="BZ456" s="37"/>
      <c r="CA456" s="39"/>
      <c r="CB456" s="37"/>
      <c r="CC456" s="37"/>
      <c r="CD456" s="39"/>
      <c r="CE456" s="39"/>
      <c r="CF456" s="39"/>
      <c r="CG456" s="39"/>
      <c r="CH456" s="37"/>
      <c r="CI456" s="37"/>
      <c r="CJ456" s="39"/>
      <c r="CK456" s="39"/>
      <c r="CL456" s="39"/>
      <c r="CM456" s="40"/>
      <c r="CN456" s="41"/>
      <c r="CO456" s="41">
        <f t="shared" si="121"/>
        <v>0</v>
      </c>
    </row>
    <row r="457" spans="26:116" s="42" customFormat="1" ht="14" thickBot="1" x14ac:dyDescent="0.3">
      <c r="BG457" s="242"/>
      <c r="BH457" s="177">
        <v>12</v>
      </c>
      <c r="BI457" s="191">
        <v>2.2000000000000002</v>
      </c>
      <c r="BJ457" s="37"/>
      <c r="BK457" s="37"/>
      <c r="BL457" s="38"/>
      <c r="BM457" s="38"/>
      <c r="BN457" s="38"/>
      <c r="BO457" s="37"/>
      <c r="BP457" s="37"/>
      <c r="BQ457" s="37"/>
      <c r="BR457" s="37"/>
      <c r="BS457" s="37"/>
      <c r="BT457" s="37"/>
      <c r="BU457" s="37"/>
      <c r="BV457" s="37"/>
      <c r="BW457" s="37"/>
      <c r="BX457" s="37"/>
      <c r="BY457" s="37"/>
      <c r="BZ457" s="37"/>
      <c r="CA457" s="39"/>
      <c r="CB457" s="37"/>
      <c r="CC457" s="37"/>
      <c r="CD457" s="39"/>
      <c r="CE457" s="39"/>
      <c r="CF457" s="39"/>
      <c r="CG457" s="39"/>
      <c r="CH457" s="37"/>
      <c r="CI457" s="37"/>
      <c r="CJ457" s="39"/>
      <c r="CK457" s="39"/>
      <c r="CL457" s="39"/>
      <c r="CM457" s="40"/>
      <c r="CN457" s="41"/>
      <c r="CO457" s="41">
        <f t="shared" si="121"/>
        <v>0</v>
      </c>
    </row>
    <row r="458" spans="26:116" s="42" customFormat="1" x14ac:dyDescent="0.25">
      <c r="BG458" s="242"/>
      <c r="BH458" s="36"/>
      <c r="BI458" s="37"/>
      <c r="BJ458" s="37"/>
      <c r="BK458" s="37"/>
      <c r="BL458" s="38"/>
      <c r="BM458" s="38"/>
      <c r="BN458" s="38"/>
      <c r="BO458" s="37"/>
      <c r="BP458" s="37"/>
      <c r="BQ458" s="37"/>
      <c r="BR458" s="37"/>
      <c r="BS458" s="37"/>
      <c r="BT458" s="37"/>
      <c r="BU458" s="37"/>
      <c r="BV458" s="37"/>
      <c r="BW458" s="37"/>
      <c r="BX458" s="37"/>
      <c r="BY458" s="37"/>
      <c r="BZ458" s="37"/>
      <c r="CA458" s="39"/>
      <c r="CB458" s="37"/>
      <c r="CC458" s="37"/>
      <c r="CD458" s="39"/>
      <c r="CE458" s="39"/>
      <c r="CF458" s="39"/>
      <c r="CG458" s="39"/>
      <c r="CH458" s="37"/>
      <c r="CI458" s="37"/>
      <c r="CJ458" s="39"/>
      <c r="CK458" s="39"/>
      <c r="CL458" s="39"/>
      <c r="CM458" s="40"/>
      <c r="CN458" s="162"/>
      <c r="CO458" s="41">
        <f t="shared" si="121"/>
        <v>0</v>
      </c>
    </row>
    <row r="459" spans="26:116" s="42" customFormat="1" x14ac:dyDescent="0.25">
      <c r="Z459" s="134"/>
      <c r="AA459" s="134"/>
      <c r="AC459" s="134"/>
      <c r="AD459" s="135"/>
      <c r="AG459" s="136"/>
      <c r="AH459" s="136"/>
      <c r="AJ459" s="134"/>
      <c r="AQ459" s="134"/>
      <c r="AU459" s="134"/>
      <c r="AW459" s="134"/>
      <c r="BA459" s="134"/>
      <c r="BB459" s="134"/>
      <c r="BD459" s="134"/>
      <c r="BG459" s="235"/>
      <c r="BH459" s="36"/>
      <c r="BI459" s="37"/>
      <c r="BJ459" s="37"/>
      <c r="BK459" s="37"/>
      <c r="BL459" s="38"/>
      <c r="BM459" s="38"/>
      <c r="BN459" s="38"/>
      <c r="BO459" s="37"/>
      <c r="BP459" s="37"/>
      <c r="BQ459" s="37"/>
      <c r="BR459" s="37"/>
      <c r="BS459" s="37"/>
      <c r="BT459" s="37"/>
      <c r="BU459" s="37"/>
      <c r="BV459" s="37"/>
      <c r="BW459" s="37"/>
      <c r="BX459" s="37"/>
      <c r="BY459" s="37"/>
      <c r="BZ459" s="37"/>
      <c r="CA459" s="39"/>
      <c r="CB459" s="37"/>
      <c r="CC459" s="37"/>
      <c r="CD459" s="39"/>
      <c r="CE459" s="39"/>
      <c r="CF459" s="39"/>
      <c r="CG459" s="39"/>
      <c r="CH459" s="37"/>
      <c r="CI459" s="37"/>
      <c r="CJ459" s="39"/>
      <c r="CK459" s="39"/>
      <c r="CL459" s="39"/>
      <c r="CM459" s="40"/>
      <c r="CN459" s="41"/>
      <c r="CO459" s="41">
        <f t="shared" si="121"/>
        <v>0</v>
      </c>
    </row>
    <row r="460" spans="26:116" s="42" customFormat="1" ht="14" thickBot="1" x14ac:dyDescent="0.3">
      <c r="Z460" s="134"/>
      <c r="AA460" s="134"/>
      <c r="AC460" s="134"/>
      <c r="AD460" s="135"/>
      <c r="AG460" s="136"/>
      <c r="AH460" s="136"/>
      <c r="AJ460" s="134"/>
      <c r="AQ460" s="134"/>
      <c r="AU460" s="134"/>
      <c r="AW460" s="134"/>
      <c r="BA460" s="134"/>
      <c r="BB460" s="134"/>
      <c r="BD460" s="134"/>
      <c r="BG460" s="235"/>
      <c r="BH460" s="36"/>
      <c r="BI460" s="37"/>
      <c r="BJ460" s="37"/>
      <c r="BK460" s="37"/>
      <c r="BL460" s="38"/>
      <c r="BM460" s="38"/>
      <c r="BN460" s="38"/>
      <c r="BO460" s="37"/>
      <c r="BP460" s="37"/>
      <c r="BQ460" s="37"/>
      <c r="BR460" s="37"/>
      <c r="BS460" s="37"/>
      <c r="BT460" s="37"/>
      <c r="BU460" s="37"/>
      <c r="BV460" s="37"/>
      <c r="BW460" s="37"/>
      <c r="BX460" s="37"/>
      <c r="BY460" s="37"/>
      <c r="BZ460" s="37"/>
      <c r="CA460" s="39"/>
      <c r="CB460" s="37"/>
      <c r="CC460" s="37"/>
      <c r="CD460" s="39"/>
      <c r="CE460" s="39"/>
      <c r="CF460" s="39"/>
      <c r="CG460" s="39"/>
      <c r="CH460" s="37"/>
      <c r="CI460" s="37"/>
      <c r="CJ460" s="39"/>
      <c r="CK460" s="39"/>
      <c r="CL460" s="39"/>
      <c r="CM460" s="40"/>
      <c r="CN460" s="41"/>
      <c r="CO460" s="41">
        <f t="shared" si="121"/>
        <v>0</v>
      </c>
    </row>
    <row r="461" spans="26:116" s="42" customFormat="1" ht="14.5" thickBot="1" x14ac:dyDescent="0.3">
      <c r="Z461" s="134"/>
      <c r="AA461" s="134"/>
      <c r="AC461" s="134"/>
      <c r="AD461" s="135"/>
      <c r="AG461" s="136"/>
      <c r="AH461" s="136"/>
      <c r="AJ461" s="134"/>
      <c r="AQ461" s="134"/>
      <c r="AU461" s="134"/>
      <c r="AW461" s="134"/>
      <c r="BA461" s="134"/>
      <c r="BB461" s="134"/>
      <c r="BD461" s="134"/>
      <c r="BG461" s="235"/>
      <c r="BH461" s="199"/>
      <c r="BI461" s="199" t="s">
        <v>800</v>
      </c>
      <c r="BJ461" s="199" t="s">
        <v>801</v>
      </c>
      <c r="BK461" s="199" t="s">
        <v>802</v>
      </c>
      <c r="BL461" s="38"/>
      <c r="BM461" s="38"/>
      <c r="BN461" s="38"/>
      <c r="BO461" s="37"/>
      <c r="BP461" s="37"/>
      <c r="BQ461" s="37"/>
      <c r="BR461" s="37"/>
      <c r="BS461" s="37"/>
      <c r="BT461" s="37"/>
      <c r="BU461" s="37"/>
      <c r="BV461" s="37"/>
      <c r="BW461" s="37"/>
      <c r="BX461" s="37"/>
      <c r="BY461" s="37"/>
      <c r="BZ461" s="37"/>
      <c r="CA461" s="39"/>
      <c r="CB461" s="37"/>
      <c r="CC461" s="37"/>
      <c r="CD461" s="39"/>
      <c r="CE461" s="39"/>
      <c r="CF461" s="39"/>
      <c r="CG461" s="39"/>
      <c r="CH461" s="37"/>
      <c r="CI461" s="37"/>
      <c r="CJ461" s="39"/>
      <c r="CK461" s="39"/>
      <c r="CL461" s="39"/>
      <c r="CM461" s="40"/>
      <c r="CN461" s="41"/>
      <c r="CO461" s="41">
        <f t="shared" si="121"/>
        <v>0</v>
      </c>
    </row>
    <row r="462" spans="26:116" s="42" customFormat="1" ht="25.5" customHeight="1" thickBot="1" x14ac:dyDescent="0.3">
      <c r="Z462" s="134"/>
      <c r="AA462" s="134"/>
      <c r="AC462" s="134"/>
      <c r="AD462" s="135"/>
      <c r="AG462" s="136"/>
      <c r="AH462" s="136"/>
      <c r="AJ462" s="134"/>
      <c r="AQ462" s="134"/>
      <c r="AU462" s="134"/>
      <c r="AW462" s="134"/>
      <c r="BA462" s="134"/>
      <c r="BB462" s="134"/>
      <c r="BD462" s="134"/>
      <c r="BG462" s="235"/>
      <c r="BH462" s="199" t="s">
        <v>803</v>
      </c>
      <c r="BI462" s="199" t="s">
        <v>804</v>
      </c>
      <c r="BJ462" s="199" t="s">
        <v>804</v>
      </c>
      <c r="BK462" s="199" t="s">
        <v>804</v>
      </c>
      <c r="BL462" s="38"/>
      <c r="BM462" s="38"/>
      <c r="BN462" s="38"/>
      <c r="BO462" s="37"/>
      <c r="BP462" s="37"/>
      <c r="BQ462" s="37"/>
      <c r="BR462" s="37"/>
      <c r="BS462" s="37"/>
      <c r="BT462" s="37"/>
      <c r="BU462" s="37"/>
      <c r="BV462" s="37"/>
      <c r="BW462" s="37"/>
      <c r="BX462" s="37"/>
      <c r="BY462" s="37"/>
      <c r="BZ462" s="37"/>
      <c r="CA462" s="39"/>
      <c r="CB462" s="37"/>
      <c r="CC462" s="37"/>
      <c r="CD462" s="39"/>
      <c r="CE462" s="39"/>
      <c r="CF462" s="39"/>
      <c r="CG462" s="39"/>
      <c r="CH462" s="37"/>
      <c r="CI462" s="37"/>
      <c r="CJ462" s="39"/>
      <c r="CK462" s="39"/>
      <c r="CL462" s="39"/>
      <c r="CM462" s="40"/>
      <c r="CN462" s="41"/>
      <c r="CO462" s="41">
        <f t="shared" si="121"/>
        <v>0</v>
      </c>
    </row>
    <row r="463" spans="26:116" s="42" customFormat="1" ht="14" thickBot="1" x14ac:dyDescent="0.3">
      <c r="Z463" s="134"/>
      <c r="AA463" s="134"/>
      <c r="AC463" s="134"/>
      <c r="AD463" s="135"/>
      <c r="AG463" s="136"/>
      <c r="AH463" s="136"/>
      <c r="AJ463" s="134"/>
      <c r="AQ463" s="134"/>
      <c r="AU463" s="134"/>
      <c r="AW463" s="134"/>
      <c r="BA463" s="134"/>
      <c r="BB463" s="134"/>
      <c r="BD463" s="134"/>
      <c r="BG463" s="235"/>
      <c r="BH463" s="177" t="s">
        <v>247</v>
      </c>
      <c r="BI463" s="177">
        <v>1</v>
      </c>
      <c r="BJ463" s="177">
        <v>1</v>
      </c>
      <c r="BK463" s="177">
        <v>1</v>
      </c>
      <c r="BL463" s="38"/>
      <c r="BM463" s="38"/>
      <c r="BN463" s="38"/>
      <c r="BO463" s="37"/>
      <c r="BP463" s="37"/>
      <c r="BQ463" s="37"/>
      <c r="BR463" s="37"/>
      <c r="BS463" s="37"/>
      <c r="BT463" s="37"/>
      <c r="BU463" s="37"/>
      <c r="BV463" s="37"/>
      <c r="BW463" s="37"/>
      <c r="BX463" s="37"/>
      <c r="BY463" s="37"/>
      <c r="BZ463" s="37"/>
      <c r="CA463" s="39"/>
      <c r="CB463" s="37"/>
      <c r="CC463" s="37"/>
      <c r="CD463" s="39"/>
      <c r="CE463" s="39"/>
      <c r="CF463" s="39"/>
      <c r="CG463" s="39"/>
      <c r="CH463" s="37"/>
      <c r="CI463" s="37"/>
      <c r="CJ463" s="39"/>
      <c r="CK463" s="39"/>
      <c r="CL463" s="39"/>
      <c r="CM463" s="40"/>
      <c r="CN463" s="41"/>
      <c r="CO463" s="41">
        <f t="shared" si="121"/>
        <v>0</v>
      </c>
    </row>
    <row r="464" spans="26:116" s="42" customFormat="1" ht="14" thickBot="1" x14ac:dyDescent="0.3">
      <c r="Z464" s="134"/>
      <c r="AA464" s="134"/>
      <c r="AC464" s="134"/>
      <c r="AD464" s="135"/>
      <c r="AG464" s="136"/>
      <c r="AH464" s="136"/>
      <c r="AJ464" s="134"/>
      <c r="AQ464" s="134"/>
      <c r="AU464" s="134"/>
      <c r="AW464" s="134"/>
      <c r="BA464" s="134"/>
      <c r="BB464" s="134"/>
      <c r="BD464" s="134"/>
      <c r="BG464" s="235"/>
      <c r="BH464" s="177" t="s">
        <v>582</v>
      </c>
      <c r="BI464" s="177">
        <v>28</v>
      </c>
      <c r="BJ464" s="177">
        <v>25</v>
      </c>
      <c r="BK464" s="177">
        <v>21</v>
      </c>
      <c r="BL464" s="38"/>
      <c r="BM464" s="38"/>
      <c r="BN464" s="38"/>
      <c r="BO464" s="37"/>
      <c r="BP464" s="37"/>
      <c r="BQ464" s="37"/>
      <c r="BR464" s="37"/>
      <c r="BS464" s="37"/>
      <c r="BT464" s="37"/>
      <c r="BU464" s="37"/>
      <c r="BV464" s="37"/>
      <c r="BW464" s="37"/>
      <c r="BX464" s="37"/>
      <c r="BY464" s="37"/>
      <c r="BZ464" s="37"/>
      <c r="CA464" s="39"/>
      <c r="CB464" s="37"/>
      <c r="CC464" s="37"/>
      <c r="CD464" s="39"/>
      <c r="CE464" s="39"/>
      <c r="CF464" s="39"/>
      <c r="CG464" s="39"/>
      <c r="CH464" s="37"/>
      <c r="CI464" s="37"/>
      <c r="CJ464" s="39"/>
      <c r="CK464" s="39"/>
      <c r="CL464" s="39"/>
      <c r="CM464" s="40"/>
      <c r="CN464" s="41"/>
      <c r="CO464" s="41">
        <f t="shared" si="121"/>
        <v>0</v>
      </c>
    </row>
    <row r="465" spans="26:93" s="42" customFormat="1" ht="14" thickBot="1" x14ac:dyDescent="0.3">
      <c r="Z465" s="134"/>
      <c r="AA465" s="134"/>
      <c r="AC465" s="134"/>
      <c r="AD465" s="135"/>
      <c r="AG465" s="136"/>
      <c r="AH465" s="136"/>
      <c r="AJ465" s="134"/>
      <c r="AQ465" s="134"/>
      <c r="AU465" s="134"/>
      <c r="AW465" s="134"/>
      <c r="BA465" s="134"/>
      <c r="BB465" s="134"/>
      <c r="BD465" s="134"/>
      <c r="BG465" s="235"/>
      <c r="BH465" s="177" t="s">
        <v>583</v>
      </c>
      <c r="BI465" s="177">
        <v>265</v>
      </c>
      <c r="BJ465" s="177">
        <v>298</v>
      </c>
      <c r="BK465" s="177">
        <v>310</v>
      </c>
      <c r="BL465" s="38"/>
      <c r="BM465" s="38"/>
      <c r="BN465" s="38"/>
      <c r="BO465" s="37"/>
      <c r="BP465" s="37"/>
      <c r="BQ465" s="37"/>
      <c r="BR465" s="37"/>
      <c r="BS465" s="37"/>
      <c r="BT465" s="37"/>
      <c r="BU465" s="37"/>
      <c r="BV465" s="37"/>
      <c r="BW465" s="37"/>
      <c r="BX465" s="37"/>
      <c r="BY465" s="37"/>
      <c r="BZ465" s="37"/>
      <c r="CA465" s="39"/>
      <c r="CB465" s="37"/>
      <c r="CC465" s="37"/>
      <c r="CD465" s="39"/>
      <c r="CE465" s="39"/>
      <c r="CF465" s="39"/>
      <c r="CG465" s="39"/>
      <c r="CH465" s="37"/>
      <c r="CI465" s="37"/>
      <c r="CJ465" s="39"/>
      <c r="CK465" s="39"/>
      <c r="CL465" s="39"/>
      <c r="CM465" s="40"/>
      <c r="CN465" s="41"/>
      <c r="CO465" s="41">
        <f t="shared" si="121"/>
        <v>0</v>
      </c>
    </row>
    <row r="466" spans="26:93" s="42" customFormat="1" ht="14" thickBot="1" x14ac:dyDescent="0.3">
      <c r="Z466" s="134"/>
      <c r="AA466" s="134"/>
      <c r="AC466" s="134"/>
      <c r="AD466" s="135"/>
      <c r="AG466" s="136"/>
      <c r="AH466" s="136"/>
      <c r="AJ466" s="134"/>
      <c r="AQ466" s="134"/>
      <c r="AU466" s="134"/>
      <c r="AW466" s="134"/>
      <c r="BA466" s="134"/>
      <c r="BB466" s="134"/>
      <c r="BD466" s="134"/>
      <c r="BG466" s="235"/>
      <c r="BH466" s="177" t="s">
        <v>251</v>
      </c>
      <c r="BI466" s="177">
        <v>23500</v>
      </c>
      <c r="BJ466" s="177">
        <v>22800</v>
      </c>
      <c r="BK466" s="177"/>
      <c r="BL466" s="38"/>
      <c r="BM466" s="38"/>
      <c r="BN466" s="38"/>
      <c r="BO466" s="37"/>
      <c r="BP466" s="37"/>
      <c r="BQ466" s="37"/>
      <c r="BR466" s="37"/>
      <c r="BS466" s="37"/>
      <c r="BT466" s="37"/>
      <c r="BU466" s="37"/>
      <c r="BV466" s="37"/>
      <c r="BW466" s="37"/>
      <c r="BX466" s="37"/>
      <c r="BY466" s="37"/>
      <c r="BZ466" s="37"/>
      <c r="CA466" s="39"/>
      <c r="CB466" s="37"/>
      <c r="CC466" s="37"/>
      <c r="CD466" s="39"/>
      <c r="CE466" s="39"/>
      <c r="CF466" s="39"/>
      <c r="CG466" s="39"/>
      <c r="CH466" s="37"/>
      <c r="CI466" s="37"/>
      <c r="CJ466" s="39"/>
      <c r="CK466" s="39"/>
      <c r="CL466" s="39"/>
      <c r="CM466" s="40"/>
      <c r="CN466" s="41"/>
      <c r="CO466" s="41">
        <f t="shared" si="121"/>
        <v>0</v>
      </c>
    </row>
    <row r="467" spans="26:93" s="42" customFormat="1" ht="14" thickBot="1" x14ac:dyDescent="0.3">
      <c r="Z467" s="134"/>
      <c r="AA467" s="134"/>
      <c r="AC467" s="134"/>
      <c r="AD467" s="135"/>
      <c r="AG467" s="136"/>
      <c r="AH467" s="136"/>
      <c r="AJ467" s="134"/>
      <c r="AQ467" s="134"/>
      <c r="AU467" s="134"/>
      <c r="AW467" s="134"/>
      <c r="BA467" s="134"/>
      <c r="BB467" s="134"/>
      <c r="BD467" s="134"/>
      <c r="BG467" s="235"/>
      <c r="BH467" s="177" t="s">
        <v>805</v>
      </c>
      <c r="BI467" s="177">
        <v>16100</v>
      </c>
      <c r="BJ467" s="177">
        <v>17200</v>
      </c>
      <c r="BK467" s="177" t="s">
        <v>806</v>
      </c>
      <c r="BL467" s="38"/>
      <c r="BM467" s="38"/>
      <c r="BN467" s="38"/>
      <c r="BO467" s="37"/>
      <c r="BP467" s="37"/>
      <c r="BQ467" s="37"/>
      <c r="BR467" s="37"/>
      <c r="BS467" s="37"/>
      <c r="BT467" s="37"/>
      <c r="BU467" s="37"/>
      <c r="BV467" s="37"/>
      <c r="BW467" s="37"/>
      <c r="BX467" s="37"/>
      <c r="BY467" s="37"/>
      <c r="BZ467" s="37"/>
      <c r="CA467" s="39"/>
      <c r="CB467" s="37"/>
      <c r="CC467" s="37"/>
      <c r="CD467" s="39"/>
      <c r="CE467" s="39"/>
      <c r="CF467" s="39"/>
      <c r="CG467" s="39"/>
      <c r="CH467" s="37"/>
      <c r="CI467" s="37"/>
      <c r="CJ467" s="39"/>
      <c r="CK467" s="39"/>
      <c r="CL467" s="39"/>
      <c r="CM467" s="40"/>
      <c r="CN467" s="41"/>
      <c r="CO467" s="41">
        <f t="shared" si="121"/>
        <v>0</v>
      </c>
    </row>
    <row r="468" spans="26:93" s="42" customFormat="1" ht="14" thickBot="1" x14ac:dyDescent="0.3">
      <c r="Z468" s="134"/>
      <c r="AA468" s="134"/>
      <c r="AC468" s="134"/>
      <c r="AD468" s="135"/>
      <c r="AG468" s="136"/>
      <c r="AH468" s="136"/>
      <c r="AJ468" s="134"/>
      <c r="AQ468" s="134"/>
      <c r="AU468" s="134"/>
      <c r="AW468" s="134"/>
      <c r="BA468" s="134"/>
      <c r="BB468" s="134"/>
      <c r="BD468" s="134"/>
      <c r="BG468" s="235"/>
      <c r="BH468" s="177"/>
      <c r="BI468" s="177"/>
      <c r="BJ468" s="177"/>
      <c r="BK468" s="177"/>
      <c r="BL468" s="38"/>
      <c r="BM468" s="38"/>
      <c r="BN468" s="38"/>
      <c r="BO468" s="37"/>
      <c r="BP468" s="37"/>
      <c r="BQ468" s="37"/>
      <c r="BR468" s="37"/>
      <c r="BS468" s="37"/>
      <c r="BT468" s="37"/>
      <c r="BU468" s="37"/>
      <c r="BV468" s="37"/>
      <c r="BW468" s="37"/>
      <c r="BX468" s="37"/>
      <c r="BY468" s="37"/>
      <c r="BZ468" s="37"/>
      <c r="CA468" s="39"/>
      <c r="CB468" s="37"/>
      <c r="CC468" s="37"/>
      <c r="CD468" s="39"/>
      <c r="CE468" s="39"/>
      <c r="CF468" s="39"/>
      <c r="CG468" s="39"/>
      <c r="CH468" s="37"/>
      <c r="CI468" s="37"/>
      <c r="CJ468" s="39"/>
      <c r="CK468" s="39"/>
      <c r="CL468" s="39"/>
      <c r="CM468" s="40"/>
      <c r="CN468" s="41"/>
      <c r="CO468" s="41">
        <f t="shared" si="121"/>
        <v>0</v>
      </c>
    </row>
    <row r="469" spans="26:93" s="42" customFormat="1" ht="14" thickBot="1" x14ac:dyDescent="0.3">
      <c r="Z469" s="134"/>
      <c r="AA469" s="134"/>
      <c r="AC469" s="134"/>
      <c r="AD469" s="135"/>
      <c r="AG469" s="136"/>
      <c r="AH469" s="136"/>
      <c r="AJ469" s="134"/>
      <c r="AQ469" s="134"/>
      <c r="AU469" s="134"/>
      <c r="AW469" s="134"/>
      <c r="BA469" s="134"/>
      <c r="BB469" s="134"/>
      <c r="BD469" s="134"/>
      <c r="BG469" s="235"/>
      <c r="BH469" s="177"/>
      <c r="BI469" s="177"/>
      <c r="BJ469" s="177"/>
      <c r="BK469" s="177"/>
      <c r="BL469" s="38"/>
      <c r="BM469" s="38"/>
      <c r="BN469" s="38"/>
      <c r="BO469" s="37"/>
      <c r="BP469" s="37"/>
      <c r="BQ469" s="37"/>
      <c r="BR469" s="37"/>
      <c r="BS469" s="37"/>
      <c r="BT469" s="37"/>
      <c r="BU469" s="37"/>
      <c r="BV469" s="37"/>
      <c r="BW469" s="37"/>
      <c r="BX469" s="37"/>
      <c r="BY469" s="37"/>
      <c r="BZ469" s="37"/>
      <c r="CA469" s="39"/>
      <c r="CB469" s="37"/>
      <c r="CC469" s="37"/>
      <c r="CD469" s="39"/>
      <c r="CE469" s="39"/>
      <c r="CF469" s="39"/>
      <c r="CG469" s="39"/>
      <c r="CH469" s="37"/>
      <c r="CI469" s="37"/>
      <c r="CJ469" s="39"/>
      <c r="CK469" s="39"/>
      <c r="CL469" s="39"/>
      <c r="CM469" s="40"/>
      <c r="CN469" s="41"/>
      <c r="CO469" s="41">
        <f t="shared" si="121"/>
        <v>0</v>
      </c>
    </row>
    <row r="470" spans="26:93" s="42" customFormat="1" ht="14" thickBot="1" x14ac:dyDescent="0.3">
      <c r="Z470" s="134"/>
      <c r="AA470" s="134"/>
      <c r="AC470" s="134"/>
      <c r="AD470" s="135"/>
      <c r="AG470" s="136"/>
      <c r="AH470" s="136"/>
      <c r="AJ470" s="134"/>
      <c r="AQ470" s="134"/>
      <c r="AU470" s="134"/>
      <c r="AW470" s="134"/>
      <c r="BA470" s="134"/>
      <c r="BB470" s="134"/>
      <c r="BD470" s="134"/>
      <c r="BG470" s="235"/>
      <c r="BH470" s="177"/>
      <c r="BI470" s="177"/>
      <c r="BJ470" s="177"/>
      <c r="BK470" s="177"/>
      <c r="BL470" s="38"/>
      <c r="BM470" s="38"/>
      <c r="BN470" s="38"/>
      <c r="BO470" s="37"/>
      <c r="BP470" s="37"/>
      <c r="BQ470" s="37"/>
      <c r="BR470" s="37"/>
      <c r="BS470" s="37"/>
      <c r="BT470" s="37"/>
      <c r="BU470" s="37"/>
      <c r="BV470" s="37"/>
      <c r="BW470" s="37"/>
      <c r="BX470" s="37"/>
      <c r="BY470" s="37"/>
      <c r="BZ470" s="37"/>
      <c r="CA470" s="39"/>
      <c r="CB470" s="37"/>
      <c r="CC470" s="37"/>
      <c r="CD470" s="39"/>
      <c r="CE470" s="39"/>
      <c r="CF470" s="39"/>
      <c r="CG470" s="39"/>
      <c r="CH470" s="37"/>
      <c r="CI470" s="37"/>
      <c r="CJ470" s="39"/>
      <c r="CK470" s="39"/>
      <c r="CL470" s="39"/>
      <c r="CM470" s="40"/>
      <c r="CN470" s="41"/>
      <c r="CO470" s="41">
        <f t="shared" si="121"/>
        <v>0</v>
      </c>
    </row>
    <row r="471" spans="26:93" s="42" customFormat="1" x14ac:dyDescent="0.25">
      <c r="Z471" s="134"/>
      <c r="AA471" s="134"/>
      <c r="AC471" s="134"/>
      <c r="AD471" s="135"/>
      <c r="AG471" s="136"/>
      <c r="AH471" s="136"/>
      <c r="AJ471" s="134"/>
      <c r="AQ471" s="134"/>
      <c r="AU471" s="134"/>
      <c r="AW471" s="134"/>
      <c r="BA471" s="134"/>
      <c r="BB471" s="134"/>
      <c r="BD471" s="134"/>
      <c r="BG471" s="235"/>
      <c r="BH471" s="36"/>
      <c r="BI471" s="37"/>
      <c r="BJ471" s="37"/>
      <c r="BK471" s="37"/>
      <c r="BL471" s="38"/>
      <c r="BM471" s="38"/>
      <c r="BN471" s="38"/>
      <c r="BO471" s="37"/>
      <c r="BP471" s="37"/>
      <c r="BQ471" s="37"/>
      <c r="BR471" s="37"/>
      <c r="BS471" s="37"/>
      <c r="BT471" s="37"/>
      <c r="BU471" s="37"/>
      <c r="BV471" s="37"/>
      <c r="BW471" s="37"/>
      <c r="BX471" s="37"/>
      <c r="BY471" s="37"/>
      <c r="BZ471" s="37"/>
      <c r="CA471" s="39"/>
      <c r="CB471" s="37"/>
      <c r="CC471" s="37"/>
      <c r="CD471" s="39"/>
      <c r="CE471" s="39"/>
      <c r="CF471" s="39"/>
      <c r="CG471" s="39"/>
      <c r="CH471" s="37"/>
      <c r="CI471" s="37"/>
      <c r="CJ471" s="39"/>
      <c r="CK471" s="39"/>
      <c r="CL471" s="39"/>
      <c r="CM471" s="40"/>
      <c r="CN471" s="41"/>
      <c r="CO471" s="41">
        <f t="shared" si="121"/>
        <v>0</v>
      </c>
    </row>
    <row r="472" spans="26:93" s="42" customFormat="1" ht="14" thickBot="1" x14ac:dyDescent="0.3">
      <c r="Z472" s="134"/>
      <c r="AA472" s="134"/>
      <c r="AC472" s="134"/>
      <c r="AD472" s="135"/>
      <c r="AG472" s="136"/>
      <c r="AH472" s="136"/>
      <c r="AJ472" s="134"/>
      <c r="AQ472" s="134"/>
      <c r="AU472" s="134"/>
      <c r="AW472" s="134"/>
      <c r="BA472" s="134"/>
      <c r="BB472" s="134"/>
      <c r="BD472" s="134"/>
      <c r="BG472" s="235"/>
      <c r="BH472" s="36"/>
      <c r="BI472" s="37"/>
      <c r="BJ472" s="37"/>
      <c r="BK472" s="37"/>
      <c r="BL472" s="38"/>
      <c r="BM472" s="38"/>
      <c r="BN472" s="38"/>
      <c r="BO472" s="37"/>
      <c r="BP472" s="37"/>
      <c r="BQ472" s="37"/>
      <c r="BR472" s="37"/>
      <c r="BS472" s="37"/>
      <c r="BT472" s="37"/>
      <c r="BU472" s="37"/>
      <c r="BV472" s="37"/>
      <c r="BW472" s="37"/>
      <c r="BX472" s="37"/>
      <c r="BY472" s="37"/>
      <c r="BZ472" s="37"/>
      <c r="CA472" s="39"/>
      <c r="CB472" s="37"/>
      <c r="CC472" s="37"/>
      <c r="CD472" s="39"/>
      <c r="CE472" s="39"/>
      <c r="CF472" s="39"/>
      <c r="CG472" s="39"/>
      <c r="CH472" s="37"/>
      <c r="CI472" s="37"/>
      <c r="CJ472" s="39"/>
      <c r="CK472" s="39"/>
      <c r="CL472" s="39"/>
      <c r="CM472" s="40"/>
      <c r="CN472" s="41"/>
      <c r="CO472" s="41">
        <f t="shared" si="121"/>
        <v>0</v>
      </c>
    </row>
    <row r="473" spans="26:93" s="42" customFormat="1" ht="14" x14ac:dyDescent="0.25">
      <c r="Z473" s="134"/>
      <c r="AA473" s="134"/>
      <c r="AC473" s="134"/>
      <c r="AD473" s="135"/>
      <c r="AG473" s="136"/>
      <c r="AH473" s="136"/>
      <c r="AJ473" s="134"/>
      <c r="AQ473" s="134"/>
      <c r="AU473" s="134"/>
      <c r="AW473" s="134"/>
      <c r="BA473" s="134"/>
      <c r="BB473" s="134"/>
      <c r="BD473" s="134"/>
      <c r="BG473" s="235"/>
      <c r="BH473" s="582" t="s">
        <v>807</v>
      </c>
      <c r="BI473" s="170"/>
      <c r="BJ473" s="582" t="s">
        <v>742</v>
      </c>
      <c r="BK473" s="170"/>
      <c r="BL473" s="582" t="s">
        <v>302</v>
      </c>
      <c r="BM473" s="582" t="s">
        <v>302</v>
      </c>
      <c r="BN473" s="582" t="s">
        <v>303</v>
      </c>
      <c r="BO473" s="37"/>
      <c r="BP473" s="37"/>
      <c r="BQ473" s="37"/>
      <c r="BR473" s="37"/>
      <c r="BS473" s="37"/>
      <c r="BT473" s="37"/>
      <c r="BU473" s="37"/>
      <c r="BV473" s="37"/>
      <c r="BW473" s="37"/>
      <c r="BX473" s="37"/>
      <c r="BY473" s="37"/>
      <c r="BZ473" s="37"/>
      <c r="CA473" s="39"/>
      <c r="CB473" s="37"/>
      <c r="CC473" s="37"/>
      <c r="CD473" s="39"/>
      <c r="CE473" s="39"/>
      <c r="CF473" s="39"/>
      <c r="CG473" s="39"/>
      <c r="CH473" s="37"/>
      <c r="CI473" s="37"/>
      <c r="CJ473" s="39"/>
      <c r="CK473" s="39"/>
      <c r="CL473" s="39"/>
      <c r="CM473" s="40"/>
      <c r="CN473" s="41"/>
      <c r="CO473" s="41" t="str">
        <f t="shared" si="121"/>
        <v>Incertidumbre (+/- %)</v>
      </c>
    </row>
    <row r="474" spans="26:93" s="42" customFormat="1" ht="14.5" thickBot="1" x14ac:dyDescent="0.3">
      <c r="Z474" s="134"/>
      <c r="AA474" s="134"/>
      <c r="AC474" s="134"/>
      <c r="AD474" s="135"/>
      <c r="AG474" s="136"/>
      <c r="AH474" s="136"/>
      <c r="AJ474" s="134"/>
      <c r="AQ474" s="134"/>
      <c r="AU474" s="134"/>
      <c r="AW474" s="134"/>
      <c r="BA474" s="134"/>
      <c r="BB474" s="134"/>
      <c r="BD474" s="134"/>
      <c r="BG474" s="235"/>
      <c r="BH474" s="583"/>
      <c r="BI474" s="171" t="s">
        <v>308</v>
      </c>
      <c r="BJ474" s="583"/>
      <c r="BK474" s="171" t="s">
        <v>309</v>
      </c>
      <c r="BL474" s="583"/>
      <c r="BM474" s="583"/>
      <c r="BN474" s="583"/>
      <c r="BO474" s="37"/>
      <c r="BP474" s="37"/>
      <c r="BQ474" s="37"/>
      <c r="BR474" s="37"/>
      <c r="BS474" s="37"/>
      <c r="BT474" s="37"/>
      <c r="BU474" s="37"/>
      <c r="BV474" s="37"/>
      <c r="BW474" s="37"/>
      <c r="BX474" s="37"/>
      <c r="BY474" s="37"/>
      <c r="BZ474" s="37"/>
      <c r="CA474" s="39"/>
      <c r="CB474" s="37"/>
      <c r="CC474" s="37"/>
      <c r="CD474" s="39"/>
      <c r="CE474" s="39"/>
      <c r="CF474" s="39"/>
      <c r="CG474" s="39"/>
      <c r="CH474" s="37"/>
      <c r="CI474" s="37"/>
      <c r="CJ474" s="39"/>
      <c r="CK474" s="39"/>
      <c r="CL474" s="39"/>
      <c r="CM474" s="40"/>
      <c r="CN474" s="41"/>
      <c r="CO474" s="41">
        <f t="shared" si="121"/>
        <v>0</v>
      </c>
    </row>
    <row r="475" spans="26:93" s="42" customFormat="1" ht="16" thickBot="1" x14ac:dyDescent="0.3">
      <c r="Z475" s="134"/>
      <c r="AA475" s="134"/>
      <c r="AC475" s="134"/>
      <c r="AD475" s="135"/>
      <c r="AG475" s="136"/>
      <c r="AH475" s="136"/>
      <c r="AJ475" s="134"/>
      <c r="AQ475" s="134"/>
      <c r="AU475" s="134"/>
      <c r="AW475" s="134"/>
      <c r="BA475" s="134"/>
      <c r="BB475" s="134"/>
      <c r="BD475" s="134"/>
      <c r="BG475" s="235"/>
      <c r="BH475" s="183" t="s">
        <v>271</v>
      </c>
      <c r="BI475" s="177" t="s">
        <v>272</v>
      </c>
      <c r="BJ475" s="188">
        <v>1.08</v>
      </c>
      <c r="BK475" s="177" t="s">
        <v>808</v>
      </c>
      <c r="BL475" s="38"/>
      <c r="BM475" s="38"/>
      <c r="BN475" s="38"/>
      <c r="BO475" s="37"/>
      <c r="BP475" s="37"/>
      <c r="BQ475" s="37"/>
      <c r="BR475" s="37"/>
      <c r="BS475" s="37"/>
      <c r="BT475" s="37"/>
      <c r="BU475" s="37"/>
      <c r="BV475" s="37"/>
      <c r="BW475" s="37"/>
      <c r="BX475" s="37"/>
      <c r="BY475" s="37"/>
      <c r="BZ475" s="37"/>
      <c r="CA475" s="39"/>
      <c r="CB475" s="37"/>
      <c r="CC475" s="37"/>
      <c r="CD475" s="39"/>
      <c r="CE475" s="39"/>
      <c r="CF475" s="39"/>
      <c r="CG475" s="39"/>
      <c r="CH475" s="37"/>
      <c r="CI475" s="37"/>
      <c r="CJ475" s="39"/>
      <c r="CK475" s="39"/>
      <c r="CL475" s="39"/>
      <c r="CM475" s="40"/>
      <c r="CN475" s="41"/>
      <c r="CO475" s="41">
        <f t="shared" si="121"/>
        <v>0</v>
      </c>
    </row>
    <row r="476" spans="26:93" s="42" customFormat="1" ht="16" thickBot="1" x14ac:dyDescent="0.3">
      <c r="Z476" s="134"/>
      <c r="AA476" s="134"/>
      <c r="AC476" s="134"/>
      <c r="AD476" s="135"/>
      <c r="AG476" s="136"/>
      <c r="AH476" s="136"/>
      <c r="AJ476" s="134"/>
      <c r="AQ476" s="134"/>
      <c r="AU476" s="134"/>
      <c r="AW476" s="134"/>
      <c r="BA476" s="134"/>
      <c r="BB476" s="134"/>
      <c r="BD476" s="134"/>
      <c r="BG476" s="235"/>
      <c r="BH476" s="183" t="s">
        <v>274</v>
      </c>
      <c r="BI476" s="177" t="s">
        <v>272</v>
      </c>
      <c r="BJ476" s="188">
        <v>0.5</v>
      </c>
      <c r="BK476" s="177" t="s">
        <v>809</v>
      </c>
      <c r="BL476" s="38"/>
      <c r="BM476" s="38"/>
      <c r="BN476" s="38"/>
      <c r="BO476" s="37"/>
      <c r="BP476" s="37"/>
      <c r="BQ476" s="37"/>
      <c r="BR476" s="37"/>
      <c r="BS476" s="37"/>
      <c r="BT476" s="37"/>
      <c r="BU476" s="37"/>
      <c r="BV476" s="37"/>
      <c r="BW476" s="37"/>
      <c r="BX476" s="37"/>
      <c r="BY476" s="37"/>
      <c r="BZ476" s="37"/>
      <c r="CA476" s="39"/>
      <c r="CB476" s="37"/>
      <c r="CC476" s="37"/>
      <c r="CD476" s="39"/>
      <c r="CE476" s="39"/>
      <c r="CF476" s="39"/>
      <c r="CG476" s="39"/>
      <c r="CH476" s="37"/>
      <c r="CI476" s="37"/>
      <c r="CJ476" s="39"/>
      <c r="CK476" s="39"/>
      <c r="CL476" s="39"/>
      <c r="CM476" s="40"/>
      <c r="CN476" s="41"/>
      <c r="CO476" s="41">
        <f t="shared" si="121"/>
        <v>0</v>
      </c>
    </row>
    <row r="477" spans="26:93" s="42" customFormat="1" ht="16" thickBot="1" x14ac:dyDescent="0.3">
      <c r="Z477" s="134"/>
      <c r="AA477" s="134"/>
      <c r="AC477" s="134"/>
      <c r="AD477" s="135"/>
      <c r="AG477" s="136"/>
      <c r="AH477" s="136"/>
      <c r="AJ477" s="134"/>
      <c r="AQ477" s="134"/>
      <c r="AU477" s="134"/>
      <c r="AW477" s="134"/>
      <c r="BA477" s="134"/>
      <c r="BB477" s="134"/>
      <c r="BD477" s="134"/>
      <c r="BG477" s="235"/>
      <c r="BH477" s="183" t="s">
        <v>275</v>
      </c>
      <c r="BI477" s="177" t="s">
        <v>272</v>
      </c>
      <c r="BJ477" s="188">
        <v>0.2</v>
      </c>
      <c r="BK477" s="177" t="s">
        <v>810</v>
      </c>
      <c r="BL477" s="38"/>
      <c r="BM477" s="38"/>
      <c r="BN477" s="38"/>
      <c r="BO477" s="37"/>
      <c r="BP477" s="37"/>
      <c r="BQ477" s="37"/>
      <c r="BR477" s="37"/>
      <c r="BS477" s="37"/>
      <c r="BT477" s="37"/>
      <c r="BU477" s="37"/>
      <c r="BV477" s="37"/>
      <c r="BW477" s="37"/>
      <c r="BX477" s="37"/>
      <c r="BY477" s="37"/>
      <c r="BZ477" s="37"/>
      <c r="CA477" s="39"/>
      <c r="CB477" s="37"/>
      <c r="CC477" s="37"/>
      <c r="CD477" s="39"/>
      <c r="CE477" s="39"/>
      <c r="CF477" s="39"/>
      <c r="CG477" s="39"/>
      <c r="CH477" s="37"/>
      <c r="CI477" s="37"/>
      <c r="CJ477" s="39"/>
      <c r="CK477" s="39"/>
      <c r="CL477" s="39"/>
      <c r="CM477" s="40"/>
      <c r="CN477" s="41"/>
      <c r="CO477" s="41">
        <f t="shared" si="121"/>
        <v>0</v>
      </c>
    </row>
    <row r="478" spans="26:93" s="42" customFormat="1" ht="16" thickBot="1" x14ac:dyDescent="0.3">
      <c r="Z478" s="134"/>
      <c r="AA478" s="134"/>
      <c r="AC478" s="134"/>
      <c r="AD478" s="135"/>
      <c r="AG478" s="136"/>
      <c r="AH478" s="136"/>
      <c r="AJ478" s="134"/>
      <c r="AQ478" s="134"/>
      <c r="AU478" s="134"/>
      <c r="AW478" s="134"/>
      <c r="BA478" s="134"/>
      <c r="BB478" s="134"/>
      <c r="BD478" s="134"/>
      <c r="BG478" s="235"/>
      <c r="BH478" s="183" t="s">
        <v>276</v>
      </c>
      <c r="BI478" s="177" t="s">
        <v>272</v>
      </c>
      <c r="BJ478" s="188">
        <v>6.33</v>
      </c>
      <c r="BK478" s="177" t="s">
        <v>811</v>
      </c>
      <c r="BL478" s="38"/>
      <c r="BM478" s="38"/>
      <c r="BN478" s="38"/>
      <c r="BO478" s="37"/>
      <c r="BP478" s="37"/>
      <c r="BQ478" s="37"/>
      <c r="BR478" s="37"/>
      <c r="BS478" s="37"/>
      <c r="BT478" s="37"/>
      <c r="BU478" s="37"/>
      <c r="BV478" s="37"/>
      <c r="BW478" s="37"/>
      <c r="BX478" s="37"/>
      <c r="BY478" s="37"/>
      <c r="BZ478" s="37"/>
      <c r="CA478" s="39"/>
      <c r="CB478" s="37"/>
      <c r="CC478" s="37"/>
      <c r="CD478" s="39"/>
      <c r="CE478" s="39"/>
      <c r="CF478" s="39"/>
      <c r="CG478" s="39"/>
      <c r="CH478" s="37"/>
      <c r="CI478" s="37"/>
      <c r="CJ478" s="39"/>
      <c r="CK478" s="39"/>
      <c r="CL478" s="39"/>
      <c r="CM478" s="40"/>
      <c r="CN478" s="41"/>
      <c r="CO478" s="41">
        <f t="shared" si="121"/>
        <v>0</v>
      </c>
    </row>
    <row r="479" spans="26:93" s="42" customFormat="1" ht="16" thickBot="1" x14ac:dyDescent="0.3">
      <c r="Z479" s="134"/>
      <c r="AA479" s="134"/>
      <c r="AC479" s="134"/>
      <c r="AD479" s="135"/>
      <c r="AG479" s="136"/>
      <c r="AH479" s="136"/>
      <c r="AJ479" s="134"/>
      <c r="AQ479" s="134"/>
      <c r="AU479" s="134"/>
      <c r="AW479" s="134"/>
      <c r="BA479" s="134"/>
      <c r="BB479" s="134"/>
      <c r="BD479" s="134"/>
      <c r="BG479" s="235"/>
      <c r="BH479" s="183" t="s">
        <v>277</v>
      </c>
      <c r="BI479" s="177" t="s">
        <v>272</v>
      </c>
      <c r="BJ479" s="188">
        <v>0.92</v>
      </c>
      <c r="BK479" s="177" t="s">
        <v>812</v>
      </c>
      <c r="BL479" s="38"/>
      <c r="BM479" s="38"/>
      <c r="BN479" s="38"/>
      <c r="BO479" s="37"/>
      <c r="BP479" s="37"/>
      <c r="BQ479" s="37"/>
      <c r="BR479" s="37"/>
      <c r="BS479" s="37"/>
      <c r="BT479" s="37"/>
      <c r="BU479" s="37"/>
      <c r="BV479" s="37"/>
      <c r="BW479" s="37"/>
      <c r="BX479" s="37"/>
      <c r="BY479" s="37"/>
      <c r="BZ479" s="37"/>
      <c r="CA479" s="39"/>
      <c r="CB479" s="37"/>
      <c r="CC479" s="37"/>
      <c r="CD479" s="39"/>
      <c r="CE479" s="39"/>
      <c r="CF479" s="39"/>
      <c r="CG479" s="39"/>
      <c r="CH479" s="37"/>
      <c r="CI479" s="37"/>
      <c r="CJ479" s="39"/>
      <c r="CK479" s="39"/>
      <c r="CL479" s="39"/>
      <c r="CM479" s="40"/>
      <c r="CN479" s="41"/>
      <c r="CO479" s="41">
        <f t="shared" si="121"/>
        <v>0</v>
      </c>
    </row>
    <row r="480" spans="26:93" s="42" customFormat="1" ht="16" thickBot="1" x14ac:dyDescent="0.3">
      <c r="Z480" s="134"/>
      <c r="AA480" s="134"/>
      <c r="AC480" s="134"/>
      <c r="AD480" s="135"/>
      <c r="AG480" s="136"/>
      <c r="AH480" s="136"/>
      <c r="AJ480" s="134"/>
      <c r="AQ480" s="134"/>
      <c r="AU480" s="134"/>
      <c r="AW480" s="134"/>
      <c r="BA480" s="134"/>
      <c r="BB480" s="134"/>
      <c r="BD480" s="134"/>
      <c r="BG480" s="235"/>
      <c r="BH480" s="183" t="s">
        <v>278</v>
      </c>
      <c r="BI480" s="177" t="s">
        <v>272</v>
      </c>
      <c r="BJ480" s="188">
        <v>1.17</v>
      </c>
      <c r="BK480" s="177" t="s">
        <v>813</v>
      </c>
      <c r="BL480" s="38"/>
      <c r="BM480" s="38"/>
      <c r="BN480" s="38"/>
      <c r="BO480" s="37"/>
      <c r="BP480" s="37"/>
      <c r="BQ480" s="37"/>
      <c r="BR480" s="37"/>
      <c r="BS480" s="37"/>
      <c r="BT480" s="37"/>
      <c r="BU480" s="37"/>
      <c r="BV480" s="37"/>
      <c r="BW480" s="37"/>
      <c r="BX480" s="37"/>
      <c r="BY480" s="37"/>
      <c r="BZ480" s="37"/>
      <c r="CA480" s="39"/>
      <c r="CB480" s="37"/>
      <c r="CC480" s="37"/>
      <c r="CD480" s="39"/>
      <c r="CE480" s="39"/>
      <c r="CF480" s="39"/>
      <c r="CG480" s="39"/>
      <c r="CH480" s="37"/>
      <c r="CI480" s="37"/>
      <c r="CJ480" s="39"/>
      <c r="CK480" s="39"/>
      <c r="CL480" s="39"/>
      <c r="CM480" s="40"/>
      <c r="CN480" s="41"/>
      <c r="CO480" s="41">
        <f t="shared" si="121"/>
        <v>0</v>
      </c>
    </row>
    <row r="481" spans="26:93" s="42" customFormat="1" ht="16" thickBot="1" x14ac:dyDescent="0.3">
      <c r="Z481" s="134"/>
      <c r="AA481" s="134"/>
      <c r="AC481" s="134"/>
      <c r="AD481" s="135"/>
      <c r="AG481" s="136"/>
      <c r="AH481" s="136"/>
      <c r="AJ481" s="134"/>
      <c r="AQ481" s="134"/>
      <c r="AU481" s="134"/>
      <c r="AW481" s="134"/>
      <c r="BA481" s="134"/>
      <c r="BB481" s="134"/>
      <c r="BD481" s="134"/>
      <c r="BG481" s="235"/>
      <c r="BH481" s="183" t="s">
        <v>279</v>
      </c>
      <c r="BI481" s="177" t="s">
        <v>272</v>
      </c>
      <c r="BJ481" s="188">
        <v>0.15</v>
      </c>
      <c r="BK481" s="177" t="s">
        <v>814</v>
      </c>
      <c r="BL481" s="38"/>
      <c r="BM481" s="38"/>
      <c r="BN481" s="38"/>
      <c r="BO481" s="37"/>
      <c r="BP481" s="37"/>
      <c r="BQ481" s="37"/>
      <c r="BR481" s="37"/>
      <c r="BS481" s="37"/>
      <c r="BT481" s="37"/>
      <c r="BU481" s="37"/>
      <c r="BV481" s="37"/>
      <c r="BW481" s="37"/>
      <c r="BX481" s="37"/>
      <c r="BY481" s="37"/>
      <c r="BZ481" s="37"/>
      <c r="CA481" s="39"/>
      <c r="CB481" s="37"/>
      <c r="CC481" s="37"/>
      <c r="CD481" s="39"/>
      <c r="CE481" s="39"/>
      <c r="CF481" s="39"/>
      <c r="CG481" s="39"/>
      <c r="CH481" s="37"/>
      <c r="CI481" s="37"/>
      <c r="CJ481" s="39"/>
      <c r="CK481" s="39"/>
      <c r="CL481" s="39"/>
      <c r="CM481" s="40"/>
      <c r="CN481" s="41"/>
      <c r="CO481" s="41">
        <f t="shared" si="121"/>
        <v>0</v>
      </c>
    </row>
    <row r="482" spans="26:93" s="42" customFormat="1" ht="16" thickBot="1" x14ac:dyDescent="0.3">
      <c r="Z482" s="134"/>
      <c r="AA482" s="134"/>
      <c r="AC482" s="134"/>
      <c r="AD482" s="135"/>
      <c r="AG482" s="136"/>
      <c r="AH482" s="136"/>
      <c r="AJ482" s="134"/>
      <c r="AQ482" s="134"/>
      <c r="AU482" s="134"/>
      <c r="AW482" s="134"/>
      <c r="BA482" s="134"/>
      <c r="BB482" s="134"/>
      <c r="BD482" s="134"/>
      <c r="BG482" s="235"/>
      <c r="BH482" s="183" t="s">
        <v>273</v>
      </c>
      <c r="BI482" s="177" t="s">
        <v>272</v>
      </c>
      <c r="BJ482" s="188">
        <v>0.18</v>
      </c>
      <c r="BK482" s="177" t="s">
        <v>815</v>
      </c>
      <c r="BL482" s="38"/>
      <c r="BM482" s="38"/>
      <c r="BN482" s="38"/>
      <c r="BO482" s="37"/>
      <c r="BP482" s="37"/>
      <c r="BQ482" s="37"/>
      <c r="BR482" s="37"/>
      <c r="BS482" s="37"/>
      <c r="BT482" s="37"/>
      <c r="BU482" s="37"/>
      <c r="BV482" s="37"/>
      <c r="BW482" s="37"/>
      <c r="BX482" s="37"/>
      <c r="BY482" s="37"/>
      <c r="BZ482" s="37"/>
      <c r="CA482" s="39"/>
      <c r="CB482" s="37"/>
      <c r="CC482" s="37"/>
      <c r="CD482" s="39"/>
      <c r="CE482" s="39"/>
      <c r="CF482" s="39"/>
      <c r="CG482" s="39"/>
      <c r="CH482" s="37"/>
      <c r="CI482" s="37"/>
      <c r="CJ482" s="39"/>
      <c r="CK482" s="39"/>
      <c r="CL482" s="39"/>
      <c r="CM482" s="40"/>
      <c r="CN482" s="41"/>
      <c r="CO482" s="41">
        <f t="shared" si="121"/>
        <v>0</v>
      </c>
    </row>
    <row r="483" spans="26:93" ht="16" thickBot="1" x14ac:dyDescent="0.3">
      <c r="BH483" s="183" t="s">
        <v>280</v>
      </c>
      <c r="BI483" s="177" t="s">
        <v>272</v>
      </c>
      <c r="BJ483" s="188">
        <v>0.46</v>
      </c>
      <c r="BK483" s="177" t="s">
        <v>816</v>
      </c>
    </row>
    <row r="484" spans="26:93" ht="14" thickBot="1" x14ac:dyDescent="0.3"/>
    <row r="485" spans="26:93" ht="14" x14ac:dyDescent="0.25">
      <c r="BH485" s="582" t="s">
        <v>817</v>
      </c>
      <c r="BI485" s="170"/>
      <c r="BJ485" s="582" t="s">
        <v>742</v>
      </c>
      <c r="BK485" s="170"/>
      <c r="BL485" s="582" t="s">
        <v>302</v>
      </c>
      <c r="BM485" s="582" t="s">
        <v>302</v>
      </c>
      <c r="BN485" s="582" t="s">
        <v>303</v>
      </c>
    </row>
    <row r="486" spans="26:93" ht="14.5" thickBot="1" x14ac:dyDescent="0.3">
      <c r="BH486" s="583"/>
      <c r="BI486" s="171" t="s">
        <v>308</v>
      </c>
      <c r="BJ486" s="583"/>
      <c r="BK486" s="171" t="s">
        <v>309</v>
      </c>
      <c r="BL486" s="583"/>
      <c r="BM486" s="583"/>
      <c r="BN486" s="583"/>
    </row>
    <row r="487" spans="26:93" ht="27.5" thickBot="1" x14ac:dyDescent="0.3">
      <c r="BH487" s="177" t="s">
        <v>818</v>
      </c>
      <c r="BI487" s="177" t="s">
        <v>272</v>
      </c>
      <c r="BJ487" s="188">
        <v>0.56000000000000005</v>
      </c>
      <c r="BK487" s="177" t="s">
        <v>819</v>
      </c>
      <c r="BN487" s="177" t="s">
        <v>820</v>
      </c>
    </row>
    <row r="488" spans="26:93" ht="16" thickBot="1" x14ac:dyDescent="0.3">
      <c r="BH488" s="183" t="s">
        <v>287</v>
      </c>
      <c r="BI488" s="177" t="s">
        <v>272</v>
      </c>
      <c r="BJ488" s="188">
        <v>0.19</v>
      </c>
      <c r="BK488" s="177" t="s">
        <v>821</v>
      </c>
      <c r="BN488" s="177" t="s">
        <v>822</v>
      </c>
    </row>
    <row r="489" spans="26:93" ht="27.5" thickBot="1" x14ac:dyDescent="0.3">
      <c r="BH489" s="183" t="s">
        <v>286</v>
      </c>
      <c r="BI489" s="177" t="s">
        <v>272</v>
      </c>
      <c r="BJ489" s="188">
        <v>2.4300000000000002</v>
      </c>
      <c r="BK489" s="177" t="s">
        <v>821</v>
      </c>
      <c r="BN489" s="177" t="s">
        <v>823</v>
      </c>
    </row>
    <row r="490" spans="26:93" ht="16" thickBot="1" x14ac:dyDescent="0.3">
      <c r="BH490" s="177" t="s">
        <v>824</v>
      </c>
      <c r="BI490" s="177" t="s">
        <v>272</v>
      </c>
      <c r="BJ490" s="188">
        <v>1.31</v>
      </c>
      <c r="BK490" s="177" t="s">
        <v>825</v>
      </c>
      <c r="BN490" s="177" t="s">
        <v>826</v>
      </c>
    </row>
    <row r="491" spans="26:93" ht="28.5" thickBot="1" x14ac:dyDescent="0.3">
      <c r="BH491" s="177" t="s">
        <v>827</v>
      </c>
      <c r="BI491" s="177" t="s">
        <v>272</v>
      </c>
      <c r="BJ491" s="188">
        <v>9.1615000000000002E-2</v>
      </c>
      <c r="BK491" s="177" t="s">
        <v>828</v>
      </c>
      <c r="BN491" s="177" t="s">
        <v>829</v>
      </c>
    </row>
    <row r="492" spans="26:93" ht="16" thickBot="1" x14ac:dyDescent="0.3">
      <c r="BH492" s="177" t="s">
        <v>830</v>
      </c>
      <c r="BI492" s="177" t="s">
        <v>272</v>
      </c>
      <c r="BJ492" s="188">
        <v>0.01</v>
      </c>
      <c r="BK492" s="177" t="s">
        <v>831</v>
      </c>
      <c r="BN492" s="177" t="s">
        <v>832</v>
      </c>
    </row>
  </sheetData>
  <sheetProtection algorithmName="SHA-512" hashValue="YFV9tgXo9Azqwuv1q7HKHy3nzPozTHgBuf9WBx99fRDrq6LuEXvMAy5VrpwpGZG9DQjkTb2lT+MkNWoJiXEiGQ==" saltValue="oo2hYgKR1Ftt1G5u8sFNNw==" spinCount="100000" sheet="1" objects="1" scenarios="1" selectLockedCells="1" selectUnlockedCells="1"/>
  <protectedRanges>
    <protectedRange sqref="BO136:BR137 BO121:BO135 BO153:BR154 BV136:BW137 BV153:BW154 CB136:CC137 CB153:CC154 CH136:CI137 CH153:CI154 BT136:BT137 BT153:BT154 BR135 BS135:BS137 BR122:BS134 BR140:BS151 BS152:BS154 BR152 CH140:CH152 CB140:CB152 BV140:BV152 BO140:BP152" name="Rango1_10"/>
  </protectedRanges>
  <dataConsolidate/>
  <mergeCells count="236">
    <mergeCell ref="BR202:BR203"/>
    <mergeCell ref="BS202:BS203"/>
    <mergeCell ref="BT202:BT203"/>
    <mergeCell ref="BN202:BN203"/>
    <mergeCell ref="BM202:BM203"/>
    <mergeCell ref="BH138:BH139"/>
    <mergeCell ref="BO138:BZ138"/>
    <mergeCell ref="BP202:BP203"/>
    <mergeCell ref="B53:C53"/>
    <mergeCell ref="B56:B57"/>
    <mergeCell ref="C56:C57"/>
    <mergeCell ref="D56:R56"/>
    <mergeCell ref="S56:V56"/>
    <mergeCell ref="W56:AC56"/>
    <mergeCell ref="AD56:AJ56"/>
    <mergeCell ref="AK56:AQ56"/>
    <mergeCell ref="AR56:AW56"/>
    <mergeCell ref="AX56:BD56"/>
    <mergeCell ref="BE56:BE57"/>
    <mergeCell ref="BF56:BF57"/>
    <mergeCell ref="W57:X57"/>
    <mergeCell ref="AD57:AE57"/>
    <mergeCell ref="AK57:AL57"/>
    <mergeCell ref="AR57:AS57"/>
    <mergeCell ref="AH315:AL315"/>
    <mergeCell ref="AD44:AJ44"/>
    <mergeCell ref="B81:BF81"/>
    <mergeCell ref="BF44:BF45"/>
    <mergeCell ref="W45:X45"/>
    <mergeCell ref="AD45:AE45"/>
    <mergeCell ref="AK45:AL45"/>
    <mergeCell ref="AR45:AS45"/>
    <mergeCell ref="AX45:AY45"/>
    <mergeCell ref="AR82:AW82"/>
    <mergeCell ref="AK44:AQ44"/>
    <mergeCell ref="AR44:AW44"/>
    <mergeCell ref="AX44:BD44"/>
    <mergeCell ref="BE44:BE45"/>
    <mergeCell ref="AK82:AQ82"/>
    <mergeCell ref="W82:AC82"/>
    <mergeCell ref="AD82:AJ82"/>
    <mergeCell ref="D82:R82"/>
    <mergeCell ref="C82:C83"/>
    <mergeCell ref="B44:B45"/>
    <mergeCell ref="C44:C45"/>
    <mergeCell ref="D44:R44"/>
    <mergeCell ref="S44:V44"/>
    <mergeCell ref="B55:BF55"/>
    <mergeCell ref="BJ426:BJ427"/>
    <mergeCell ref="BL426:BL427"/>
    <mergeCell ref="AX82:BD82"/>
    <mergeCell ref="BE82:BE83"/>
    <mergeCell ref="BH202:BH203"/>
    <mergeCell ref="BJ202:BJ203"/>
    <mergeCell ref="BL202:BL203"/>
    <mergeCell ref="BH361:BH362"/>
    <mergeCell ref="BJ361:BJ362"/>
    <mergeCell ref="BL361:BL362"/>
    <mergeCell ref="BL208:BL209"/>
    <mergeCell ref="BH208:BH209"/>
    <mergeCell ref="BJ208:BJ209"/>
    <mergeCell ref="BH176:BH177"/>
    <mergeCell ref="BH155:BH156"/>
    <mergeCell ref="BL155:BL156"/>
    <mergeCell ref="BF82:BF83"/>
    <mergeCell ref="AX83:AY83"/>
    <mergeCell ref="BH293:BH294"/>
    <mergeCell ref="BH426:BH427"/>
    <mergeCell ref="BJ293:BJ294"/>
    <mergeCell ref="BL293:BL294"/>
    <mergeCell ref="B91:BF91"/>
    <mergeCell ref="B82:B83"/>
    <mergeCell ref="BM426:BM427"/>
    <mergeCell ref="BN426:BN427"/>
    <mergeCell ref="BN374:BN375"/>
    <mergeCell ref="BN315:BN316"/>
    <mergeCell ref="BN214:BN215"/>
    <mergeCell ref="BH226:BH227"/>
    <mergeCell ref="BJ226:BJ227"/>
    <mergeCell ref="BL226:BL227"/>
    <mergeCell ref="BM226:BM227"/>
    <mergeCell ref="BN226:BN227"/>
    <mergeCell ref="BN219:BN220"/>
    <mergeCell ref="BM219:BM220"/>
    <mergeCell ref="BH214:BH215"/>
    <mergeCell ref="BJ214:BJ215"/>
    <mergeCell ref="BL214:BL215"/>
    <mergeCell ref="BM214:BM215"/>
    <mergeCell ref="BN391:BN392"/>
    <mergeCell ref="BH391:BH392"/>
    <mergeCell ref="BJ391:BJ392"/>
    <mergeCell ref="BL391:BL392"/>
    <mergeCell ref="BM391:BM392"/>
    <mergeCell ref="BH374:BH375"/>
    <mergeCell ref="BJ374:BJ375"/>
    <mergeCell ref="BL374:BL375"/>
    <mergeCell ref="BM361:BM362"/>
    <mergeCell ref="BN361:BN362"/>
    <mergeCell ref="DH314:DI314"/>
    <mergeCell ref="BS350:BS351"/>
    <mergeCell ref="BO350:BO351"/>
    <mergeCell ref="BQ350:BQ351"/>
    <mergeCell ref="BO314:BS314"/>
    <mergeCell ref="BJ314:BN314"/>
    <mergeCell ref="BH350:BH351"/>
    <mergeCell ref="BJ350:BJ351"/>
    <mergeCell ref="BL350:BL351"/>
    <mergeCell ref="BM350:BM351"/>
    <mergeCell ref="BN350:BN351"/>
    <mergeCell ref="BS315:BS316"/>
    <mergeCell ref="CX314:CX315"/>
    <mergeCell ref="CY314:CZ314"/>
    <mergeCell ref="DA314:DA315"/>
    <mergeCell ref="DB314:DB315"/>
    <mergeCell ref="DC314:DC315"/>
    <mergeCell ref="DD314:DD315"/>
    <mergeCell ref="DE314:DE315"/>
    <mergeCell ref="DF314:DG314"/>
    <mergeCell ref="BR350:BR351"/>
    <mergeCell ref="BO315:BO316"/>
    <mergeCell ref="BQ315:BQ316"/>
    <mergeCell ref="BR315:BR316"/>
    <mergeCell ref="BP219:BP220"/>
    <mergeCell ref="BR219:BR220"/>
    <mergeCell ref="BS219:BS220"/>
    <mergeCell ref="BT219:BT220"/>
    <mergeCell ref="CA138:CL138"/>
    <mergeCell ref="BJ109:BJ110"/>
    <mergeCell ref="BL109:BL110"/>
    <mergeCell ref="BN109:BN110"/>
    <mergeCell ref="BO109:BZ109"/>
    <mergeCell ref="BJ176:BJ177"/>
    <mergeCell ref="BL176:BL177"/>
    <mergeCell ref="BM176:BM177"/>
    <mergeCell ref="BN176:BN177"/>
    <mergeCell ref="CA109:CL109"/>
    <mergeCell ref="BJ155:BJ156"/>
    <mergeCell ref="BP176:BP177"/>
    <mergeCell ref="BR176:BR177"/>
    <mergeCell ref="BS176:BS177"/>
    <mergeCell ref="BT176:BT177"/>
    <mergeCell ref="CA155:CL155"/>
    <mergeCell ref="BM109:BM110"/>
    <mergeCell ref="BM138:BM139"/>
    <mergeCell ref="BM155:BM156"/>
    <mergeCell ref="BJ138:BJ139"/>
    <mergeCell ref="BL138:BL139"/>
    <mergeCell ref="BN138:BN139"/>
    <mergeCell ref="BN155:BN156"/>
    <mergeCell ref="BO155:BZ155"/>
    <mergeCell ref="AK14:AL14"/>
    <mergeCell ref="AR14:AS14"/>
    <mergeCell ref="AK13:AQ13"/>
    <mergeCell ref="B46:BF46"/>
    <mergeCell ref="B50:BF50"/>
    <mergeCell ref="B21:BF21"/>
    <mergeCell ref="B15:BF15"/>
    <mergeCell ref="B43:BF43"/>
    <mergeCell ref="W44:AC44"/>
    <mergeCell ref="B30:BF30"/>
    <mergeCell ref="B39:BF39"/>
    <mergeCell ref="B37:D37"/>
    <mergeCell ref="B41:D41"/>
    <mergeCell ref="B85:BF85"/>
    <mergeCell ref="B87:BF87"/>
    <mergeCell ref="B88:B89"/>
    <mergeCell ref="C88:C89"/>
    <mergeCell ref="D88:R88"/>
    <mergeCell ref="AD13:AJ13"/>
    <mergeCell ref="W13:AC13"/>
    <mergeCell ref="S13:V13"/>
    <mergeCell ref="BE13:BE14"/>
    <mergeCell ref="AX13:BD13"/>
    <mergeCell ref="AR13:AW13"/>
    <mergeCell ref="AX14:AY14"/>
    <mergeCell ref="B5:G5"/>
    <mergeCell ref="C2:V3"/>
    <mergeCell ref="E7:G7"/>
    <mergeCell ref="E6:G6"/>
    <mergeCell ref="E8:G8"/>
    <mergeCell ref="E9:G9"/>
    <mergeCell ref="E10:G10"/>
    <mergeCell ref="D13:R13"/>
    <mergeCell ref="B13:B14"/>
    <mergeCell ref="C13:C14"/>
    <mergeCell ref="B12:BF12"/>
    <mergeCell ref="BF13:BF14"/>
    <mergeCell ref="W14:X14"/>
    <mergeCell ref="AD14:AE14"/>
    <mergeCell ref="S88:V88"/>
    <mergeCell ref="W88:AC88"/>
    <mergeCell ref="AD88:AJ88"/>
    <mergeCell ref="AK88:AQ88"/>
    <mergeCell ref="AR88:AW88"/>
    <mergeCell ref="AX88:BD88"/>
    <mergeCell ref="BE88:BE89"/>
    <mergeCell ref="BF88:BF89"/>
    <mergeCell ref="W89:X89"/>
    <mergeCell ref="AD89:AE89"/>
    <mergeCell ref="AK89:AL89"/>
    <mergeCell ref="AR89:AS89"/>
    <mergeCell ref="AX89:AY89"/>
    <mergeCell ref="AD83:AE83"/>
    <mergeCell ref="AK83:AL83"/>
    <mergeCell ref="AR83:AS83"/>
    <mergeCell ref="S82:V82"/>
    <mergeCell ref="AX57:AY57"/>
    <mergeCell ref="B58:BF58"/>
    <mergeCell ref="B70:BF70"/>
    <mergeCell ref="W83:X83"/>
    <mergeCell ref="B75:BF75"/>
    <mergeCell ref="B79:D79"/>
    <mergeCell ref="B93:C93"/>
    <mergeCell ref="BH473:BH474"/>
    <mergeCell ref="BJ473:BJ474"/>
    <mergeCell ref="BL473:BL474"/>
    <mergeCell ref="BM473:BM474"/>
    <mergeCell ref="BN473:BN474"/>
    <mergeCell ref="BH485:BH486"/>
    <mergeCell ref="BJ485:BJ486"/>
    <mergeCell ref="BL485:BL486"/>
    <mergeCell ref="BM485:BM486"/>
    <mergeCell ref="BN485:BN486"/>
    <mergeCell ref="BM208:BM209"/>
    <mergeCell ref="BN208:BN209"/>
    <mergeCell ref="BM293:BM294"/>
    <mergeCell ref="BN293:BN294"/>
    <mergeCell ref="BI293:BI294"/>
    <mergeCell ref="BM374:BM375"/>
    <mergeCell ref="BH219:BH220"/>
    <mergeCell ref="BJ219:BJ220"/>
    <mergeCell ref="BL219:BL220"/>
    <mergeCell ref="BH315:BH316"/>
    <mergeCell ref="BJ315:BJ316"/>
    <mergeCell ref="BL315:BL316"/>
    <mergeCell ref="BM315:BM316"/>
  </mergeCells>
  <dataValidations count="12">
    <dataValidation type="list" allowBlank="1" showInputMessage="1" showErrorMessage="1" sqref="C34" xr:uid="{00000000-0002-0000-0500-000003000000}">
      <formula1>$BH$221</formula1>
    </dataValidation>
    <dataValidation type="list" allowBlank="1" showInputMessage="1" showErrorMessage="1" sqref="C32" xr:uid="{00000000-0002-0000-0500-000005000000}">
      <formula1>$BH$204:$BH$205</formula1>
    </dataValidation>
    <dataValidation type="list" allowBlank="1" showInputMessage="1" showErrorMessage="1" sqref="C33" xr:uid="{00000000-0002-0000-0500-000006000000}">
      <formula1>$BH$205</formula1>
    </dataValidation>
    <dataValidation type="list" allowBlank="1" showInputMessage="1" showErrorMessage="1" sqref="C16:C19 C47:C48 C22:C25" xr:uid="{00000000-0002-0000-0500-00000D000000}">
      <formula1>$BH$140:$BH$152</formula1>
    </dataValidation>
    <dataValidation type="list" allowBlank="1" showInputMessage="1" showErrorMessage="1" sqref="C26:C28" xr:uid="{00000000-0002-0000-0500-00000E000000}">
      <formula1>$BH$157:$BH$174</formula1>
    </dataValidation>
    <dataValidation type="list" allowBlank="1" showInputMessage="1" showErrorMessage="1" sqref="C40" xr:uid="{00000000-0002-0000-0500-000010000000}">
      <formula1>$BH$376:$BH$387</formula1>
    </dataValidation>
    <dataValidation type="list" allowBlank="1" showInputMessage="1" showErrorMessage="1" sqref="C71" xr:uid="{AEDEB832-5964-8A4C-BB45-2C20438EC750}">
      <formula1>$BH$270:$BH$283</formula1>
    </dataValidation>
    <dataValidation type="list" allowBlank="1" showInputMessage="1" showErrorMessage="1" sqref="C76:C77" xr:uid="{993CF6FF-9C3B-5348-9BD2-4626C7D77590}">
      <formula1>$BH$428:$BH$437</formula1>
    </dataValidation>
    <dataValidation type="list" allowBlank="1" showInputMessage="1" showErrorMessage="1" sqref="C31" xr:uid="{00000000-0002-0000-0500-000013000000}">
      <formula1>$BH$178:$BH$199</formula1>
    </dataValidation>
    <dataValidation type="list" allowBlank="1" showInputMessage="1" showErrorMessage="1" sqref="C35" xr:uid="{C0CCFA5B-5579-3742-866F-E4AA95E26E51}">
      <formula1>$BH$230</formula1>
    </dataValidation>
    <dataValidation type="list" allowBlank="1" showInputMessage="1" showErrorMessage="1" sqref="C59:C68" xr:uid="{29C8CC66-3BC3-3544-BB92-1231C6D45F06}">
      <formula1>$BH$475:$BH$483</formula1>
    </dataValidation>
    <dataValidation type="list" allowBlank="1" showInputMessage="1" showErrorMessage="1" sqref="C72:C73" xr:uid="{39316DD3-87AF-5F47-9739-87B15C0CD9A3}">
      <formula1>$BH$488:$BH$489</formula1>
    </dataValidation>
  </dataValidations>
  <hyperlinks>
    <hyperlink ref="Q14" location="'INSTRUCCIONES INCERTIDUMBRE'!C21" display="TOTAL" xr:uid="{00000000-0004-0000-0500-000000000000}"/>
    <hyperlink ref="R14" location="'INSTRUCCIONES INCERTIDUMBRE'!C22" display="No. DATOS" xr:uid="{00000000-0004-0000-0500-000001000000}"/>
    <hyperlink ref="S14" location="'INSTRUCCIONES INCERTIDUMBRE'!C23" display="PROMEDIO" xr:uid="{00000000-0004-0000-0500-000002000000}"/>
    <hyperlink ref="T14" location="'INSTRUCCIONES INCERTIDUMBRE'!C24" display="DESVIACION ESTÁNDAR" xr:uid="{00000000-0004-0000-0500-000003000000}"/>
    <hyperlink ref="U14" location="'INSTRUCCIONES INCERTIDUMBRE'!C25" display="FACTOR T" xr:uid="{00000000-0004-0000-0500-000004000000}"/>
    <hyperlink ref="V14" location="'INSTRUCCIONES INCERTIDUMBRE'!C26" display="INCERTIDUMBRE" xr:uid="{00000000-0004-0000-0500-000005000000}"/>
    <hyperlink ref="BE13:BE14" location="'INSTRUCCIONES INCERTIDUMBRE'!C32" display="'INSTRUCCIONES INCERTIDUMBRE'!C32" xr:uid="{00000000-0004-0000-0500-000006000000}"/>
    <hyperlink ref="BF13:BF14" location="'INSTRUCCIONES INCERTIDUMBRE'!C34" display="INCERTIDUMBRE DE LA FUENTE" xr:uid="{00000000-0004-0000-0500-000007000000}"/>
    <hyperlink ref="Q45" location="'INSTRUCCIONES INCERTIDUMBRE'!C21" display="TOTAL" xr:uid="{00000000-0004-0000-0500-000049000000}"/>
    <hyperlink ref="R45" location="'INSTRUCCIONES INCERTIDUMBRE'!C22" display="No. DATOS" xr:uid="{00000000-0004-0000-0500-00004A000000}"/>
    <hyperlink ref="S45" location="'INSTRUCCIONES INCERTIDUMBRE'!C23" display="PROMEDIO" xr:uid="{00000000-0004-0000-0500-00004B000000}"/>
    <hyperlink ref="T45" location="'INSTRUCCIONES INCERTIDUMBRE'!C24" display="DESVIACION ESTÁNDAR" xr:uid="{00000000-0004-0000-0500-00004C000000}"/>
    <hyperlink ref="U45" location="'INSTRUCCIONES INCERTIDUMBRE'!C25" display="FACTOR T" xr:uid="{00000000-0004-0000-0500-00004D000000}"/>
    <hyperlink ref="V45" location="'INSTRUCCIONES INCERTIDUMBRE'!C26" display="INCERTIDUMBRE" xr:uid="{00000000-0004-0000-0500-00004E000000}"/>
    <hyperlink ref="BE44:BE45" location="'INSTRUCCIONES INCERTIDUMBRE'!C32" display="'INSTRUCCIONES INCERTIDUMBRE'!C32" xr:uid="{00000000-0004-0000-0500-00004F000000}"/>
    <hyperlink ref="BF44:BF45" location="'INSTRUCCIONES INCERTIDUMBRE'!C34" display="INCERTIDUMBRE DE LA FUENTE" xr:uid="{00000000-0004-0000-0500-000050000000}"/>
    <hyperlink ref="BT190" r:id="rId1" xr:uid="{00000000-0004-0000-0500-00005D000000}"/>
    <hyperlink ref="BN196" r:id="rId2" xr:uid="{00000000-0004-0000-0500-00005E000000}"/>
    <hyperlink ref="C10" r:id="rId3" xr:uid="{00000000-0004-0000-0500-000060000000}"/>
    <hyperlink ref="Q57" location="'INSTRUCCIONES INCERTIDUMBRE'!C21" display="TOTAL" xr:uid="{F7611396-3169-455D-840C-4B951FD33E81}"/>
    <hyperlink ref="R57" location="'INSTRUCCIONES INCERTIDUMBRE'!C22" display="No. DATOS" xr:uid="{4D78F728-71D3-4ECA-A39E-BF93CD124913}"/>
    <hyperlink ref="S57" location="'INSTRUCCIONES INCERTIDUMBRE'!C23" display="PROMEDIO" xr:uid="{F6E8955E-0200-4372-B010-A0AC41B6CE43}"/>
    <hyperlink ref="T57" location="'INSTRUCCIONES INCERTIDUMBRE'!C24" display="DESVIACION ESTÁNDAR" xr:uid="{7480E626-E3C0-4FC1-A178-56379A62D896}"/>
    <hyperlink ref="U57" location="'INSTRUCCIONES INCERTIDUMBRE'!C25" display="FACTOR T" xr:uid="{277C36B7-1AEE-444E-A852-802A7B840B6C}"/>
    <hyperlink ref="V57" location="'INSTRUCCIONES INCERTIDUMBRE'!C26" display="INCERTIDUMBRE" xr:uid="{D4D18649-0E5E-4B8B-9EF4-93241CF2BAC5}"/>
    <hyperlink ref="BE56:BE57" location="'INSTRUCCIONES INCERTIDUMBRE'!C32" display="'INSTRUCCIONES INCERTIDUMBRE'!C32" xr:uid="{A3364B78-B34A-4450-AD80-E82ED9DE54C4}"/>
    <hyperlink ref="BF56:BF57" location="'INSTRUCCIONES INCERTIDUMBRE'!C34" display="INCERTIDUMBRE DE LA FUENTE" xr:uid="{1FA32E4E-CE4D-42E3-B908-72A0D7B82534}"/>
    <hyperlink ref="Q83" location="'INSTRUCCIONES INCERTIDUMBRE'!C21" display="TOTAL" xr:uid="{CF6B1025-DA1F-4800-8547-FAD530E82B29}"/>
    <hyperlink ref="R83" location="'INSTRUCCIONES INCERTIDUMBRE'!C22" display="No. DATOS" xr:uid="{59E5539A-1AF9-48AB-B7B1-7F0945DF0882}"/>
    <hyperlink ref="S83" location="'INSTRUCCIONES INCERTIDUMBRE'!C23" display="PROMEDIO" xr:uid="{E252CBA5-98DE-4F1C-9845-289891573741}"/>
    <hyperlink ref="T83" location="'INSTRUCCIONES INCERTIDUMBRE'!C24" display="DESVIACION ESTÁNDAR" xr:uid="{71CE0BD4-D75F-4C66-88B5-71631AFDF6C2}"/>
    <hyperlink ref="U83" location="'INSTRUCCIONES INCERTIDUMBRE'!C25" display="FACTOR T" xr:uid="{A3721640-62D0-4A4D-964A-6F2E9C9B40F0}"/>
    <hyperlink ref="V83" location="'INSTRUCCIONES INCERTIDUMBRE'!C26" display="INCERTIDUMBRE" xr:uid="{78E51763-7E85-412F-BDE8-B5119A661839}"/>
    <hyperlink ref="BE82:BE83" location="'INSTRUCCIONES INCERTIDUMBRE'!C32" display="'INSTRUCCIONES INCERTIDUMBRE'!C32" xr:uid="{80839D51-4231-4B0F-BB89-DDBF443072AC}"/>
    <hyperlink ref="BF82:BF83" location="'INSTRUCCIONES INCERTIDUMBRE'!C34" display="INCERTIDUMBRE DE LA FUENTE" xr:uid="{C17A8A38-E734-42A8-AF40-F44F67CF107E}"/>
    <hyperlink ref="Q89" location="'INSTRUCCIONES INCERTIDUMBRE'!C21" display="TOTAL" xr:uid="{9E0D0ED2-FA38-4908-8A70-3625D7AE097C}"/>
    <hyperlink ref="R89" location="'INSTRUCCIONES INCERTIDUMBRE'!C22" display="No. DATOS" xr:uid="{38D81BF5-C10D-4F46-99C9-FB0A15E78865}"/>
    <hyperlink ref="S89" location="'INSTRUCCIONES INCERTIDUMBRE'!C23" display="PROMEDIO" xr:uid="{C7806DA8-8793-4130-B2D5-AF78D0BB2751}"/>
    <hyperlink ref="T89" location="'INSTRUCCIONES INCERTIDUMBRE'!C24" display="DESVIACION ESTÁNDAR" xr:uid="{C71CDC53-3C7A-4366-B513-A28EADD60456}"/>
    <hyperlink ref="U89" location="'INSTRUCCIONES INCERTIDUMBRE'!C25" display="FACTOR T" xr:uid="{082DD092-3F22-4D18-988C-FA97A8E06EBE}"/>
    <hyperlink ref="V89" location="'INSTRUCCIONES INCERTIDUMBRE'!C26" display="INCERTIDUMBRE" xr:uid="{5BAFEE52-274A-4347-8A5A-BA20BE4A51D2}"/>
    <hyperlink ref="BE88:BE89" location="'INSTRUCCIONES INCERTIDUMBRE'!C32" display="'INSTRUCCIONES INCERTIDUMBRE'!C32" xr:uid="{5DF492DA-10E9-42A5-9243-7A7274A208CC}"/>
    <hyperlink ref="BF88:BF89" location="'INSTRUCCIONES INCERTIDUMBRE'!C34" display="INCERTIDUMBRE DE LA FUENTE" xr:uid="{BA1C371E-2FBF-45C3-9D54-F963121AB8B7}"/>
  </hyperlinks>
  <pageMargins left="0.7" right="0.7" top="0.75" bottom="0.75" header="0.3" footer="0.3"/>
  <pageSetup orientation="portrait" r:id="rId4"/>
  <ignoredErrors>
    <ignoredError sqref="AX40" formula="1"/>
  </ignoredErrors>
  <drawing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39997558519241921"/>
  </sheetPr>
  <dimension ref="A1:EC102"/>
  <sheetViews>
    <sheetView zoomScale="90" zoomScaleNormal="90" workbookViewId="0">
      <selection activeCell="C2" sqref="C2:V3"/>
    </sheetView>
  </sheetViews>
  <sheetFormatPr baseColWidth="10" defaultColWidth="11.453125" defaultRowHeight="13.5" x14ac:dyDescent="0.25"/>
  <cols>
    <col min="1" max="1" width="5.453125" style="247" customWidth="1"/>
    <col min="2" max="2" width="39.453125" style="231" customWidth="1"/>
    <col min="3" max="3" width="69.7265625" style="231" bestFit="1" customWidth="1"/>
    <col min="4" max="4" width="12.81640625" style="231" customWidth="1"/>
    <col min="5" max="16" width="12.453125" style="231" customWidth="1"/>
    <col min="17" max="17" width="14.81640625" style="231" customWidth="1"/>
    <col min="18" max="18" width="10" style="231" customWidth="1"/>
    <col min="19" max="19" width="13.453125" style="231" customWidth="1"/>
    <col min="20" max="20" width="14" style="231" customWidth="1"/>
    <col min="21" max="21" width="11.453125" style="231" customWidth="1"/>
    <col min="22" max="22" width="20.1796875" style="231" customWidth="1"/>
    <col min="23" max="23" width="15.453125" style="231" customWidth="1"/>
    <col min="24" max="24" width="20.453125" style="231" customWidth="1"/>
    <col min="25" max="25" width="18.26953125" style="231" customWidth="1"/>
    <col min="26" max="26" width="12.81640625" style="232" customWidth="1"/>
    <col min="27" max="27" width="18" style="231" customWidth="1"/>
    <col min="28" max="28" width="16.26953125" style="232" customWidth="1"/>
    <col min="29" max="29" width="21.453125" style="231" customWidth="1"/>
    <col min="30" max="30" width="24.7265625" style="231" customWidth="1"/>
    <col min="31" max="31" width="16.453125" style="242" customWidth="1"/>
    <col min="32" max="32" width="41.26953125" style="236" customWidth="1"/>
    <col min="33" max="33" width="11.26953125" style="237" customWidth="1"/>
    <col min="34" max="35" width="16.7265625" style="237" customWidth="1"/>
    <col min="36" max="37" width="11.7265625" style="238" customWidth="1"/>
    <col min="38" max="38" width="18.453125" style="238" customWidth="1"/>
    <col min="39" max="39" width="16.26953125" style="237" customWidth="1"/>
    <col min="40" max="40" width="16" style="237" customWidth="1"/>
    <col min="41" max="41" width="13.453125" style="237" customWidth="1"/>
    <col min="42" max="43" width="11.7265625" style="237" customWidth="1"/>
    <col min="44" max="44" width="14.81640625" style="237" bestFit="1" customWidth="1"/>
    <col min="45" max="49" width="11.7265625" style="237" customWidth="1"/>
    <col min="50" max="50" width="14.81640625" style="237" bestFit="1" customWidth="1"/>
    <col min="51" max="51" width="11.7265625" style="239" customWidth="1"/>
    <col min="52" max="53" width="11.7265625" style="237" customWidth="1"/>
    <col min="54" max="55" width="11.7265625" style="239" customWidth="1"/>
    <col min="56" max="56" width="14.81640625" style="239" bestFit="1" customWidth="1"/>
    <col min="57" max="57" width="11.7265625" style="239" customWidth="1"/>
    <col min="58" max="59" width="11.7265625" style="237" customWidth="1"/>
    <col min="60" max="61" width="11.7265625" style="239" customWidth="1"/>
    <col min="62" max="62" width="14.81640625" style="239" bestFit="1" customWidth="1"/>
    <col min="63" max="63" width="11.7265625" style="240" customWidth="1"/>
    <col min="64" max="70" width="11.7265625" style="242" customWidth="1"/>
    <col min="71" max="71" width="11.453125" style="242" customWidth="1"/>
    <col min="72" max="72" width="13.453125" style="242" customWidth="1"/>
    <col min="73" max="73" width="14.81640625" style="242" customWidth="1"/>
    <col min="74" max="82" width="11.453125" style="242" customWidth="1"/>
    <col min="83" max="97" width="11.453125" style="242"/>
    <col min="98" max="105" width="11.453125" style="243"/>
    <col min="106" max="16384" width="11.453125" style="231"/>
  </cols>
  <sheetData>
    <row r="1" spans="1:133" x14ac:dyDescent="0.25">
      <c r="A1" s="231"/>
      <c r="Y1" s="232"/>
      <c r="AA1" s="232"/>
      <c r="AB1" s="233"/>
      <c r="AE1" s="234"/>
      <c r="AF1" s="234"/>
      <c r="AG1" s="231"/>
      <c r="AH1" s="232"/>
      <c r="AI1" s="231"/>
      <c r="AJ1" s="231"/>
      <c r="AK1" s="231"/>
      <c r="AL1" s="231"/>
      <c r="AM1" s="231"/>
      <c r="AN1" s="231"/>
      <c r="AO1" s="232"/>
      <c r="AP1" s="231"/>
      <c r="AQ1" s="231"/>
      <c r="AR1" s="231"/>
      <c r="AS1" s="232"/>
      <c r="AT1" s="231"/>
      <c r="AU1" s="232"/>
      <c r="AV1" s="231"/>
      <c r="AW1" s="231"/>
      <c r="AX1" s="231"/>
      <c r="AY1" s="232"/>
      <c r="AZ1" s="232"/>
      <c r="BA1" s="231"/>
      <c r="BB1" s="232"/>
      <c r="BC1" s="231"/>
      <c r="BD1" s="231"/>
      <c r="BE1" s="235"/>
      <c r="BF1" s="236"/>
      <c r="BH1" s="237"/>
      <c r="BI1" s="237"/>
      <c r="BJ1" s="238"/>
      <c r="BK1" s="238"/>
      <c r="BL1" s="238"/>
      <c r="BM1" s="237"/>
      <c r="BN1" s="237"/>
      <c r="BO1" s="237"/>
      <c r="BP1" s="237"/>
      <c r="BQ1" s="237"/>
      <c r="BR1" s="237"/>
      <c r="BS1" s="237"/>
      <c r="BT1" s="237"/>
      <c r="BU1" s="237"/>
      <c r="BV1" s="237"/>
      <c r="BW1" s="237"/>
      <c r="BX1" s="237"/>
      <c r="BY1" s="239"/>
      <c r="BZ1" s="237"/>
      <c r="CA1" s="237"/>
      <c r="CB1" s="239"/>
      <c r="CC1" s="239"/>
      <c r="CD1" s="239"/>
      <c r="CE1" s="239"/>
      <c r="CF1" s="237"/>
      <c r="CG1" s="237"/>
      <c r="CH1" s="239"/>
      <c r="CI1" s="239"/>
      <c r="CJ1" s="239"/>
      <c r="CK1" s="240"/>
      <c r="CL1" s="241"/>
      <c r="CM1" s="241"/>
      <c r="CT1" s="242"/>
      <c r="CU1" s="242"/>
      <c r="CV1" s="242"/>
      <c r="CW1" s="242"/>
      <c r="CX1" s="242"/>
      <c r="CY1" s="242"/>
      <c r="CZ1" s="242"/>
      <c r="DA1" s="242"/>
      <c r="DB1" s="242"/>
      <c r="DC1" s="242"/>
      <c r="DD1" s="242"/>
      <c r="DE1" s="242"/>
      <c r="DF1" s="242"/>
      <c r="DG1" s="242"/>
      <c r="DH1" s="242"/>
      <c r="DI1" s="242"/>
      <c r="DJ1" s="242"/>
      <c r="DK1" s="242"/>
      <c r="DL1" s="242"/>
      <c r="DM1" s="242"/>
      <c r="DN1" s="242"/>
      <c r="DO1" s="242"/>
      <c r="DP1" s="242"/>
      <c r="DQ1" s="242"/>
      <c r="DR1" s="242"/>
      <c r="DS1" s="242"/>
      <c r="DT1" s="243"/>
      <c r="DU1" s="243"/>
      <c r="DV1" s="243"/>
      <c r="DW1" s="243"/>
      <c r="DX1" s="243"/>
      <c r="DY1" s="243"/>
      <c r="DZ1" s="243"/>
      <c r="EA1" s="243"/>
    </row>
    <row r="2" spans="1:133" s="30" customFormat="1" ht="36" customHeight="1" x14ac:dyDescent="0.3">
      <c r="B2" s="224"/>
      <c r="C2" s="659" t="s">
        <v>847</v>
      </c>
      <c r="D2" s="659"/>
      <c r="E2" s="659"/>
      <c r="F2" s="659"/>
      <c r="G2" s="659"/>
      <c r="H2" s="659"/>
      <c r="I2" s="659"/>
      <c r="J2" s="659"/>
      <c r="K2" s="659"/>
      <c r="L2" s="659"/>
      <c r="M2" s="659"/>
      <c r="N2" s="659"/>
      <c r="O2" s="659"/>
      <c r="P2" s="659"/>
      <c r="Q2" s="659"/>
      <c r="R2" s="659"/>
      <c r="S2" s="659"/>
      <c r="T2" s="659"/>
      <c r="U2" s="659"/>
      <c r="V2" s="659"/>
      <c r="W2" s="225"/>
      <c r="X2" s="163"/>
      <c r="Y2" s="52"/>
      <c r="Z2" s="226"/>
      <c r="AA2" s="226"/>
      <c r="AB2" s="52"/>
      <c r="AC2" s="226"/>
      <c r="AD2" s="227"/>
      <c r="AE2" s="163"/>
      <c r="AF2" s="52"/>
      <c r="AG2" s="422"/>
      <c r="AH2" s="422"/>
      <c r="AI2" s="52"/>
      <c r="AJ2" s="226"/>
      <c r="AK2" s="225"/>
      <c r="AL2" s="163"/>
      <c r="AM2" s="52"/>
      <c r="AN2" s="52"/>
      <c r="AO2" s="52"/>
      <c r="AP2" s="52"/>
      <c r="AQ2" s="226"/>
      <c r="AR2" s="225"/>
      <c r="AS2" s="163"/>
      <c r="AT2" s="52"/>
      <c r="AU2" s="226"/>
      <c r="AV2" s="52"/>
      <c r="AW2" s="226"/>
      <c r="AX2" s="225"/>
      <c r="AY2" s="163"/>
      <c r="AZ2" s="52"/>
      <c r="BA2" s="226"/>
      <c r="BB2" s="226"/>
      <c r="BC2" s="52"/>
      <c r="BD2" s="226"/>
      <c r="BE2" s="423"/>
      <c r="BF2" s="424"/>
      <c r="BG2" s="35"/>
      <c r="BH2" s="36"/>
      <c r="BI2" s="37"/>
      <c r="BJ2" s="37"/>
      <c r="BK2" s="37"/>
      <c r="BL2" s="38"/>
      <c r="BM2" s="38"/>
      <c r="BN2" s="38"/>
      <c r="BO2" s="37"/>
      <c r="BP2" s="37"/>
      <c r="BQ2" s="37"/>
      <c r="BR2" s="37"/>
      <c r="BS2" s="37"/>
      <c r="BT2" s="37"/>
      <c r="BU2" s="37"/>
      <c r="BV2" s="37"/>
      <c r="BW2" s="37"/>
      <c r="BX2" s="37"/>
      <c r="BY2" s="37"/>
      <c r="BZ2" s="37"/>
      <c r="CA2" s="39"/>
      <c r="CB2" s="37"/>
      <c r="CC2" s="37"/>
      <c r="CD2" s="39"/>
      <c r="CE2" s="39"/>
      <c r="CF2" s="39"/>
      <c r="CG2" s="39"/>
      <c r="CH2" s="37"/>
      <c r="CI2" s="37"/>
      <c r="CJ2" s="39"/>
      <c r="CK2" s="39"/>
      <c r="CL2" s="39"/>
      <c r="CM2" s="40"/>
      <c r="CN2" s="41"/>
      <c r="CO2" s="41"/>
      <c r="CP2" s="42"/>
      <c r="CQ2" s="42"/>
      <c r="CR2" s="42"/>
      <c r="CS2" s="42"/>
      <c r="CT2" s="42"/>
      <c r="CU2" s="42"/>
      <c r="CV2" s="42"/>
      <c r="CW2" s="42"/>
      <c r="CX2" s="42"/>
      <c r="CY2" s="42"/>
      <c r="CZ2" s="42"/>
      <c r="DA2" s="42"/>
      <c r="DB2" s="42"/>
      <c r="DC2" s="42"/>
      <c r="DD2" s="42"/>
      <c r="DE2" s="42"/>
      <c r="DF2" s="42"/>
      <c r="DG2" s="42"/>
      <c r="DH2" s="42"/>
      <c r="DI2" s="42"/>
      <c r="DJ2" s="42"/>
      <c r="DK2" s="42"/>
      <c r="DL2" s="42"/>
      <c r="DM2" s="42"/>
      <c r="DN2" s="42"/>
      <c r="DO2" s="42"/>
      <c r="DP2" s="42"/>
      <c r="DQ2" s="42"/>
      <c r="DR2" s="42"/>
      <c r="DS2" s="42"/>
      <c r="DT2" s="42"/>
      <c r="DU2" s="42"/>
      <c r="DV2" s="43"/>
      <c r="DW2" s="43"/>
      <c r="DX2" s="43"/>
      <c r="DY2" s="43"/>
      <c r="DZ2" s="43"/>
      <c r="EA2" s="43"/>
      <c r="EB2" s="43"/>
      <c r="EC2" s="43"/>
    </row>
    <row r="3" spans="1:133" s="30" customFormat="1" ht="36" customHeight="1" x14ac:dyDescent="0.25">
      <c r="B3" s="228"/>
      <c r="C3" s="659"/>
      <c r="D3" s="659"/>
      <c r="E3" s="659"/>
      <c r="F3" s="659"/>
      <c r="G3" s="659"/>
      <c r="H3" s="659"/>
      <c r="I3" s="659"/>
      <c r="J3" s="659"/>
      <c r="K3" s="659"/>
      <c r="L3" s="659"/>
      <c r="M3" s="659"/>
      <c r="N3" s="659"/>
      <c r="O3" s="659"/>
      <c r="P3" s="659"/>
      <c r="Q3" s="659"/>
      <c r="R3" s="659"/>
      <c r="S3" s="659"/>
      <c r="T3" s="659"/>
      <c r="U3" s="659"/>
      <c r="V3" s="659"/>
      <c r="W3" s="225"/>
      <c r="X3" s="163"/>
      <c r="Y3" s="52"/>
      <c r="Z3" s="226"/>
      <c r="AA3" s="226"/>
      <c r="AB3" s="52"/>
      <c r="AC3" s="226"/>
      <c r="AD3" s="227"/>
      <c r="AE3" s="163"/>
      <c r="AF3" s="52"/>
      <c r="AG3" s="422"/>
      <c r="AH3" s="422"/>
      <c r="AI3" s="52"/>
      <c r="AJ3" s="226"/>
      <c r="AK3" s="225"/>
      <c r="AL3" s="163"/>
      <c r="AM3" s="52"/>
      <c r="AN3" s="52"/>
      <c r="AO3" s="52"/>
      <c r="AP3" s="52"/>
      <c r="AQ3" s="226"/>
      <c r="AR3" s="225"/>
      <c r="AS3" s="163"/>
      <c r="AT3" s="52"/>
      <c r="AU3" s="226"/>
      <c r="AV3" s="52"/>
      <c r="AW3" s="226"/>
      <c r="AX3" s="225"/>
      <c r="AY3" s="163"/>
      <c r="AZ3" s="52"/>
      <c r="BA3" s="226"/>
      <c r="BB3" s="226"/>
      <c r="BC3" s="52"/>
      <c r="BD3" s="226"/>
      <c r="BE3" s="51"/>
      <c r="BF3" s="52"/>
      <c r="BG3" s="35"/>
      <c r="BH3" s="36"/>
      <c r="BI3" s="37"/>
      <c r="BJ3" s="37"/>
      <c r="BK3" s="37"/>
      <c r="BL3" s="38"/>
      <c r="BM3" s="38"/>
      <c r="BN3" s="38"/>
      <c r="BO3" s="37"/>
      <c r="BP3" s="37"/>
      <c r="BQ3" s="37"/>
      <c r="BR3" s="37"/>
      <c r="BS3" s="37"/>
      <c r="BT3" s="37"/>
      <c r="BU3" s="37"/>
      <c r="BV3" s="37"/>
      <c r="BW3" s="37"/>
      <c r="BX3" s="37"/>
      <c r="BY3" s="37"/>
      <c r="BZ3" s="37"/>
      <c r="CA3" s="39"/>
      <c r="CB3" s="37"/>
      <c r="CC3" s="37"/>
      <c r="CD3" s="39"/>
      <c r="CE3" s="39"/>
      <c r="CF3" s="39"/>
      <c r="CG3" s="39"/>
      <c r="CH3" s="37"/>
      <c r="CI3" s="37"/>
      <c r="CJ3" s="39"/>
      <c r="CK3" s="39"/>
      <c r="CL3" s="39"/>
      <c r="CM3" s="40"/>
      <c r="CN3" s="41"/>
      <c r="CO3" s="41"/>
      <c r="CP3" s="42"/>
      <c r="CQ3" s="42"/>
      <c r="CR3" s="42"/>
      <c r="CS3" s="42"/>
      <c r="CT3" s="42"/>
      <c r="CU3" s="42"/>
      <c r="CV3" s="42"/>
      <c r="CW3" s="42"/>
      <c r="CX3" s="42"/>
      <c r="CY3" s="42"/>
      <c r="CZ3" s="42"/>
      <c r="DA3" s="42"/>
      <c r="DB3" s="42"/>
      <c r="DC3" s="42"/>
      <c r="DD3" s="42"/>
      <c r="DE3" s="42"/>
      <c r="DF3" s="42"/>
      <c r="DG3" s="42"/>
      <c r="DH3" s="42"/>
      <c r="DI3" s="42"/>
      <c r="DJ3" s="42"/>
      <c r="DK3" s="42"/>
      <c r="DL3" s="42"/>
      <c r="DM3" s="42"/>
      <c r="DN3" s="42"/>
      <c r="DO3" s="42"/>
      <c r="DP3" s="42"/>
      <c r="DQ3" s="42"/>
      <c r="DR3" s="42"/>
      <c r="DS3" s="42"/>
      <c r="DT3" s="42"/>
      <c r="DU3" s="42"/>
      <c r="DV3" s="43"/>
      <c r="DW3" s="43"/>
      <c r="DX3" s="43"/>
      <c r="DY3" s="43"/>
      <c r="DZ3" s="43"/>
      <c r="EA3" s="43"/>
      <c r="EB3" s="43"/>
      <c r="EC3" s="43"/>
    </row>
    <row r="4" spans="1:133" s="247" customFormat="1" ht="14.5" thickBot="1" x14ac:dyDescent="0.3">
      <c r="A4" s="231"/>
      <c r="B4" s="244"/>
      <c r="C4" s="426"/>
      <c r="E4" s="248"/>
      <c r="F4" s="248"/>
      <c r="G4" s="248"/>
      <c r="H4" s="248"/>
      <c r="I4" s="248"/>
      <c r="J4" s="248"/>
      <c r="K4" s="248"/>
      <c r="L4" s="248"/>
      <c r="M4" s="248"/>
      <c r="N4" s="248"/>
      <c r="O4" s="248"/>
      <c r="P4" s="248"/>
      <c r="Q4" s="248"/>
      <c r="R4" s="249"/>
      <c r="S4" s="248"/>
      <c r="T4" s="248"/>
      <c r="U4" s="248"/>
      <c r="X4" s="250"/>
      <c r="Y4" s="251"/>
      <c r="Z4" s="251"/>
      <c r="AA4" s="251"/>
      <c r="AB4" s="252"/>
      <c r="AD4" s="250"/>
      <c r="AE4" s="234"/>
      <c r="AF4" s="234"/>
      <c r="AG4" s="253"/>
      <c r="AH4" s="232"/>
      <c r="AI4" s="231"/>
      <c r="AJ4" s="231"/>
      <c r="AK4" s="253"/>
      <c r="AL4" s="253"/>
      <c r="AM4" s="253"/>
      <c r="AN4" s="253"/>
      <c r="AO4" s="232"/>
      <c r="AP4" s="231"/>
      <c r="AQ4" s="231"/>
      <c r="AR4" s="253"/>
      <c r="AS4" s="232"/>
      <c r="AT4" s="253"/>
      <c r="AU4" s="232"/>
      <c r="AV4" s="231"/>
      <c r="AW4" s="231"/>
      <c r="AX4" s="253"/>
      <c r="AY4" s="232"/>
      <c r="AZ4" s="232"/>
      <c r="BA4" s="253"/>
      <c r="BB4" s="232"/>
      <c r="BC4" s="246"/>
      <c r="BD4" s="245"/>
      <c r="BE4" s="235"/>
      <c r="BF4" s="254"/>
      <c r="BG4" s="255"/>
      <c r="BH4" s="255"/>
      <c r="BI4" s="255"/>
      <c r="BJ4" s="256"/>
      <c r="BK4" s="256"/>
      <c r="BL4" s="256"/>
      <c r="BM4" s="255"/>
      <c r="BN4" s="255"/>
      <c r="BO4" s="255"/>
      <c r="BP4" s="255"/>
      <c r="BQ4" s="255"/>
      <c r="BR4" s="255"/>
      <c r="BS4" s="255"/>
      <c r="BT4" s="255"/>
      <c r="BU4" s="255"/>
      <c r="BV4" s="255"/>
      <c r="BW4" s="255"/>
      <c r="BX4" s="255"/>
      <c r="BY4" s="257"/>
      <c r="BZ4" s="255"/>
      <c r="CA4" s="255"/>
      <c r="CB4" s="257"/>
      <c r="CC4" s="257"/>
      <c r="CD4" s="257"/>
      <c r="CE4" s="257"/>
      <c r="CF4" s="255"/>
      <c r="CG4" s="255"/>
      <c r="CH4" s="257"/>
      <c r="CI4" s="257"/>
      <c r="CJ4" s="257"/>
      <c r="CK4" s="258"/>
      <c r="CL4" s="259"/>
      <c r="CM4" s="259"/>
      <c r="CN4" s="235"/>
      <c r="CO4" s="235"/>
      <c r="CP4" s="235"/>
      <c r="CQ4" s="235"/>
      <c r="CR4" s="235"/>
      <c r="CS4" s="235"/>
      <c r="CT4" s="235"/>
      <c r="CU4" s="235"/>
      <c r="CV4" s="235"/>
      <c r="CW4" s="235"/>
      <c r="CX4" s="235"/>
      <c r="CY4" s="235"/>
      <c r="CZ4" s="235"/>
      <c r="DA4" s="235"/>
      <c r="DB4" s="235"/>
      <c r="DC4" s="235"/>
      <c r="DD4" s="235"/>
      <c r="DE4" s="235"/>
      <c r="DF4" s="235"/>
      <c r="DG4" s="235"/>
      <c r="DH4" s="235"/>
      <c r="DI4" s="235"/>
      <c r="DJ4" s="235"/>
      <c r="DK4" s="235"/>
      <c r="DL4" s="235"/>
      <c r="DM4" s="235"/>
      <c r="DN4" s="235"/>
      <c r="DO4" s="235"/>
      <c r="DP4" s="235"/>
      <c r="DQ4" s="235"/>
      <c r="DR4" s="235"/>
      <c r="DS4" s="235"/>
      <c r="DT4" s="260"/>
      <c r="DU4" s="260"/>
      <c r="DV4" s="260"/>
      <c r="DW4" s="260"/>
      <c r="DX4" s="260"/>
      <c r="DY4" s="260"/>
      <c r="DZ4" s="260"/>
      <c r="EA4" s="260"/>
    </row>
    <row r="5" spans="1:133" ht="14" x14ac:dyDescent="0.25">
      <c r="A5" s="231"/>
      <c r="B5" s="658" t="s">
        <v>154</v>
      </c>
      <c r="C5" s="658"/>
      <c r="D5" s="658"/>
      <c r="E5" s="658"/>
      <c r="F5" s="658"/>
      <c r="G5" s="658"/>
      <c r="H5" s="261"/>
      <c r="I5" s="261"/>
      <c r="J5" s="261"/>
      <c r="K5" s="261"/>
      <c r="N5" s="261"/>
      <c r="O5" s="261"/>
      <c r="P5" s="261"/>
      <c r="Q5" s="261"/>
      <c r="R5" s="261"/>
      <c r="S5" s="261"/>
      <c r="T5" s="261"/>
      <c r="U5" s="261"/>
      <c r="V5" s="261"/>
      <c r="W5" s="261"/>
      <c r="X5" s="261"/>
      <c r="Y5" s="261"/>
      <c r="Z5" s="261"/>
      <c r="AA5" s="261"/>
      <c r="AB5" s="231"/>
      <c r="AE5" s="231"/>
      <c r="AF5" s="231"/>
      <c r="AG5" s="231"/>
      <c r="AH5" s="231"/>
      <c r="AI5" s="231"/>
      <c r="AJ5" s="231"/>
      <c r="AK5" s="231"/>
      <c r="AL5" s="231"/>
      <c r="AM5" s="231"/>
      <c r="AN5" s="231"/>
      <c r="AO5" s="231"/>
      <c r="AP5" s="231"/>
      <c r="AQ5" s="231"/>
      <c r="AR5" s="231"/>
      <c r="AS5" s="231"/>
      <c r="AT5" s="231"/>
      <c r="AU5" s="231"/>
      <c r="AV5" s="231"/>
      <c r="AW5" s="231"/>
      <c r="AX5" s="231"/>
      <c r="AY5" s="231"/>
      <c r="AZ5" s="231"/>
      <c r="BA5" s="231"/>
      <c r="BB5" s="231"/>
      <c r="BC5" s="231"/>
      <c r="BD5" s="231"/>
      <c r="BE5" s="235"/>
      <c r="BF5" s="236"/>
      <c r="BH5" s="237"/>
      <c r="BI5" s="237"/>
      <c r="BJ5" s="238"/>
      <c r="BK5" s="238"/>
      <c r="BL5" s="238"/>
      <c r="BM5" s="237"/>
      <c r="BN5" s="237"/>
      <c r="BO5" s="237"/>
      <c r="BP5" s="237"/>
      <c r="BQ5" s="237"/>
      <c r="BR5" s="237"/>
      <c r="BS5" s="237"/>
      <c r="BT5" s="237"/>
      <c r="BU5" s="237"/>
      <c r="BV5" s="237"/>
      <c r="BW5" s="237"/>
      <c r="BX5" s="237"/>
      <c r="BY5" s="239"/>
      <c r="BZ5" s="237"/>
      <c r="CA5" s="237"/>
      <c r="CB5" s="239"/>
      <c r="CC5" s="239"/>
      <c r="CD5" s="239"/>
      <c r="CE5" s="239"/>
      <c r="CF5" s="237"/>
      <c r="CG5" s="237"/>
      <c r="CH5" s="239"/>
      <c r="CI5" s="239"/>
      <c r="CJ5" s="239"/>
      <c r="CK5" s="240"/>
      <c r="CL5" s="241"/>
      <c r="CM5" s="241"/>
      <c r="CT5" s="242"/>
      <c r="CU5" s="242"/>
      <c r="CV5" s="242"/>
      <c r="CW5" s="242"/>
      <c r="CX5" s="242"/>
      <c r="CY5" s="242"/>
      <c r="CZ5" s="242"/>
      <c r="DA5" s="242"/>
      <c r="DB5" s="242"/>
      <c r="DC5" s="242"/>
      <c r="DD5" s="242"/>
      <c r="DE5" s="242"/>
      <c r="DF5" s="242"/>
      <c r="DG5" s="242"/>
      <c r="DH5" s="242"/>
      <c r="DI5" s="242"/>
      <c r="DJ5" s="242"/>
      <c r="DK5" s="242"/>
      <c r="DL5" s="242"/>
      <c r="DM5" s="242"/>
      <c r="DN5" s="242"/>
      <c r="DO5" s="242"/>
      <c r="DP5" s="242"/>
      <c r="DQ5" s="242"/>
      <c r="DR5" s="242"/>
      <c r="DS5" s="242"/>
      <c r="DT5" s="243"/>
      <c r="DU5" s="243"/>
      <c r="DV5" s="243"/>
      <c r="DW5" s="243"/>
      <c r="DX5" s="243"/>
      <c r="DY5" s="243"/>
      <c r="DZ5" s="243"/>
      <c r="EA5" s="243"/>
    </row>
    <row r="6" spans="1:133" ht="14" x14ac:dyDescent="0.25">
      <c r="A6" s="231"/>
      <c r="B6" s="262" t="s">
        <v>155</v>
      </c>
      <c r="C6" s="263" t="s">
        <v>156</v>
      </c>
      <c r="D6" s="262" t="s">
        <v>157</v>
      </c>
      <c r="E6" s="652" t="s">
        <v>158</v>
      </c>
      <c r="F6" s="653"/>
      <c r="G6" s="654"/>
      <c r="H6" s="264"/>
      <c r="I6" s="264"/>
      <c r="J6" s="264"/>
      <c r="K6" s="264"/>
      <c r="N6" s="264"/>
      <c r="O6" s="264"/>
      <c r="P6" s="264"/>
      <c r="Q6" s="264"/>
      <c r="R6" s="264"/>
      <c r="S6" s="264"/>
      <c r="T6" s="264"/>
      <c r="U6" s="264"/>
      <c r="V6" s="264"/>
      <c r="W6" s="264"/>
      <c r="X6" s="264"/>
      <c r="Y6" s="264"/>
      <c r="Z6" s="264"/>
      <c r="AA6" s="264"/>
      <c r="AB6" s="231"/>
      <c r="AE6" s="231"/>
      <c r="AF6" s="231"/>
      <c r="AG6" s="231"/>
      <c r="AH6" s="231"/>
      <c r="AI6" s="231"/>
      <c r="AJ6" s="231"/>
      <c r="AK6" s="231"/>
      <c r="AL6" s="231"/>
      <c r="AM6" s="231"/>
      <c r="AN6" s="231"/>
      <c r="AO6" s="231"/>
      <c r="AP6" s="231"/>
      <c r="AQ6" s="231"/>
      <c r="AR6" s="231"/>
      <c r="AS6" s="231"/>
      <c r="AT6" s="231"/>
      <c r="AU6" s="231"/>
      <c r="AV6" s="231"/>
      <c r="AW6" s="231"/>
      <c r="AX6" s="231"/>
      <c r="AY6" s="231"/>
      <c r="AZ6" s="231"/>
      <c r="BA6" s="231"/>
      <c r="BB6" s="231"/>
      <c r="BC6" s="231"/>
      <c r="BD6" s="231"/>
      <c r="BE6" s="235"/>
      <c r="BF6" s="236"/>
      <c r="BH6" s="237"/>
      <c r="BI6" s="237"/>
      <c r="BJ6" s="238"/>
      <c r="BK6" s="238"/>
      <c r="BL6" s="238"/>
      <c r="BM6" s="237"/>
      <c r="BN6" s="237"/>
      <c r="BO6" s="237"/>
      <c r="BP6" s="237"/>
      <c r="BQ6" s="237"/>
      <c r="BR6" s="237"/>
      <c r="BS6" s="237"/>
      <c r="BT6" s="237"/>
      <c r="BU6" s="237"/>
      <c r="BV6" s="237"/>
      <c r="BW6" s="237"/>
      <c r="BX6" s="237"/>
      <c r="BY6" s="239"/>
      <c r="BZ6" s="237"/>
      <c r="CA6" s="237"/>
      <c r="CB6" s="239"/>
      <c r="CC6" s="239"/>
      <c r="CD6" s="239"/>
      <c r="CE6" s="239"/>
      <c r="CF6" s="237"/>
      <c r="CG6" s="237"/>
      <c r="CH6" s="239"/>
      <c r="CI6" s="239"/>
      <c r="CJ6" s="239"/>
      <c r="CK6" s="240"/>
      <c r="CL6" s="241"/>
      <c r="CM6" s="241"/>
      <c r="CT6" s="242"/>
      <c r="CU6" s="242"/>
      <c r="CV6" s="242"/>
      <c r="CW6" s="242"/>
      <c r="CX6" s="242"/>
      <c r="CY6" s="242"/>
      <c r="CZ6" s="242"/>
      <c r="DA6" s="242"/>
      <c r="DB6" s="242"/>
      <c r="DC6" s="242"/>
      <c r="DD6" s="242"/>
      <c r="DE6" s="242"/>
      <c r="DF6" s="242"/>
      <c r="DG6" s="242"/>
      <c r="DH6" s="242"/>
      <c r="DI6" s="242"/>
      <c r="DJ6" s="242"/>
      <c r="DK6" s="242"/>
      <c r="DL6" s="242"/>
      <c r="DM6" s="242"/>
      <c r="DN6" s="242"/>
      <c r="DO6" s="242"/>
      <c r="DP6" s="242"/>
      <c r="DQ6" s="242"/>
      <c r="DR6" s="242"/>
      <c r="DS6" s="242"/>
      <c r="DT6" s="243"/>
      <c r="DU6" s="243"/>
      <c r="DV6" s="243"/>
      <c r="DW6" s="243"/>
      <c r="DX6" s="243"/>
      <c r="DY6" s="243"/>
      <c r="DZ6" s="243"/>
      <c r="EA6" s="243"/>
    </row>
    <row r="7" spans="1:133" ht="14" x14ac:dyDescent="0.25">
      <c r="A7" s="231"/>
      <c r="B7" s="262" t="s">
        <v>159</v>
      </c>
      <c r="C7" s="263" t="s">
        <v>160</v>
      </c>
      <c r="D7" s="262" t="s">
        <v>161</v>
      </c>
      <c r="E7" s="652" t="s">
        <v>162</v>
      </c>
      <c r="F7" s="653"/>
      <c r="G7" s="654"/>
      <c r="H7" s="264"/>
      <c r="I7" s="264"/>
      <c r="J7" s="264"/>
      <c r="K7" s="264"/>
      <c r="N7" s="264"/>
      <c r="O7" s="264"/>
      <c r="P7" s="264"/>
      <c r="Q7" s="264"/>
      <c r="R7" s="264"/>
      <c r="S7" s="264"/>
      <c r="T7" s="264"/>
      <c r="U7" s="264"/>
      <c r="V7" s="264"/>
      <c r="W7" s="264"/>
      <c r="X7" s="264"/>
      <c r="Y7" s="264"/>
      <c r="Z7" s="264"/>
      <c r="AA7" s="265"/>
      <c r="AB7" s="231"/>
      <c r="AE7" s="231"/>
      <c r="AF7" s="231"/>
      <c r="AG7" s="231"/>
      <c r="AH7" s="231"/>
      <c r="AI7" s="231"/>
      <c r="AJ7" s="231"/>
      <c r="AK7" s="231"/>
      <c r="AL7" s="231"/>
      <c r="AM7" s="231"/>
      <c r="AN7" s="231"/>
      <c r="AO7" s="231"/>
      <c r="AP7" s="231"/>
      <c r="AQ7" s="231"/>
      <c r="AR7" s="231"/>
      <c r="AS7" s="231"/>
      <c r="AT7" s="231"/>
      <c r="AU7" s="231"/>
      <c r="AV7" s="231"/>
      <c r="AW7" s="231"/>
      <c r="AX7" s="231"/>
      <c r="AY7" s="231"/>
      <c r="AZ7" s="231"/>
      <c r="BA7" s="231"/>
      <c r="BB7" s="231"/>
      <c r="BC7" s="231"/>
      <c r="BD7" s="231"/>
      <c r="BE7" s="235"/>
      <c r="BF7" s="236"/>
      <c r="BH7" s="237"/>
      <c r="BI7" s="237"/>
      <c r="BJ7" s="238"/>
      <c r="BK7" s="238"/>
      <c r="BL7" s="238"/>
      <c r="BM7" s="237"/>
      <c r="BN7" s="237"/>
      <c r="BO7" s="237"/>
      <c r="BP7" s="237"/>
      <c r="BQ7" s="237"/>
      <c r="BR7" s="237"/>
      <c r="BS7" s="237"/>
      <c r="BT7" s="237"/>
      <c r="BU7" s="237"/>
      <c r="BV7" s="237"/>
      <c r="BW7" s="237"/>
      <c r="BX7" s="237"/>
      <c r="BY7" s="239"/>
      <c r="BZ7" s="237"/>
      <c r="CA7" s="237"/>
      <c r="CB7" s="239"/>
      <c r="CC7" s="239"/>
      <c r="CD7" s="239"/>
      <c r="CE7" s="239"/>
      <c r="CF7" s="237"/>
      <c r="CG7" s="237"/>
      <c r="CH7" s="239"/>
      <c r="CI7" s="239"/>
      <c r="CJ7" s="239"/>
      <c r="CK7" s="240"/>
      <c r="CL7" s="241"/>
      <c r="CM7" s="241"/>
      <c r="CT7" s="242"/>
      <c r="CU7" s="242"/>
      <c r="CV7" s="242"/>
      <c r="CW7" s="242"/>
      <c r="CX7" s="242"/>
      <c r="CY7" s="242"/>
      <c r="CZ7" s="242"/>
      <c r="DA7" s="242"/>
      <c r="DB7" s="242"/>
      <c r="DC7" s="242"/>
      <c r="DD7" s="242"/>
      <c r="DE7" s="242"/>
      <c r="DF7" s="242"/>
      <c r="DG7" s="242"/>
      <c r="DH7" s="242"/>
      <c r="DI7" s="242"/>
      <c r="DJ7" s="242"/>
      <c r="DK7" s="242"/>
      <c r="DL7" s="242"/>
      <c r="DM7" s="242"/>
      <c r="DN7" s="242"/>
      <c r="DO7" s="242"/>
      <c r="DP7" s="242"/>
      <c r="DQ7" s="242"/>
      <c r="DR7" s="242"/>
      <c r="DS7" s="242"/>
      <c r="DT7" s="243"/>
      <c r="DU7" s="243"/>
      <c r="DV7" s="243"/>
      <c r="DW7" s="243"/>
      <c r="DX7" s="243"/>
      <c r="DY7" s="243"/>
      <c r="DZ7" s="243"/>
      <c r="EA7" s="243"/>
    </row>
    <row r="8" spans="1:133" ht="14" x14ac:dyDescent="0.25">
      <c r="A8" s="231"/>
      <c r="B8" s="262" t="s">
        <v>163</v>
      </c>
      <c r="C8" s="263" t="s">
        <v>164</v>
      </c>
      <c r="D8" s="262" t="s">
        <v>165</v>
      </c>
      <c r="E8" s="652">
        <v>3183774585</v>
      </c>
      <c r="F8" s="653"/>
      <c r="G8" s="654"/>
      <c r="H8" s="264"/>
      <c r="I8" s="264"/>
      <c r="J8" s="264"/>
      <c r="K8" s="264"/>
      <c r="N8" s="264"/>
      <c r="O8" s="264"/>
      <c r="P8" s="264"/>
      <c r="Q8" s="264"/>
      <c r="R8" s="264"/>
      <c r="S8" s="264"/>
      <c r="T8" s="264"/>
      <c r="U8" s="264"/>
      <c r="V8" s="264"/>
      <c r="W8" s="264"/>
      <c r="X8" s="264"/>
      <c r="Y8" s="264"/>
      <c r="Z8" s="264"/>
      <c r="AA8" s="265"/>
      <c r="AB8" s="231"/>
      <c r="AE8" s="231"/>
      <c r="AF8" s="231"/>
      <c r="AG8" s="231"/>
      <c r="AH8" s="231"/>
      <c r="AI8" s="231"/>
      <c r="AJ8" s="231"/>
      <c r="AK8" s="231"/>
      <c r="AL8" s="231"/>
      <c r="AM8" s="231"/>
      <c r="AN8" s="231"/>
      <c r="AO8" s="231"/>
      <c r="AP8" s="231"/>
      <c r="AQ8" s="231"/>
      <c r="AR8" s="231"/>
      <c r="AS8" s="231"/>
      <c r="AT8" s="231"/>
      <c r="AU8" s="231"/>
      <c r="AV8" s="231"/>
      <c r="AW8" s="231"/>
      <c r="AX8" s="231"/>
      <c r="AY8" s="231"/>
      <c r="AZ8" s="231"/>
      <c r="BA8" s="231"/>
      <c r="BB8" s="231"/>
      <c r="BC8" s="231"/>
      <c r="BD8" s="231"/>
      <c r="BE8" s="235"/>
      <c r="BF8" s="236"/>
      <c r="BH8" s="237"/>
      <c r="BI8" s="237"/>
      <c r="BJ8" s="238"/>
      <c r="BK8" s="238"/>
      <c r="BL8" s="238"/>
      <c r="BM8" s="237"/>
      <c r="BN8" s="237"/>
      <c r="BO8" s="237"/>
      <c r="BP8" s="237"/>
      <c r="BQ8" s="237"/>
      <c r="BR8" s="237"/>
      <c r="BS8" s="237"/>
      <c r="BT8" s="237"/>
      <c r="BU8" s="237"/>
      <c r="BV8" s="237"/>
      <c r="BW8" s="237"/>
      <c r="BX8" s="237"/>
      <c r="BY8" s="239"/>
      <c r="BZ8" s="237"/>
      <c r="CA8" s="237"/>
      <c r="CB8" s="239"/>
      <c r="CC8" s="239"/>
      <c r="CD8" s="239"/>
      <c r="CE8" s="239"/>
      <c r="CF8" s="237"/>
      <c r="CG8" s="237"/>
      <c r="CH8" s="239"/>
      <c r="CI8" s="239"/>
      <c r="CJ8" s="239"/>
      <c r="CK8" s="240"/>
      <c r="CL8" s="241"/>
      <c r="CM8" s="241"/>
      <c r="CT8" s="242"/>
      <c r="CU8" s="242"/>
      <c r="CV8" s="242"/>
      <c r="CW8" s="242"/>
      <c r="CX8" s="242"/>
      <c r="CY8" s="242"/>
      <c r="CZ8" s="242"/>
      <c r="DA8" s="242"/>
      <c r="DB8" s="242"/>
      <c r="DC8" s="242"/>
      <c r="DD8" s="242"/>
      <c r="DE8" s="242"/>
      <c r="DF8" s="242"/>
      <c r="DG8" s="242"/>
      <c r="DH8" s="242"/>
      <c r="DI8" s="242"/>
      <c r="DJ8" s="242"/>
      <c r="DK8" s="242"/>
      <c r="DL8" s="242"/>
      <c r="DM8" s="242"/>
      <c r="DN8" s="242"/>
      <c r="DO8" s="242"/>
      <c r="DP8" s="242"/>
      <c r="DQ8" s="242"/>
      <c r="DR8" s="242"/>
      <c r="DS8" s="242"/>
      <c r="DT8" s="243"/>
      <c r="DU8" s="243"/>
      <c r="DV8" s="243"/>
      <c r="DW8" s="243"/>
      <c r="DX8" s="243"/>
      <c r="DY8" s="243"/>
      <c r="DZ8" s="243"/>
      <c r="EA8" s="243"/>
    </row>
    <row r="9" spans="1:133" ht="14" x14ac:dyDescent="0.25">
      <c r="A9" s="231"/>
      <c r="B9" s="262" t="s">
        <v>166</v>
      </c>
      <c r="C9" s="263" t="s">
        <v>167</v>
      </c>
      <c r="D9" s="262" t="s">
        <v>168</v>
      </c>
      <c r="E9" s="652">
        <v>2019</v>
      </c>
      <c r="F9" s="653"/>
      <c r="G9" s="654"/>
      <c r="H9" s="264"/>
      <c r="I9" s="264"/>
      <c r="J9" s="264"/>
      <c r="K9" s="264"/>
      <c r="N9" s="264"/>
      <c r="O9" s="264"/>
      <c r="P9" s="264"/>
      <c r="Q9" s="264"/>
      <c r="R9" s="264"/>
      <c r="S9" s="264"/>
      <c r="T9" s="264"/>
      <c r="U9" s="264"/>
      <c r="V9" s="264"/>
      <c r="W9" s="264"/>
      <c r="X9" s="264"/>
      <c r="Y9" s="264"/>
      <c r="Z9" s="264"/>
      <c r="AA9" s="265"/>
      <c r="AB9" s="231"/>
      <c r="AE9" s="231"/>
      <c r="AF9" s="231"/>
      <c r="AG9" s="231"/>
      <c r="AH9" s="231"/>
      <c r="AI9" s="231"/>
      <c r="AJ9" s="231"/>
      <c r="AK9" s="231"/>
      <c r="AL9" s="231"/>
      <c r="AM9" s="231"/>
      <c r="AN9" s="231"/>
      <c r="AO9" s="231"/>
      <c r="AP9" s="231"/>
      <c r="AQ9" s="231"/>
      <c r="AR9" s="231"/>
      <c r="AS9" s="231"/>
      <c r="AT9" s="231"/>
      <c r="AU9" s="231"/>
      <c r="AV9" s="231"/>
      <c r="AW9" s="231"/>
      <c r="AX9" s="231"/>
      <c r="AY9" s="231"/>
      <c r="AZ9" s="231"/>
      <c r="BA9" s="231"/>
      <c r="BB9" s="231"/>
      <c r="BC9" s="231"/>
      <c r="BD9" s="231"/>
      <c r="BE9" s="235"/>
      <c r="BF9" s="236"/>
      <c r="BH9" s="237"/>
      <c r="BI9" s="237"/>
      <c r="BJ9" s="238"/>
      <c r="BK9" s="238"/>
      <c r="BL9" s="238"/>
      <c r="BM9" s="237"/>
      <c r="BN9" s="237"/>
      <c r="BO9" s="237"/>
      <c r="BP9" s="237"/>
      <c r="BQ9" s="237"/>
      <c r="BR9" s="237"/>
      <c r="BS9" s="237"/>
      <c r="BT9" s="237"/>
      <c r="BU9" s="237"/>
      <c r="BV9" s="237"/>
      <c r="BW9" s="237"/>
      <c r="BX9" s="237"/>
      <c r="BY9" s="239"/>
      <c r="BZ9" s="237"/>
      <c r="CA9" s="237"/>
      <c r="CB9" s="239"/>
      <c r="CC9" s="239"/>
      <c r="CD9" s="239"/>
      <c r="CE9" s="239"/>
      <c r="CF9" s="237"/>
      <c r="CG9" s="237"/>
      <c r="CH9" s="239"/>
      <c r="CI9" s="239"/>
      <c r="CJ9" s="239"/>
      <c r="CK9" s="240"/>
      <c r="CL9" s="241"/>
      <c r="CM9" s="241"/>
      <c r="CT9" s="242"/>
      <c r="CU9" s="242"/>
      <c r="CV9" s="242"/>
      <c r="CW9" s="242"/>
      <c r="CX9" s="242"/>
      <c r="CY9" s="242"/>
      <c r="CZ9" s="242"/>
      <c r="DA9" s="242"/>
      <c r="DB9" s="242"/>
      <c r="DC9" s="242"/>
      <c r="DD9" s="242"/>
      <c r="DE9" s="242"/>
      <c r="DF9" s="242"/>
      <c r="DG9" s="242"/>
      <c r="DH9" s="242"/>
      <c r="DI9" s="242"/>
      <c r="DJ9" s="242"/>
      <c r="DK9" s="242"/>
      <c r="DL9" s="242"/>
      <c r="DM9" s="242"/>
      <c r="DN9" s="242"/>
      <c r="DO9" s="242"/>
      <c r="DP9" s="242"/>
      <c r="DQ9" s="242"/>
      <c r="DR9" s="242"/>
      <c r="DS9" s="242"/>
      <c r="DT9" s="243"/>
      <c r="DU9" s="243"/>
      <c r="DV9" s="243"/>
      <c r="DW9" s="243"/>
      <c r="DX9" s="243"/>
      <c r="DY9" s="243"/>
      <c r="DZ9" s="243"/>
      <c r="EA9" s="243"/>
    </row>
    <row r="10" spans="1:133" ht="14" x14ac:dyDescent="0.25">
      <c r="A10" s="231"/>
      <c r="B10" s="262" t="s">
        <v>169</v>
      </c>
      <c r="C10" s="266" t="s">
        <v>170</v>
      </c>
      <c r="D10" s="262" t="s">
        <v>171</v>
      </c>
      <c r="E10" s="655" t="s">
        <v>848</v>
      </c>
      <c r="F10" s="656"/>
      <c r="G10" s="657"/>
      <c r="H10" s="267"/>
      <c r="I10" s="267"/>
      <c r="J10" s="267"/>
      <c r="K10" s="267"/>
      <c r="N10" s="264"/>
      <c r="O10" s="264"/>
      <c r="P10" s="264"/>
      <c r="Q10" s="264"/>
      <c r="R10" s="264"/>
      <c r="S10" s="264"/>
      <c r="T10" s="264"/>
      <c r="U10" s="264"/>
      <c r="V10" s="264"/>
      <c r="W10" s="264"/>
      <c r="X10" s="264"/>
      <c r="Y10" s="264"/>
      <c r="Z10" s="264"/>
      <c r="AA10" s="265"/>
      <c r="AB10" s="231"/>
      <c r="AE10" s="231"/>
      <c r="AF10" s="231"/>
      <c r="AG10" s="231"/>
      <c r="AH10" s="231"/>
      <c r="AI10" s="231"/>
      <c r="AJ10" s="231"/>
      <c r="AK10" s="231"/>
      <c r="AL10" s="231"/>
      <c r="AM10" s="231"/>
      <c r="AN10" s="231"/>
      <c r="AO10" s="231"/>
      <c r="AP10" s="231"/>
      <c r="AQ10" s="231"/>
      <c r="AR10" s="231"/>
      <c r="AS10" s="231"/>
      <c r="AT10" s="231"/>
      <c r="AU10" s="231"/>
      <c r="AV10" s="231"/>
      <c r="AW10" s="231"/>
      <c r="AX10" s="231"/>
      <c r="AY10" s="231"/>
      <c r="AZ10" s="231"/>
      <c r="BA10" s="231"/>
      <c r="BB10" s="231"/>
      <c r="BC10" s="231"/>
      <c r="BD10" s="231"/>
      <c r="BE10" s="235"/>
      <c r="BF10" s="236"/>
      <c r="BH10" s="237"/>
      <c r="BI10" s="237"/>
      <c r="BJ10" s="238"/>
      <c r="BK10" s="238"/>
      <c r="BL10" s="238"/>
      <c r="BM10" s="268"/>
      <c r="BN10" s="268"/>
      <c r="BO10" s="268"/>
      <c r="BP10" s="268"/>
      <c r="BQ10" s="268"/>
      <c r="BR10" s="268"/>
      <c r="BS10" s="237"/>
      <c r="BT10" s="268"/>
      <c r="BU10" s="268"/>
      <c r="BV10" s="237"/>
      <c r="BW10" s="237"/>
      <c r="BX10" s="237"/>
      <c r="BY10" s="239"/>
      <c r="BZ10" s="268"/>
      <c r="CA10" s="268"/>
      <c r="CB10" s="239"/>
      <c r="CC10" s="239"/>
      <c r="CD10" s="239"/>
      <c r="CE10" s="239"/>
      <c r="CF10" s="268"/>
      <c r="CG10" s="268"/>
      <c r="CH10" s="239"/>
      <c r="CI10" s="239"/>
      <c r="CJ10" s="239"/>
      <c r="CK10" s="240"/>
      <c r="CL10" s="241"/>
      <c r="CM10" s="241"/>
      <c r="CT10" s="242"/>
      <c r="CU10" s="242"/>
      <c r="CV10" s="242"/>
      <c r="CW10" s="242"/>
      <c r="CX10" s="242"/>
      <c r="CY10" s="242"/>
      <c r="CZ10" s="242"/>
      <c r="DA10" s="242"/>
      <c r="DB10" s="242"/>
      <c r="DC10" s="242"/>
      <c r="DD10" s="242"/>
      <c r="DE10" s="242"/>
      <c r="DF10" s="242"/>
      <c r="DG10" s="242"/>
      <c r="DH10" s="242"/>
      <c r="DI10" s="242"/>
      <c r="DJ10" s="242"/>
      <c r="DK10" s="242"/>
      <c r="DL10" s="242"/>
      <c r="DM10" s="242"/>
      <c r="DN10" s="242"/>
      <c r="DO10" s="242"/>
      <c r="DP10" s="242"/>
      <c r="DQ10" s="242"/>
      <c r="DR10" s="242"/>
      <c r="DS10" s="242"/>
      <c r="DT10" s="243"/>
      <c r="DU10" s="243"/>
      <c r="DV10" s="243"/>
      <c r="DW10" s="243"/>
      <c r="DX10" s="243"/>
      <c r="DY10" s="243"/>
      <c r="DZ10" s="243"/>
      <c r="EA10" s="243"/>
    </row>
    <row r="11" spans="1:133" s="247" customFormat="1" ht="14.5" thickBot="1" x14ac:dyDescent="0.3">
      <c r="B11" s="269"/>
      <c r="C11" s="270"/>
      <c r="D11" s="270"/>
      <c r="E11" s="271"/>
      <c r="F11" s="271"/>
      <c r="G11" s="271"/>
      <c r="H11" s="271"/>
      <c r="I11" s="271"/>
      <c r="J11" s="271"/>
      <c r="K11" s="271"/>
      <c r="L11" s="271"/>
      <c r="M11" s="271"/>
      <c r="N11" s="271"/>
      <c r="O11" s="271"/>
      <c r="P11" s="271"/>
      <c r="Q11" s="271"/>
      <c r="R11" s="272"/>
      <c r="S11" s="271"/>
      <c r="T11" s="271"/>
      <c r="U11" s="271"/>
      <c r="V11" s="273"/>
      <c r="W11" s="270"/>
      <c r="X11" s="274"/>
      <c r="Y11" s="275"/>
      <c r="Z11" s="276"/>
      <c r="AA11" s="275"/>
      <c r="AB11" s="276"/>
      <c r="AC11" s="277"/>
      <c r="AD11" s="278"/>
      <c r="AE11" s="242"/>
      <c r="AF11" s="236"/>
      <c r="AG11" s="237"/>
      <c r="AH11" s="237"/>
      <c r="AI11" s="237"/>
      <c r="AJ11" s="238"/>
      <c r="AK11" s="238"/>
      <c r="AL11" s="238"/>
      <c r="AM11" s="268"/>
      <c r="AN11" s="268"/>
      <c r="AO11" s="268"/>
      <c r="AP11" s="268"/>
      <c r="AQ11" s="268"/>
      <c r="AR11" s="268"/>
      <c r="AS11" s="237"/>
      <c r="AT11" s="268"/>
      <c r="AU11" s="268"/>
      <c r="AV11" s="237"/>
      <c r="AW11" s="237"/>
      <c r="AX11" s="237"/>
      <c r="AY11" s="239"/>
      <c r="AZ11" s="268"/>
      <c r="BA11" s="268"/>
      <c r="BB11" s="239"/>
      <c r="BC11" s="239"/>
      <c r="BD11" s="239"/>
      <c r="BE11" s="257"/>
      <c r="BF11" s="279"/>
      <c r="BG11" s="279"/>
      <c r="BH11" s="257"/>
      <c r="BI11" s="257"/>
      <c r="BJ11" s="257"/>
      <c r="BK11" s="258"/>
      <c r="BL11" s="235"/>
      <c r="BM11" s="235"/>
      <c r="BN11" s="235"/>
      <c r="BO11" s="235"/>
      <c r="BP11" s="235"/>
      <c r="BQ11" s="235"/>
      <c r="BR11" s="235"/>
      <c r="BS11" s="235"/>
      <c r="BT11" s="235"/>
      <c r="BU11" s="235"/>
      <c r="BV11" s="235"/>
      <c r="BW11" s="235"/>
      <c r="BX11" s="235"/>
      <c r="BY11" s="235"/>
      <c r="BZ11" s="235"/>
      <c r="CA11" s="235"/>
      <c r="CB11" s="235"/>
      <c r="CC11" s="235"/>
      <c r="CD11" s="235"/>
      <c r="CE11" s="235"/>
      <c r="CF11" s="235"/>
      <c r="CG11" s="235"/>
      <c r="CH11" s="235"/>
      <c r="CI11" s="235"/>
      <c r="CJ11" s="235"/>
      <c r="CK11" s="235"/>
      <c r="CL11" s="235"/>
      <c r="CM11" s="235"/>
      <c r="CN11" s="235"/>
      <c r="CO11" s="235"/>
      <c r="CP11" s="235"/>
      <c r="CQ11" s="235"/>
      <c r="CR11" s="235"/>
      <c r="CS11" s="235"/>
      <c r="CT11" s="260"/>
      <c r="CU11" s="260"/>
      <c r="CV11" s="260"/>
      <c r="CW11" s="260"/>
      <c r="CX11" s="260"/>
      <c r="CY11" s="260"/>
      <c r="CZ11" s="260"/>
      <c r="DA11" s="260"/>
    </row>
    <row r="12" spans="1:133" s="236" customFormat="1" ht="14.5" thickBot="1" x14ac:dyDescent="0.3">
      <c r="A12" s="247"/>
      <c r="B12" s="280" t="s">
        <v>849</v>
      </c>
      <c r="C12" s="281"/>
      <c r="D12" s="281"/>
      <c r="E12" s="281"/>
      <c r="F12" s="281"/>
      <c r="G12" s="281"/>
      <c r="H12" s="281"/>
      <c r="I12" s="281"/>
      <c r="J12" s="281"/>
      <c r="K12" s="281"/>
      <c r="L12" s="281"/>
      <c r="M12" s="281"/>
      <c r="N12" s="281"/>
      <c r="O12" s="281"/>
      <c r="P12" s="281"/>
      <c r="Q12" s="281"/>
      <c r="R12" s="281"/>
      <c r="S12" s="282"/>
      <c r="T12" s="282"/>
      <c r="U12" s="282"/>
      <c r="V12" s="282"/>
      <c r="W12" s="281"/>
      <c r="X12" s="281"/>
      <c r="Y12" s="281"/>
      <c r="Z12" s="281"/>
      <c r="AA12" s="281"/>
      <c r="AB12" s="281"/>
      <c r="AC12" s="281"/>
      <c r="AD12" s="283"/>
      <c r="AE12" s="242"/>
      <c r="AG12" s="237"/>
      <c r="AH12" s="237"/>
      <c r="AI12" s="237"/>
      <c r="AJ12" s="238"/>
      <c r="AK12" s="238"/>
      <c r="AL12" s="238"/>
      <c r="AM12" s="237"/>
      <c r="AN12" s="237"/>
      <c r="AO12" s="237"/>
      <c r="AP12" s="237"/>
      <c r="AQ12" s="237"/>
      <c r="AR12" s="237"/>
      <c r="AS12" s="237"/>
      <c r="AT12" s="237"/>
      <c r="AU12" s="237"/>
      <c r="AV12" s="237"/>
      <c r="AW12" s="237"/>
      <c r="AX12" s="237"/>
      <c r="AY12" s="239"/>
      <c r="AZ12" s="237"/>
      <c r="BA12" s="237"/>
      <c r="BB12" s="239"/>
      <c r="BC12" s="239"/>
      <c r="BD12" s="239"/>
      <c r="BE12" s="239"/>
      <c r="BF12" s="237"/>
      <c r="BG12" s="237"/>
      <c r="BH12" s="239"/>
      <c r="BI12" s="239"/>
      <c r="BJ12" s="239"/>
      <c r="BK12" s="240"/>
      <c r="BL12" s="242"/>
      <c r="BM12" s="242"/>
      <c r="BN12" s="242"/>
      <c r="BO12" s="242"/>
      <c r="BP12" s="242"/>
      <c r="BQ12" s="242"/>
      <c r="BR12" s="242"/>
      <c r="BS12" s="242"/>
      <c r="BT12" s="242"/>
      <c r="BU12" s="242"/>
      <c r="BV12" s="242"/>
      <c r="BW12" s="242"/>
      <c r="BX12" s="242"/>
      <c r="BY12" s="242"/>
      <c r="BZ12" s="242"/>
      <c r="CA12" s="242"/>
      <c r="CB12" s="242"/>
      <c r="CC12" s="242"/>
      <c r="CD12" s="242"/>
      <c r="CE12" s="242"/>
      <c r="CF12" s="242"/>
      <c r="CG12" s="242"/>
      <c r="CH12" s="242"/>
      <c r="CI12" s="242"/>
      <c r="CJ12" s="242"/>
      <c r="CK12" s="242"/>
      <c r="CL12" s="242"/>
      <c r="CM12" s="242"/>
      <c r="CN12" s="242"/>
      <c r="CO12" s="242"/>
      <c r="CP12" s="242"/>
      <c r="CQ12" s="242"/>
      <c r="CR12" s="242"/>
      <c r="CS12" s="242"/>
      <c r="CT12" s="243"/>
      <c r="CU12" s="243"/>
      <c r="CV12" s="243"/>
      <c r="CW12" s="243"/>
      <c r="CX12" s="243"/>
      <c r="CY12" s="243"/>
      <c r="CZ12" s="243"/>
      <c r="DA12" s="243"/>
    </row>
    <row r="13" spans="1:133" s="286" customFormat="1" ht="15" customHeight="1" thickBot="1" x14ac:dyDescent="0.3">
      <c r="A13" s="284"/>
      <c r="B13" s="625" t="s">
        <v>173</v>
      </c>
      <c r="C13" s="626"/>
      <c r="D13" s="626"/>
      <c r="E13" s="626"/>
      <c r="F13" s="626"/>
      <c r="G13" s="626"/>
      <c r="H13" s="626"/>
      <c r="I13" s="626"/>
      <c r="J13" s="626"/>
      <c r="K13" s="626"/>
      <c r="L13" s="626"/>
      <c r="M13" s="626"/>
      <c r="N13" s="626"/>
      <c r="O13" s="626"/>
      <c r="P13" s="626"/>
      <c r="Q13" s="626"/>
      <c r="R13" s="626"/>
      <c r="S13" s="626"/>
      <c r="T13" s="626"/>
      <c r="U13" s="626"/>
      <c r="V13" s="626"/>
      <c r="W13" s="626"/>
      <c r="X13" s="626"/>
      <c r="Y13" s="626"/>
      <c r="Z13" s="626"/>
      <c r="AA13" s="626"/>
      <c r="AB13" s="626"/>
      <c r="AC13" s="626"/>
      <c r="AD13" s="626"/>
      <c r="AE13" s="285"/>
      <c r="BF13" s="287"/>
      <c r="BG13" s="287"/>
      <c r="BH13" s="288"/>
      <c r="BI13" s="288"/>
      <c r="BJ13" s="288"/>
      <c r="BK13" s="289"/>
      <c r="BL13" s="285"/>
      <c r="BM13" s="285"/>
      <c r="BN13" s="285"/>
      <c r="BO13" s="285"/>
      <c r="BP13" s="285"/>
      <c r="BQ13" s="285"/>
      <c r="BR13" s="285"/>
      <c r="BS13" s="285"/>
      <c r="BT13" s="285"/>
      <c r="BU13" s="285"/>
      <c r="BV13" s="285"/>
      <c r="BW13" s="285"/>
      <c r="BX13" s="285"/>
      <c r="BY13" s="285"/>
      <c r="BZ13" s="285"/>
      <c r="CA13" s="285"/>
      <c r="CB13" s="285"/>
      <c r="CC13" s="285"/>
      <c r="CD13" s="285"/>
      <c r="CE13" s="285"/>
      <c r="CF13" s="285"/>
      <c r="CG13" s="285"/>
      <c r="CH13" s="285"/>
      <c r="CI13" s="285"/>
      <c r="CJ13" s="285"/>
      <c r="CK13" s="285"/>
      <c r="CL13" s="285"/>
      <c r="CM13" s="285"/>
      <c r="CN13" s="285"/>
      <c r="CO13" s="285"/>
      <c r="CP13" s="285"/>
      <c r="CQ13" s="285"/>
      <c r="CR13" s="285"/>
      <c r="CS13" s="285"/>
      <c r="CT13" s="290"/>
      <c r="CU13" s="290"/>
      <c r="CV13" s="290"/>
      <c r="CW13" s="290"/>
      <c r="CX13" s="290"/>
      <c r="CY13" s="290"/>
      <c r="CZ13" s="290"/>
      <c r="DA13" s="290"/>
    </row>
    <row r="14" spans="1:133" s="286" customFormat="1" ht="36" customHeight="1" x14ac:dyDescent="0.25">
      <c r="A14" s="284"/>
      <c r="B14" s="660" t="s">
        <v>261</v>
      </c>
      <c r="C14" s="645" t="s">
        <v>175</v>
      </c>
      <c r="D14" s="642" t="s">
        <v>117</v>
      </c>
      <c r="E14" s="643"/>
      <c r="F14" s="643"/>
      <c r="G14" s="643"/>
      <c r="H14" s="643"/>
      <c r="I14" s="643"/>
      <c r="J14" s="643"/>
      <c r="K14" s="643"/>
      <c r="L14" s="643"/>
      <c r="M14" s="643"/>
      <c r="N14" s="643"/>
      <c r="O14" s="643"/>
      <c r="P14" s="643"/>
      <c r="Q14" s="643"/>
      <c r="R14" s="644"/>
      <c r="S14" s="662" t="s">
        <v>176</v>
      </c>
      <c r="T14" s="662"/>
      <c r="U14" s="662"/>
      <c r="V14" s="662"/>
      <c r="W14" s="642" t="s">
        <v>177</v>
      </c>
      <c r="X14" s="643"/>
      <c r="Y14" s="643"/>
      <c r="Z14" s="643"/>
      <c r="AA14" s="643"/>
      <c r="AB14" s="644"/>
      <c r="AC14" s="645" t="s">
        <v>850</v>
      </c>
      <c r="AD14" s="647" t="s">
        <v>149</v>
      </c>
      <c r="AE14" s="285"/>
      <c r="AG14" s="287"/>
      <c r="AH14" s="287"/>
      <c r="AI14" s="287"/>
      <c r="AJ14" s="287"/>
      <c r="AK14" s="287"/>
      <c r="AL14" s="287"/>
      <c r="AM14" s="287"/>
      <c r="AN14" s="287"/>
      <c r="AO14" s="287"/>
      <c r="AP14" s="287"/>
      <c r="AQ14" s="287"/>
      <c r="AR14" s="287"/>
      <c r="AS14" s="287"/>
      <c r="AT14" s="287"/>
      <c r="AU14" s="287"/>
      <c r="AV14" s="287"/>
      <c r="AW14" s="287"/>
      <c r="AX14" s="287"/>
      <c r="AY14" s="288"/>
      <c r="AZ14" s="287"/>
      <c r="BA14" s="287"/>
      <c r="BB14" s="288"/>
      <c r="BC14" s="288"/>
      <c r="BD14" s="288"/>
      <c r="BE14" s="288"/>
      <c r="BF14" s="287"/>
      <c r="BG14" s="287"/>
      <c r="BH14" s="288"/>
      <c r="BI14" s="288"/>
      <c r="BJ14" s="288"/>
      <c r="BK14" s="289"/>
      <c r="BL14" s="285"/>
      <c r="BM14" s="285"/>
      <c r="BN14" s="285"/>
      <c r="BO14" s="285"/>
      <c r="BP14" s="285"/>
      <c r="BQ14" s="285"/>
      <c r="BR14" s="285"/>
      <c r="BS14" s="285"/>
      <c r="BT14" s="285"/>
      <c r="BU14" s="285"/>
      <c r="BV14" s="285"/>
      <c r="BW14" s="285"/>
      <c r="BX14" s="285"/>
      <c r="BY14" s="285"/>
      <c r="BZ14" s="285"/>
      <c r="CA14" s="285"/>
      <c r="CB14" s="285"/>
      <c r="CC14" s="285"/>
      <c r="CD14" s="285"/>
      <c r="CE14" s="285"/>
      <c r="CF14" s="285"/>
      <c r="CG14" s="285"/>
      <c r="CH14" s="285"/>
      <c r="CI14" s="285"/>
      <c r="CJ14" s="285"/>
      <c r="CK14" s="285"/>
      <c r="CL14" s="285"/>
      <c r="CM14" s="285"/>
      <c r="CN14" s="285"/>
      <c r="CO14" s="285"/>
      <c r="CP14" s="285"/>
      <c r="CQ14" s="285"/>
      <c r="CR14" s="285"/>
      <c r="CS14" s="285"/>
      <c r="CT14" s="290"/>
      <c r="CU14" s="290"/>
      <c r="CV14" s="290"/>
      <c r="CW14" s="290"/>
      <c r="CX14" s="290"/>
      <c r="CY14" s="290"/>
      <c r="CZ14" s="290"/>
      <c r="DA14" s="290"/>
    </row>
    <row r="15" spans="1:133" s="286" customFormat="1" ht="34" customHeight="1" x14ac:dyDescent="0.25">
      <c r="A15" s="284"/>
      <c r="B15" s="661"/>
      <c r="C15" s="646"/>
      <c r="D15" s="291" t="s">
        <v>183</v>
      </c>
      <c r="E15" s="291" t="s">
        <v>184</v>
      </c>
      <c r="F15" s="291" t="s">
        <v>185</v>
      </c>
      <c r="G15" s="291" t="s">
        <v>186</v>
      </c>
      <c r="H15" s="291" t="s">
        <v>187</v>
      </c>
      <c r="I15" s="291" t="s">
        <v>188</v>
      </c>
      <c r="J15" s="291" t="s">
        <v>189</v>
      </c>
      <c r="K15" s="291" t="s">
        <v>190</v>
      </c>
      <c r="L15" s="291" t="s">
        <v>191</v>
      </c>
      <c r="M15" s="291" t="s">
        <v>192</v>
      </c>
      <c r="N15" s="291" t="s">
        <v>193</v>
      </c>
      <c r="O15" s="291" t="s">
        <v>194</v>
      </c>
      <c r="P15" s="291" t="s">
        <v>195</v>
      </c>
      <c r="Q15" s="291" t="s">
        <v>196</v>
      </c>
      <c r="R15" s="291" t="s">
        <v>197</v>
      </c>
      <c r="S15" s="291" t="s">
        <v>198</v>
      </c>
      <c r="T15" s="291" t="s">
        <v>199</v>
      </c>
      <c r="U15" s="291" t="s">
        <v>200</v>
      </c>
      <c r="V15" s="291" t="s">
        <v>176</v>
      </c>
      <c r="W15" s="291" t="s">
        <v>201</v>
      </c>
      <c r="X15" s="291" t="s">
        <v>183</v>
      </c>
      <c r="Y15" s="291" t="s">
        <v>202</v>
      </c>
      <c r="Z15" s="291" t="s">
        <v>851</v>
      </c>
      <c r="AA15" s="291" t="s">
        <v>205</v>
      </c>
      <c r="AB15" s="291" t="s">
        <v>206</v>
      </c>
      <c r="AC15" s="646"/>
      <c r="AD15" s="648"/>
      <c r="AE15" s="285" t="s">
        <v>226</v>
      </c>
      <c r="BF15" s="287"/>
      <c r="BG15" s="287"/>
      <c r="BH15" s="288"/>
      <c r="BI15" s="288"/>
      <c r="BJ15" s="288"/>
      <c r="BK15" s="289"/>
      <c r="BL15" s="285"/>
      <c r="BM15" s="285"/>
      <c r="BN15" s="285"/>
      <c r="BO15" s="285"/>
      <c r="BP15" s="285"/>
      <c r="BQ15" s="285"/>
      <c r="BR15" s="285"/>
      <c r="BS15" s="285"/>
      <c r="BT15" s="285"/>
      <c r="BU15" s="285"/>
      <c r="BV15" s="285"/>
      <c r="BW15" s="285"/>
      <c r="BX15" s="285"/>
      <c r="BY15" s="285"/>
      <c r="BZ15" s="285"/>
      <c r="CA15" s="285"/>
      <c r="CB15" s="285"/>
      <c r="CC15" s="285"/>
      <c r="CD15" s="285"/>
      <c r="CE15" s="285"/>
      <c r="CF15" s="285"/>
      <c r="CG15" s="285"/>
      <c r="CH15" s="285"/>
      <c r="CI15" s="285"/>
      <c r="CJ15" s="285"/>
      <c r="CK15" s="285"/>
      <c r="CL15" s="285"/>
      <c r="CM15" s="285"/>
      <c r="CN15" s="285"/>
      <c r="CO15" s="285"/>
      <c r="CP15" s="285"/>
      <c r="CQ15" s="285"/>
      <c r="CR15" s="285"/>
      <c r="CS15" s="285"/>
      <c r="CT15" s="290"/>
      <c r="CU15" s="290"/>
      <c r="CV15" s="290"/>
      <c r="CW15" s="290"/>
      <c r="CX15" s="290"/>
      <c r="CY15" s="290"/>
      <c r="CZ15" s="290"/>
      <c r="DA15" s="290"/>
    </row>
    <row r="16" spans="1:133" ht="15" customHeight="1" x14ac:dyDescent="0.25">
      <c r="B16" s="635" t="s">
        <v>227</v>
      </c>
      <c r="C16" s="636"/>
      <c r="D16" s="636"/>
      <c r="E16" s="636"/>
      <c r="F16" s="636"/>
      <c r="G16" s="636"/>
      <c r="H16" s="636"/>
      <c r="I16" s="636"/>
      <c r="J16" s="636"/>
      <c r="K16" s="636"/>
      <c r="L16" s="636"/>
      <c r="M16" s="636"/>
      <c r="N16" s="636"/>
      <c r="O16" s="636"/>
      <c r="P16" s="636"/>
      <c r="Q16" s="636"/>
      <c r="R16" s="636"/>
      <c r="S16" s="636"/>
      <c r="T16" s="636"/>
      <c r="U16" s="636"/>
      <c r="V16" s="636"/>
      <c r="W16" s="636"/>
      <c r="X16" s="636"/>
      <c r="Y16" s="636"/>
      <c r="Z16" s="636"/>
      <c r="AA16" s="636"/>
      <c r="AB16" s="636"/>
      <c r="AC16" s="636"/>
      <c r="AD16" s="636"/>
      <c r="AE16" s="285"/>
      <c r="AF16" s="286"/>
      <c r="AG16" s="286"/>
      <c r="AH16" s="286"/>
      <c r="AI16" s="286"/>
      <c r="AJ16" s="286"/>
      <c r="AK16" s="286"/>
      <c r="AL16" s="286"/>
      <c r="AM16" s="286"/>
      <c r="AN16" s="286"/>
      <c r="AO16" s="286"/>
      <c r="AP16" s="286"/>
      <c r="AQ16" s="286"/>
      <c r="AR16" s="286"/>
      <c r="AS16" s="286"/>
      <c r="AT16" s="286"/>
      <c r="AU16" s="286"/>
      <c r="AV16" s="286"/>
      <c r="AW16" s="286"/>
      <c r="AX16" s="286"/>
      <c r="AY16" s="286"/>
      <c r="AZ16" s="286"/>
      <c r="BA16" s="286"/>
      <c r="BB16" s="286"/>
      <c r="BC16" s="286"/>
      <c r="BD16" s="286"/>
      <c r="BE16" s="286"/>
    </row>
    <row r="17" spans="1:105" ht="16" customHeight="1" x14ac:dyDescent="0.25">
      <c r="B17" s="292" t="s">
        <v>852</v>
      </c>
      <c r="C17" s="293" t="s">
        <v>231</v>
      </c>
      <c r="D17" s="294" t="str">
        <f>VLOOKUP($C17,$AF$49:$BJ$76,2,FALSE)</f>
        <v>Gal</v>
      </c>
      <c r="E17" s="295">
        <f>'HC CORPORATIVA-INCERTIDUMBRE'!E18</f>
        <v>1628.4068</v>
      </c>
      <c r="F17" s="295">
        <f>'HC CORPORATIVA-INCERTIDUMBRE'!F18</f>
        <v>2105.9206000000004</v>
      </c>
      <c r="G17" s="295">
        <f>'HC CORPORATIVA-INCERTIDUMBRE'!G18</f>
        <v>2101.0396999999998</v>
      </c>
      <c r="H17" s="295">
        <f>'HC CORPORATIVA-INCERTIDUMBRE'!H18</f>
        <v>1442.8367000000001</v>
      </c>
      <c r="I17" s="295">
        <f>'HC CORPORATIVA-INCERTIDUMBRE'!I18</f>
        <v>1763.9431999999995</v>
      </c>
      <c r="J17" s="295">
        <f>'HC CORPORATIVA-INCERTIDUMBRE'!J18</f>
        <v>1912.4440999999993</v>
      </c>
      <c r="K17" s="295">
        <f>'HC CORPORATIVA-INCERTIDUMBRE'!K18</f>
        <v>1656.4521999999999</v>
      </c>
      <c r="L17" s="295">
        <f>'HC CORPORATIVA-INCERTIDUMBRE'!L18</f>
        <v>1688.1482000000003</v>
      </c>
      <c r="M17" s="295">
        <f>'HC CORPORATIVA-INCERTIDUMBRE'!M18</f>
        <v>1726.8260999999998</v>
      </c>
      <c r="N17" s="295">
        <f>'HC CORPORATIVA-INCERTIDUMBRE'!N18</f>
        <v>1749.4357000000005</v>
      </c>
      <c r="O17" s="295">
        <f>'HC CORPORATIVA-INCERTIDUMBRE'!O18</f>
        <v>1795.3401999999999</v>
      </c>
      <c r="P17" s="295">
        <f>'HC CORPORATIVA-INCERTIDUMBRE'!P18</f>
        <v>1610.8805000000004</v>
      </c>
      <c r="Q17" s="296">
        <f>SUM(E17:P17)</f>
        <v>21181.673999999995</v>
      </c>
      <c r="R17" s="296">
        <f>COUNT(E17:P17)</f>
        <v>12</v>
      </c>
      <c r="S17" s="296">
        <f>IF(R17&gt;1,AVERAGE(E17:P17),0)</f>
        <v>1765.1394999999995</v>
      </c>
      <c r="T17" s="296">
        <f>IF(R17&gt;1,STDEV(E17:P17),0)</f>
        <v>194.79563689852156</v>
      </c>
      <c r="U17" s="296">
        <f>IF(R17&gt;1,VLOOKUP($R17,$AF$83:$AG$95,2,FALSE),0)</f>
        <v>2.2000000000000002</v>
      </c>
      <c r="V17" s="297">
        <f>IF(R17&gt;1,1-((S17-((T17*U17)/(SQRT(R17))))/S17),VLOOKUP($C17,$AF$49:$BM$124,34,FALSE))</f>
        <v>7.0086157349239953E-2</v>
      </c>
      <c r="W17" s="298">
        <f>VLOOKUP($C17,$AF$49:$BJ$76,3,FALSE)</f>
        <v>6.8822999999999999</v>
      </c>
      <c r="X17" s="299" t="str">
        <f>VLOOKUP($C17,$AF$49:$BJ$76,4,FALSE)</f>
        <v>kg CO2/gal</v>
      </c>
      <c r="Y17" s="297">
        <f>IF($Q17&gt;0,VLOOKUP($C17,$AF$49:$BJ$76,6,FALSE),0)</f>
        <v>2.98E-3</v>
      </c>
      <c r="Z17" s="300">
        <f>($Q17*W17)/1000</f>
        <v>145.77863497019996</v>
      </c>
      <c r="AA17" s="297">
        <f>IF(Z17&gt;0,SQRT(($V17*$V17)+(Y17*Y17)),0)</f>
        <v>7.0149482193259435E-2</v>
      </c>
      <c r="AB17" s="300">
        <f>(Z17*AA17)^2</f>
        <v>104.57712493008286</v>
      </c>
      <c r="AC17" s="301">
        <f>Z17</f>
        <v>145.77863497019996</v>
      </c>
      <c r="AD17" s="302">
        <f t="shared" ref="AD17:AD18" si="0">AA17</f>
        <v>7.0149482193259435E-2</v>
      </c>
      <c r="AE17" s="285">
        <f t="shared" ref="AE17:AE31" si="1">(AC17*AD17)^2</f>
        <v>104.57712493008286</v>
      </c>
      <c r="AF17" s="286"/>
      <c r="AG17" s="286"/>
      <c r="AH17" s="286"/>
      <c r="AI17" s="286"/>
      <c r="AJ17" s="286"/>
      <c r="AK17" s="286"/>
      <c r="AL17" s="286"/>
      <c r="AM17" s="286"/>
      <c r="AN17" s="286"/>
      <c r="AO17" s="286"/>
      <c r="AP17" s="286"/>
      <c r="AQ17" s="286"/>
      <c r="AR17" s="286"/>
      <c r="AS17" s="286"/>
      <c r="AT17" s="286"/>
      <c r="AU17" s="286"/>
      <c r="AV17" s="286"/>
      <c r="AW17" s="286"/>
      <c r="AX17" s="286"/>
      <c r="AY17" s="286"/>
      <c r="AZ17" s="286"/>
      <c r="BA17" s="286"/>
      <c r="BB17" s="286"/>
      <c r="BC17" s="286"/>
      <c r="BD17" s="286"/>
      <c r="BE17" s="286"/>
    </row>
    <row r="18" spans="1:105" ht="15" customHeight="1" x14ac:dyDescent="0.25">
      <c r="B18" s="292" t="s">
        <v>852</v>
      </c>
      <c r="C18" s="293" t="s">
        <v>232</v>
      </c>
      <c r="D18" s="294" t="str">
        <f>VLOOKUP($C18,$AF$49:$BJ$76,2,FALSE)</f>
        <v>Gal</v>
      </c>
      <c r="E18" s="295">
        <f>'HC CORPORATIVA-INCERTIDUMBRE'!E19</f>
        <v>790.1028</v>
      </c>
      <c r="F18" s="295">
        <f>'HC CORPORATIVA-INCERTIDUMBRE'!F19</f>
        <v>971.7615999999997</v>
      </c>
      <c r="G18" s="295">
        <f>'HC CORPORATIVA-INCERTIDUMBRE'!G19</f>
        <v>865.03230000000008</v>
      </c>
      <c r="H18" s="295">
        <f>'HC CORPORATIVA-INCERTIDUMBRE'!H19</f>
        <v>553.44229999999993</v>
      </c>
      <c r="I18" s="295">
        <f>'HC CORPORATIVA-INCERTIDUMBRE'!I19</f>
        <v>596.11580000000004</v>
      </c>
      <c r="J18" s="295">
        <f>'HC CORPORATIVA-INCERTIDUMBRE'!J19</f>
        <v>695.19549999999992</v>
      </c>
      <c r="K18" s="295">
        <f>'HC CORPORATIVA-INCERTIDUMBRE'!K19</f>
        <v>707.60889999999995</v>
      </c>
      <c r="L18" s="295">
        <f>'HC CORPORATIVA-INCERTIDUMBRE'!L19</f>
        <v>695.55969999999991</v>
      </c>
      <c r="M18" s="295">
        <f>'HC CORPORATIVA-INCERTIDUMBRE'!M19</f>
        <v>781.36779999999987</v>
      </c>
      <c r="N18" s="295">
        <f>'HC CORPORATIVA-INCERTIDUMBRE'!N19</f>
        <v>826.54390000000012</v>
      </c>
      <c r="O18" s="295">
        <f>'HC CORPORATIVA-INCERTIDUMBRE'!O19</f>
        <v>738.34720000000004</v>
      </c>
      <c r="P18" s="295">
        <f>'HC CORPORATIVA-INCERTIDUMBRE'!P19</f>
        <v>725.88520000000005</v>
      </c>
      <c r="Q18" s="296">
        <f>SUM(E18:P18)</f>
        <v>8946.9630000000016</v>
      </c>
      <c r="R18" s="296">
        <f>COUNT(E18:P18)</f>
        <v>12</v>
      </c>
      <c r="S18" s="296">
        <f>IF(R18&gt;1,AVERAGE(E18:P18),0)</f>
        <v>745.58025000000009</v>
      </c>
      <c r="T18" s="296">
        <f>IF(R18&gt;1,STDEV(E18:P18),0)</f>
        <v>113.38760621640266</v>
      </c>
      <c r="U18" s="296">
        <f>IF(R18&gt;1,VLOOKUP($R18,$AF$83:$AG$95,2,FALSE),0)</f>
        <v>2.2000000000000002</v>
      </c>
      <c r="V18" s="297">
        <f>IF(R18&gt;1,1-((S18-((T18*U18)/(SQRT(R18))))/S18),VLOOKUP($C18,$AF$49:$BM$124,34,FALSE))</f>
        <v>9.6583568930357466E-2</v>
      </c>
      <c r="W18" s="298">
        <f>VLOOKUP($C18,$AF$49:$BJ$76,3,FALSE)</f>
        <v>5.9200999999999997</v>
      </c>
      <c r="X18" s="299" t="str">
        <f>VLOOKUP($C18,$AF$49:$BJ$76,4,FALSE)</f>
        <v>kg CO2/gal</v>
      </c>
      <c r="Y18" s="297">
        <f>IF($Q18&gt;0,VLOOKUP($C18,$AF$49:$BJ$76,6,FALSE),0)</f>
        <v>3.4799999999999996E-3</v>
      </c>
      <c r="Z18" s="300">
        <f>($Q18*W18)/1000</f>
        <v>52.96691565630001</v>
      </c>
      <c r="AA18" s="297">
        <f>IF(Z18&gt;0,SQRT(($V18*$V18)+(Y18*Y18)),0)</f>
        <v>9.6646242489426937E-2</v>
      </c>
      <c r="AB18" s="300">
        <f>(Z18*AA18)^2</f>
        <v>26.204707450322495</v>
      </c>
      <c r="AC18" s="301">
        <f t="shared" ref="AC18" si="2">Z18</f>
        <v>52.96691565630001</v>
      </c>
      <c r="AD18" s="302">
        <f t="shared" si="0"/>
        <v>9.6646242489426937E-2</v>
      </c>
      <c r="AE18" s="285">
        <f t="shared" si="1"/>
        <v>26.204707450322495</v>
      </c>
      <c r="AF18" s="286"/>
      <c r="AG18" s="286"/>
      <c r="AH18" s="286"/>
      <c r="AI18" s="286"/>
      <c r="AJ18" s="286"/>
      <c r="AK18" s="286"/>
      <c r="AL18" s="286"/>
      <c r="AM18" s="286"/>
      <c r="AN18" s="286"/>
      <c r="AO18" s="286"/>
      <c r="AP18" s="286"/>
      <c r="AQ18" s="286"/>
      <c r="AR18" s="286"/>
      <c r="AS18" s="286"/>
      <c r="AT18" s="286"/>
      <c r="AU18" s="286"/>
      <c r="AV18" s="286"/>
      <c r="AW18" s="286"/>
      <c r="AX18" s="286"/>
      <c r="AY18" s="286"/>
      <c r="AZ18" s="286"/>
      <c r="BA18" s="286"/>
      <c r="BB18" s="286"/>
      <c r="BC18" s="286"/>
      <c r="BD18" s="286"/>
      <c r="BE18" s="286"/>
    </row>
    <row r="19" spans="1:105" s="311" customFormat="1" ht="15" customHeight="1" x14ac:dyDescent="0.3">
      <c r="A19" s="303"/>
      <c r="B19" s="649" t="s">
        <v>233</v>
      </c>
      <c r="C19" s="650"/>
      <c r="D19" s="651"/>
      <c r="E19" s="304"/>
      <c r="F19" s="304"/>
      <c r="G19" s="304"/>
      <c r="H19" s="304"/>
      <c r="I19" s="304"/>
      <c r="J19" s="304"/>
      <c r="K19" s="304"/>
      <c r="L19" s="304"/>
      <c r="M19" s="304"/>
      <c r="N19" s="304"/>
      <c r="O19" s="304"/>
      <c r="P19" s="304"/>
      <c r="Q19" s="304"/>
      <c r="R19" s="304"/>
      <c r="S19" s="304"/>
      <c r="T19" s="304"/>
      <c r="U19" s="304"/>
      <c r="V19" s="304"/>
      <c r="W19" s="304"/>
      <c r="X19" s="304"/>
      <c r="Y19" s="304"/>
      <c r="Z19" s="305">
        <f>Z17+Z18</f>
        <v>198.74555062649998</v>
      </c>
      <c r="AA19" s="306">
        <f>IF(Z19&gt;0,SQRT(SUM(AB17:AB18))/Z19,0)</f>
        <v>5.754085280439937E-2</v>
      </c>
      <c r="AB19" s="305">
        <f>(Z19*AA19)^2</f>
        <v>130.78183238040535</v>
      </c>
      <c r="AC19" s="305">
        <f>Z19</f>
        <v>198.74555062649998</v>
      </c>
      <c r="AD19" s="504">
        <f>IF(AC19&gt;0,SQRT(SUM(AE17:AE18))/AC19,0)</f>
        <v>5.754085280439937E-2</v>
      </c>
      <c r="AE19" s="285"/>
      <c r="AF19" s="286"/>
      <c r="AG19" s="286"/>
      <c r="AH19" s="286"/>
      <c r="AI19" s="286"/>
      <c r="AJ19" s="286"/>
      <c r="AK19" s="286"/>
      <c r="AL19" s="286"/>
      <c r="AM19" s="286"/>
      <c r="AN19" s="286"/>
      <c r="AO19" s="286"/>
      <c r="AP19" s="286"/>
      <c r="AQ19" s="286"/>
      <c r="AR19" s="286"/>
      <c r="AS19" s="286"/>
      <c r="AT19" s="286"/>
      <c r="AU19" s="286"/>
      <c r="AV19" s="286"/>
      <c r="AW19" s="286"/>
      <c r="AX19" s="286"/>
      <c r="AY19" s="286"/>
      <c r="AZ19" s="286"/>
      <c r="BA19" s="286"/>
      <c r="BB19" s="286"/>
      <c r="BC19" s="286"/>
      <c r="BD19" s="286"/>
      <c r="BE19" s="286"/>
      <c r="BF19" s="307"/>
      <c r="BG19" s="307"/>
      <c r="BH19" s="268"/>
      <c r="BI19" s="268"/>
      <c r="BJ19" s="268"/>
      <c r="BK19" s="308"/>
      <c r="BL19" s="309"/>
      <c r="BM19" s="309"/>
      <c r="BN19" s="309"/>
      <c r="BO19" s="309"/>
      <c r="BP19" s="309"/>
      <c r="BQ19" s="309"/>
      <c r="BR19" s="309"/>
      <c r="BS19" s="309"/>
      <c r="BT19" s="309"/>
      <c r="BU19" s="309"/>
      <c r="BV19" s="309"/>
      <c r="BW19" s="309"/>
      <c r="BX19" s="309"/>
      <c r="BY19" s="309"/>
      <c r="BZ19" s="309"/>
      <c r="CA19" s="309"/>
      <c r="CB19" s="309"/>
      <c r="CC19" s="309"/>
      <c r="CD19" s="309"/>
      <c r="CE19" s="309"/>
      <c r="CF19" s="309"/>
      <c r="CG19" s="309"/>
      <c r="CH19" s="309"/>
      <c r="CI19" s="309"/>
      <c r="CJ19" s="309"/>
      <c r="CK19" s="309"/>
      <c r="CL19" s="309"/>
      <c r="CM19" s="309"/>
      <c r="CN19" s="309"/>
      <c r="CO19" s="309"/>
      <c r="CP19" s="309"/>
      <c r="CQ19" s="309"/>
      <c r="CR19" s="309"/>
      <c r="CS19" s="309"/>
      <c r="CT19" s="310"/>
      <c r="CU19" s="310"/>
      <c r="CV19" s="310"/>
      <c r="CW19" s="310"/>
      <c r="CX19" s="310"/>
      <c r="CY19" s="310"/>
      <c r="CZ19" s="310"/>
      <c r="DA19" s="310"/>
    </row>
    <row r="20" spans="1:105" ht="15" customHeight="1" x14ac:dyDescent="0.25">
      <c r="B20" s="635" t="s">
        <v>234</v>
      </c>
      <c r="C20" s="636"/>
      <c r="D20" s="636"/>
      <c r="E20" s="636"/>
      <c r="F20" s="636"/>
      <c r="G20" s="636"/>
      <c r="H20" s="636"/>
      <c r="I20" s="636"/>
      <c r="J20" s="636"/>
      <c r="K20" s="636"/>
      <c r="L20" s="636"/>
      <c r="M20" s="636"/>
      <c r="N20" s="636"/>
      <c r="O20" s="636"/>
      <c r="P20" s="636"/>
      <c r="Q20" s="636"/>
      <c r="R20" s="636"/>
      <c r="S20" s="636"/>
      <c r="T20" s="636"/>
      <c r="U20" s="636"/>
      <c r="V20" s="636"/>
      <c r="W20" s="636"/>
      <c r="X20" s="636"/>
      <c r="Y20" s="636"/>
      <c r="Z20" s="636"/>
      <c r="AA20" s="636"/>
      <c r="AB20" s="636"/>
      <c r="AC20" s="636"/>
      <c r="AD20" s="636"/>
      <c r="AE20" s="285"/>
      <c r="AF20" s="286"/>
      <c r="AG20" s="286"/>
      <c r="AH20" s="286"/>
      <c r="AI20" s="286"/>
      <c r="AJ20" s="286"/>
      <c r="AK20" s="286"/>
      <c r="AL20" s="286"/>
      <c r="AM20" s="286"/>
      <c r="AN20" s="286"/>
      <c r="AO20" s="286"/>
      <c r="AP20" s="286"/>
      <c r="AQ20" s="286"/>
      <c r="AR20" s="286"/>
      <c r="AS20" s="286"/>
      <c r="AT20" s="286"/>
      <c r="AU20" s="286"/>
      <c r="AV20" s="286"/>
      <c r="AW20" s="286"/>
      <c r="AX20" s="286"/>
      <c r="AY20" s="286"/>
      <c r="AZ20" s="286"/>
      <c r="BA20" s="286"/>
      <c r="BB20" s="286"/>
      <c r="BC20" s="286"/>
      <c r="BD20" s="286"/>
      <c r="BE20" s="286"/>
    </row>
    <row r="21" spans="1:105" ht="15" customHeight="1" x14ac:dyDescent="0.25">
      <c r="B21" s="292" t="s">
        <v>852</v>
      </c>
      <c r="C21" s="293" t="s">
        <v>231</v>
      </c>
      <c r="D21" s="294" t="str">
        <f>VLOOKUP($C21,$AF$49:$BJ$76,2,FALSE)</f>
        <v>Gal</v>
      </c>
      <c r="E21" s="295">
        <f>'HC CORPORATIVA-INCERTIDUMBRE'!E24</f>
        <v>140.5</v>
      </c>
      <c r="F21" s="295">
        <f>'HC CORPORATIVA-INCERTIDUMBRE'!F24</f>
        <v>23.180999999999997</v>
      </c>
      <c r="G21" s="295">
        <f>'HC CORPORATIVA-INCERTIDUMBRE'!G24</f>
        <v>49.7</v>
      </c>
      <c r="H21" s="295">
        <f>'HC CORPORATIVA-INCERTIDUMBRE'!H24</f>
        <v>171.5</v>
      </c>
      <c r="I21" s="295">
        <f>'HC CORPORATIVA-INCERTIDUMBRE'!I24</f>
        <v>132.8091</v>
      </c>
      <c r="J21" s="295">
        <f>'HC CORPORATIVA-INCERTIDUMBRE'!J24</f>
        <v>168</v>
      </c>
      <c r="K21" s="295">
        <f>'HC CORPORATIVA-INCERTIDUMBRE'!K24</f>
        <v>136</v>
      </c>
      <c r="L21" s="295">
        <f>'HC CORPORATIVA-INCERTIDUMBRE'!L24</f>
        <v>43.82</v>
      </c>
      <c r="M21" s="295">
        <f>'HC CORPORATIVA-INCERTIDUMBRE'!M24</f>
        <v>193.89</v>
      </c>
      <c r="N21" s="295">
        <f>'HC CORPORATIVA-INCERTIDUMBRE'!N24</f>
        <v>26.051300000000001</v>
      </c>
      <c r="O21" s="295">
        <f>'HC CORPORATIVA-INCERTIDUMBRE'!O24</f>
        <v>317.54310000000004</v>
      </c>
      <c r="P21" s="295">
        <f>'HC CORPORATIVA-INCERTIDUMBRE'!P24</f>
        <v>70.12</v>
      </c>
      <c r="Q21" s="296">
        <f t="shared" ref="Q21:Q23" si="3">SUM(E21:P21)</f>
        <v>1473.1145000000001</v>
      </c>
      <c r="R21" s="296">
        <f t="shared" ref="R21:R23" si="4">COUNT(E21:P21)</f>
        <v>12</v>
      </c>
      <c r="S21" s="296">
        <f>IF(R21&gt;1,AVERAGE(E21:P21),0)</f>
        <v>122.75954166666668</v>
      </c>
      <c r="T21" s="296">
        <f t="shared" ref="T21:T23" si="5">IF(R21&gt;1,STDEV(E21:P21),0)</f>
        <v>86.140463752571605</v>
      </c>
      <c r="U21" s="296">
        <f>IF(R21&gt;1,VLOOKUP($R21,$AF$83:$AG$95,2,FALSE),0)</f>
        <v>2.2000000000000002</v>
      </c>
      <c r="V21" s="297">
        <f>IF(R21&gt;1,1-((S21-((T21*U21)/(SQRT(R21))))/S21),VLOOKUP($C21,$AF$49:$BM$124,34,FALSE))</f>
        <v>0.44563983529508178</v>
      </c>
      <c r="W21" s="298">
        <f>VLOOKUP($C21,$AF$49:$BJ$76,3,FALSE)</f>
        <v>6.8822999999999999</v>
      </c>
      <c r="X21" s="299" t="str">
        <f>VLOOKUP($C21,$AF$49:$BJ$76,4,FALSE)</f>
        <v>kg CO2/gal</v>
      </c>
      <c r="Y21" s="297">
        <f>IF($Q21&gt;0,VLOOKUP($C21,$AF$49:$BJ$76,6,FALSE),0)</f>
        <v>2.98E-3</v>
      </c>
      <c r="Z21" s="300">
        <f>($Q21*W21)/1000</f>
        <v>10.138415923350001</v>
      </c>
      <c r="AA21" s="297">
        <f>IF(Z21&gt;0,SQRT(($V21*$V21)+(Y21*Y21)),0)</f>
        <v>0.44564979883517014</v>
      </c>
      <c r="AB21" s="300">
        <f>(Z21*AA21)^2</f>
        <v>20.413977772831991</v>
      </c>
      <c r="AC21" s="301">
        <f>Z21</f>
        <v>10.138415923350001</v>
      </c>
      <c r="AD21" s="302">
        <f>AA21</f>
        <v>0.44564979883517014</v>
      </c>
      <c r="AE21" s="285">
        <f t="shared" si="1"/>
        <v>20.413977772831991</v>
      </c>
      <c r="AF21" s="286"/>
      <c r="AG21" s="286"/>
      <c r="AH21" s="286"/>
      <c r="AI21" s="286"/>
      <c r="AJ21" s="286"/>
      <c r="AK21" s="286"/>
      <c r="AL21" s="286"/>
      <c r="AM21" s="286"/>
      <c r="AN21" s="286"/>
      <c r="AO21" s="286"/>
      <c r="AP21" s="286"/>
      <c r="AQ21" s="286"/>
      <c r="AR21" s="286"/>
      <c r="AS21" s="286"/>
      <c r="AT21" s="286"/>
      <c r="AU21" s="286"/>
      <c r="AV21" s="286"/>
      <c r="AW21" s="286"/>
      <c r="AX21" s="286"/>
      <c r="AY21" s="286"/>
      <c r="AZ21" s="286"/>
      <c r="BA21" s="286"/>
      <c r="BB21" s="286"/>
      <c r="BC21" s="286"/>
      <c r="BD21" s="286"/>
      <c r="BE21" s="286"/>
    </row>
    <row r="22" spans="1:105" ht="16" customHeight="1" x14ac:dyDescent="0.25">
      <c r="B22" s="292" t="s">
        <v>852</v>
      </c>
      <c r="C22" s="293" t="s">
        <v>232</v>
      </c>
      <c r="D22" s="294" t="str">
        <f>VLOOKUP($C22,$AF$49:$BJ$76,2,FALSE)</f>
        <v>Gal</v>
      </c>
      <c r="E22" s="295">
        <f>'HC CORPORATIVA-INCERTIDUMBRE'!E25</f>
        <v>0.38</v>
      </c>
      <c r="F22" s="295">
        <f>'HC CORPORATIVA-INCERTIDUMBRE'!F25</f>
        <v>0</v>
      </c>
      <c r="G22" s="295">
        <f>'HC CORPORATIVA-INCERTIDUMBRE'!G25</f>
        <v>0.6</v>
      </c>
      <c r="H22" s="295">
        <f>'HC CORPORATIVA-INCERTIDUMBRE'!H25</f>
        <v>1</v>
      </c>
      <c r="I22" s="295">
        <f>'HC CORPORATIVA-INCERTIDUMBRE'!I25</f>
        <v>0.6</v>
      </c>
      <c r="J22" s="295">
        <f>'HC CORPORATIVA-INCERTIDUMBRE'!J25</f>
        <v>0.2</v>
      </c>
      <c r="K22" s="295">
        <f>'HC CORPORATIVA-INCERTIDUMBRE'!K25</f>
        <v>0.6</v>
      </c>
      <c r="L22" s="295">
        <f>'HC CORPORATIVA-INCERTIDUMBRE'!L25</f>
        <v>0.16719999999999999</v>
      </c>
      <c r="M22" s="295">
        <f>'HC CORPORATIVA-INCERTIDUMBRE'!M25</f>
        <v>0</v>
      </c>
      <c r="N22" s="295">
        <f>'HC CORPORATIVA-INCERTIDUMBRE'!N25</f>
        <v>0.2</v>
      </c>
      <c r="O22" s="295">
        <f>'HC CORPORATIVA-INCERTIDUMBRE'!O25</f>
        <v>0</v>
      </c>
      <c r="P22" s="295">
        <f>'HC CORPORATIVA-INCERTIDUMBRE'!P25</f>
        <v>0</v>
      </c>
      <c r="Q22" s="296">
        <f t="shared" si="3"/>
        <v>3.7472000000000003</v>
      </c>
      <c r="R22" s="296">
        <f t="shared" si="4"/>
        <v>12</v>
      </c>
      <c r="S22" s="296">
        <f t="shared" ref="S22:S23" si="6">IF(R22&gt;1,AVERAGE(E22:P22),0)</f>
        <v>0.31226666666666669</v>
      </c>
      <c r="T22" s="296">
        <f t="shared" si="5"/>
        <v>0.32504967266091761</v>
      </c>
      <c r="U22" s="296">
        <f>IF(R22&gt;1,VLOOKUP($R22,$AF$83:$AG$95,2,FALSE),0)</f>
        <v>2.2000000000000002</v>
      </c>
      <c r="V22" s="297">
        <f>IF(R22&gt;1,1-((S22-((T22*U22)/(SQRT(R22))))/S22),VLOOKUP($C22,$AF$49:$BM$124,34,FALSE))</f>
        <v>0.6610832651959605</v>
      </c>
      <c r="W22" s="298">
        <f>VLOOKUP($C22,$AF$49:$BJ$76,3,FALSE)</f>
        <v>5.9200999999999997</v>
      </c>
      <c r="X22" s="299" t="str">
        <f>VLOOKUP($C22,$AF$49:$BJ$76,4,FALSE)</f>
        <v>kg CO2/gal</v>
      </c>
      <c r="Y22" s="297">
        <f>IF($Q22&gt;0,VLOOKUP($C22,$AF$49:$BJ$76,6,FALSE),0)</f>
        <v>3.4799999999999996E-3</v>
      </c>
      <c r="Z22" s="300">
        <f t="shared" ref="Z22" si="7">($Q22*W22)/1000</f>
        <v>2.2183798720000002E-2</v>
      </c>
      <c r="AA22" s="297">
        <f t="shared" ref="AA22:AA23" si="8">IF(Z22&gt;0,SQRT(($V22*$V22)+(Y22*Y22)),0)</f>
        <v>0.66109242464435536</v>
      </c>
      <c r="AB22" s="300">
        <f>(Z22*AA22)^2</f>
        <v>2.1507810114177223E-4</v>
      </c>
      <c r="AC22" s="301">
        <f>Z22</f>
        <v>2.2183798720000002E-2</v>
      </c>
      <c r="AD22" s="302">
        <f t="shared" ref="AD22:AD23" si="9">AA22</f>
        <v>0.66109242464435536</v>
      </c>
      <c r="AE22" s="285">
        <f t="shared" si="1"/>
        <v>2.1507810114177223E-4</v>
      </c>
      <c r="AF22" s="286"/>
      <c r="AG22" s="286"/>
      <c r="AH22" s="286"/>
      <c r="AI22" s="286"/>
      <c r="AJ22" s="286"/>
      <c r="AK22" s="286"/>
      <c r="AL22" s="286"/>
      <c r="AM22" s="286"/>
      <c r="AN22" s="286"/>
      <c r="AO22" s="286"/>
      <c r="AP22" s="286"/>
      <c r="AQ22" s="286"/>
      <c r="AR22" s="286"/>
      <c r="AS22" s="286"/>
      <c r="AT22" s="286"/>
      <c r="AU22" s="286"/>
      <c r="AV22" s="286"/>
      <c r="AW22" s="286"/>
      <c r="AX22" s="286"/>
      <c r="AY22" s="286"/>
      <c r="AZ22" s="286"/>
      <c r="BA22" s="286"/>
      <c r="BB22" s="286"/>
      <c r="BC22" s="286"/>
      <c r="BD22" s="286"/>
      <c r="BE22" s="286"/>
    </row>
    <row r="23" spans="1:105" ht="15" customHeight="1" x14ac:dyDescent="0.25">
      <c r="B23" s="292" t="s">
        <v>853</v>
      </c>
      <c r="C23" s="293" t="s">
        <v>237</v>
      </c>
      <c r="D23" s="294" t="str">
        <f>VLOOKUP($C23,$AF$49:$BJ$76,2,FALSE)</f>
        <v>m3</v>
      </c>
      <c r="E23" s="295">
        <f>'HC CORPORATIVA-INCERTIDUMBRE'!E26</f>
        <v>571342.73339852004</v>
      </c>
      <c r="F23" s="295">
        <f>'HC CORPORATIVA-INCERTIDUMBRE'!F26</f>
        <v>527530.75732426997</v>
      </c>
      <c r="G23" s="295">
        <f>'HC CORPORATIVA-INCERTIDUMBRE'!G26</f>
        <v>500370.2934571199</v>
      </c>
      <c r="H23" s="295">
        <f>'HC CORPORATIVA-INCERTIDUMBRE'!H26</f>
        <v>561691.17529303988</v>
      </c>
      <c r="I23" s="295">
        <f>'HC CORPORATIVA-INCERTIDUMBRE'!I26</f>
        <v>573523.17065436998</v>
      </c>
      <c r="J23" s="295">
        <f>'HC CORPORATIVA-INCERTIDUMBRE'!J26</f>
        <v>611363.34326177987</v>
      </c>
      <c r="K23" s="295">
        <f>'HC CORPORATIVA-INCERTIDUMBRE'!K26</f>
        <v>546728.86328131997</v>
      </c>
      <c r="L23" s="295">
        <f>'HC CORPORATIVA-INCERTIDUMBRE'!L26</f>
        <v>559916.26904306002</v>
      </c>
      <c r="M23" s="295">
        <f>'HC CORPORATIVA-INCERTIDUMBRE'!M26</f>
        <v>363544.47119143006</v>
      </c>
      <c r="N23" s="295">
        <f>'HC CORPORATIVA-INCERTIDUMBRE'!N26</f>
        <v>560890.7290039201</v>
      </c>
      <c r="O23" s="295">
        <f>'HC CORPORATIVA-INCERTIDUMBRE'!O26</f>
        <v>437796.44616703992</v>
      </c>
      <c r="P23" s="295">
        <f>'HC CORPORATIVA-INCERTIDUMBRE'!P26</f>
        <v>543626.44482432981</v>
      </c>
      <c r="Q23" s="296">
        <f t="shared" si="3"/>
        <v>6358324.6969001992</v>
      </c>
      <c r="R23" s="296">
        <f t="shared" si="4"/>
        <v>12</v>
      </c>
      <c r="S23" s="296">
        <f t="shared" si="6"/>
        <v>529860.39140834997</v>
      </c>
      <c r="T23" s="296">
        <f t="shared" si="5"/>
        <v>67846.94577222786</v>
      </c>
      <c r="U23" s="296">
        <f>IF(R23&gt;1,VLOOKUP($R23,$AF$83:$AG$95,2,FALSE),0)</f>
        <v>2.2000000000000002</v>
      </c>
      <c r="V23" s="297">
        <f>IF(R23&gt;1,1-((S23-((T23*U23)/(SQRT(R23))))/S23),VLOOKUP($C23,$AF$49:$BM$124,34,FALSE))</f>
        <v>8.1320661714854192E-2</v>
      </c>
      <c r="W23" s="298">
        <f>VLOOKUP($C23,$AF$49:$BJ$76,3,FALSE)</f>
        <v>1.8560000000000001</v>
      </c>
      <c r="X23" s="299" t="str">
        <f>VLOOKUP($C23,$AF$49:$BJ$76,4,FALSE)</f>
        <v>kg CO2/m3</v>
      </c>
      <c r="Y23" s="297">
        <f>IF($Q23&gt;0,VLOOKUP($C23,$AF$49:$BJ$76,6,FALSE),0)</f>
        <v>8.8870000000000005E-2</v>
      </c>
      <c r="Z23" s="300">
        <f>($Q23*W23)/1000</f>
        <v>11801.05063744677</v>
      </c>
      <c r="AA23" s="297">
        <f t="shared" si="8"/>
        <v>0.1204613088163239</v>
      </c>
      <c r="AB23" s="300">
        <f>(Z23*AA23)^2</f>
        <v>2020861.2796688369</v>
      </c>
      <c r="AC23" s="301">
        <f>Z23</f>
        <v>11801.05063744677</v>
      </c>
      <c r="AD23" s="302">
        <f t="shared" si="9"/>
        <v>0.1204613088163239</v>
      </c>
      <c r="AE23" s="242">
        <f t="shared" si="1"/>
        <v>2020861.2796688369</v>
      </c>
    </row>
    <row r="24" spans="1:105" s="311" customFormat="1" ht="14.5" customHeight="1" x14ac:dyDescent="0.3">
      <c r="A24" s="303"/>
      <c r="B24" s="312" t="s">
        <v>233</v>
      </c>
      <c r="C24" s="304"/>
      <c r="D24" s="304"/>
      <c r="E24" s="304"/>
      <c r="F24" s="304"/>
      <c r="G24" s="304"/>
      <c r="H24" s="304"/>
      <c r="I24" s="304"/>
      <c r="J24" s="304"/>
      <c r="K24" s="304"/>
      <c r="L24" s="304"/>
      <c r="M24" s="304"/>
      <c r="N24" s="304"/>
      <c r="O24" s="304"/>
      <c r="P24" s="304"/>
      <c r="Q24" s="313"/>
      <c r="R24" s="313"/>
      <c r="S24" s="313"/>
      <c r="T24" s="313"/>
      <c r="U24" s="313"/>
      <c r="V24" s="314"/>
      <c r="W24" s="315"/>
      <c r="X24" s="316"/>
      <c r="Y24" s="314"/>
      <c r="Z24" s="305">
        <f>Z23+Z22+Z21</f>
        <v>11811.211237168838</v>
      </c>
      <c r="AA24" s="306">
        <f>IF(Z24&gt;0,SQRT(SUM(AB21:AB23))/Z24,0)</f>
        <v>0.1203582898306199</v>
      </c>
      <c r="AB24" s="305">
        <f>(Z24*AA24)^2</f>
        <v>2020881.6938616878</v>
      </c>
      <c r="AC24" s="305">
        <f>Z24</f>
        <v>11811.211237168838</v>
      </c>
      <c r="AD24" s="504">
        <f>IF(AC24&gt;0,SQRT(SUM(AE21:AE23))/AC24,0)</f>
        <v>0.1203582898306199</v>
      </c>
      <c r="AE24" s="309">
        <f t="shared" si="1"/>
        <v>2020881.6938616878</v>
      </c>
      <c r="AF24" s="317"/>
      <c r="AG24" s="307"/>
      <c r="AH24" s="307"/>
      <c r="AI24" s="307"/>
      <c r="AJ24" s="318"/>
      <c r="AK24" s="318"/>
      <c r="AL24" s="318"/>
      <c r="AM24" s="307"/>
      <c r="AN24" s="307"/>
      <c r="AO24" s="307"/>
      <c r="AP24" s="307"/>
      <c r="AQ24" s="307"/>
      <c r="AR24" s="307"/>
      <c r="AS24" s="307"/>
      <c r="AT24" s="307"/>
      <c r="AU24" s="307"/>
      <c r="AV24" s="307"/>
      <c r="AW24" s="307"/>
      <c r="AX24" s="307"/>
      <c r="AY24" s="268"/>
      <c r="AZ24" s="307"/>
      <c r="BA24" s="307"/>
      <c r="BB24" s="268"/>
      <c r="BC24" s="268"/>
      <c r="BD24" s="268"/>
      <c r="BE24" s="268"/>
      <c r="BF24" s="307"/>
      <c r="BG24" s="307"/>
      <c r="BH24" s="268"/>
      <c r="BI24" s="268"/>
      <c r="BJ24" s="268"/>
      <c r="BK24" s="308"/>
      <c r="BL24" s="309"/>
      <c r="BM24" s="309"/>
      <c r="BN24" s="309"/>
      <c r="BO24" s="309"/>
      <c r="BP24" s="309"/>
      <c r="BQ24" s="309"/>
      <c r="BR24" s="309"/>
      <c r="BS24" s="309"/>
      <c r="BT24" s="309"/>
      <c r="BU24" s="309"/>
      <c r="BV24" s="309"/>
      <c r="BW24" s="309"/>
      <c r="BX24" s="309"/>
      <c r="BY24" s="309"/>
      <c r="BZ24" s="309"/>
      <c r="CA24" s="309"/>
      <c r="CB24" s="309"/>
      <c r="CC24" s="309"/>
      <c r="CD24" s="309"/>
      <c r="CE24" s="309"/>
      <c r="CF24" s="309"/>
      <c r="CG24" s="309"/>
      <c r="CH24" s="309"/>
      <c r="CI24" s="309"/>
      <c r="CJ24" s="309"/>
      <c r="CK24" s="309"/>
      <c r="CL24" s="309"/>
      <c r="CM24" s="309"/>
      <c r="CN24" s="309"/>
      <c r="CO24" s="309"/>
      <c r="CP24" s="309"/>
      <c r="CQ24" s="309"/>
      <c r="CR24" s="309"/>
      <c r="CS24" s="309"/>
      <c r="CT24" s="310"/>
      <c r="CU24" s="310"/>
      <c r="CV24" s="310"/>
      <c r="CW24" s="310"/>
      <c r="CX24" s="310"/>
      <c r="CY24" s="310"/>
      <c r="CZ24" s="310"/>
      <c r="DA24" s="310"/>
    </row>
    <row r="25" spans="1:105" ht="15" customHeight="1" thickBot="1" x14ac:dyDescent="0.3">
      <c r="B25" s="625" t="s">
        <v>255</v>
      </c>
      <c r="C25" s="626"/>
      <c r="D25" s="626"/>
      <c r="E25" s="319"/>
      <c r="F25" s="319"/>
      <c r="G25" s="319"/>
      <c r="H25" s="319"/>
      <c r="I25" s="319"/>
      <c r="J25" s="319"/>
      <c r="K25" s="319"/>
      <c r="L25" s="319"/>
      <c r="M25" s="319"/>
      <c r="N25" s="319"/>
      <c r="O25" s="319"/>
      <c r="P25" s="319"/>
      <c r="Q25" s="319"/>
      <c r="R25" s="319"/>
      <c r="S25" s="319"/>
      <c r="T25" s="319"/>
      <c r="U25" s="319"/>
      <c r="V25" s="319"/>
      <c r="W25" s="319"/>
      <c r="X25" s="319"/>
      <c r="Y25" s="319"/>
      <c r="Z25" s="320">
        <f>Z24+Z19</f>
        <v>12009.956787795338</v>
      </c>
      <c r="AA25" s="321">
        <f>IF(Z25&gt;0,SQRT(SUM(AB24+AB19))/Z25,0)</f>
        <v>0.11837038288802725</v>
      </c>
      <c r="AB25" s="322">
        <f>(Z25*AA25)^2</f>
        <v>2021012.4756940685</v>
      </c>
      <c r="AC25" s="320">
        <f>Z25</f>
        <v>12009.956787795338</v>
      </c>
      <c r="AD25" s="505">
        <f>IF(AC25&gt;0,SQRT(SUM(AE24+AE19))/AC25,0)</f>
        <v>0.11836655289038721</v>
      </c>
    </row>
    <row r="26" spans="1:105" ht="15" customHeight="1" x14ac:dyDescent="0.25">
      <c r="A26" s="231"/>
      <c r="B26" s="460"/>
      <c r="C26" s="461"/>
      <c r="D26" s="461"/>
      <c r="E26" s="462"/>
      <c r="F26" s="462"/>
      <c r="G26" s="462"/>
      <c r="H26" s="462"/>
      <c r="I26" s="462"/>
      <c r="J26" s="462"/>
      <c r="K26" s="462"/>
      <c r="L26" s="462"/>
      <c r="M26" s="462"/>
      <c r="N26" s="462"/>
      <c r="O26" s="462"/>
      <c r="P26" s="462"/>
      <c r="Q26" s="462"/>
      <c r="R26" s="462"/>
      <c r="S26" s="462"/>
      <c r="T26" s="462"/>
      <c r="U26" s="462"/>
      <c r="V26" s="462"/>
      <c r="W26" s="462"/>
      <c r="X26" s="462"/>
      <c r="Y26" s="462"/>
      <c r="Z26" s="463"/>
      <c r="AA26" s="464"/>
      <c r="AB26" s="465"/>
      <c r="AC26" s="463"/>
      <c r="AD26" s="464"/>
    </row>
    <row r="27" spans="1:105" ht="28" customHeight="1" thickBot="1" x14ac:dyDescent="0.3">
      <c r="B27" s="323" t="s">
        <v>260</v>
      </c>
      <c r="C27" s="319"/>
      <c r="D27" s="319"/>
      <c r="E27" s="319"/>
      <c r="F27" s="319"/>
      <c r="G27" s="319"/>
      <c r="H27" s="319"/>
      <c r="I27" s="319"/>
      <c r="J27" s="319"/>
      <c r="K27" s="319"/>
      <c r="L27" s="319"/>
      <c r="M27" s="319"/>
      <c r="N27" s="319"/>
      <c r="O27" s="319"/>
      <c r="P27" s="319"/>
      <c r="Q27" s="319"/>
      <c r="R27" s="319"/>
      <c r="S27" s="319"/>
      <c r="T27" s="319"/>
      <c r="U27" s="319"/>
      <c r="V27" s="319"/>
      <c r="W27" s="319"/>
      <c r="X27" s="319"/>
      <c r="Y27" s="319"/>
      <c r="Z27" s="319"/>
      <c r="AA27" s="319"/>
      <c r="AB27" s="319"/>
      <c r="AC27" s="319"/>
      <c r="AD27" s="319"/>
      <c r="AE27" s="261"/>
      <c r="AF27" s="261"/>
      <c r="AG27" s="261"/>
      <c r="AH27" s="261"/>
      <c r="AI27" s="261"/>
      <c r="AJ27" s="261"/>
      <c r="AK27" s="261"/>
      <c r="AL27" s="261"/>
      <c r="AM27" s="261"/>
      <c r="AN27" s="261"/>
      <c r="AO27" s="261"/>
      <c r="AP27" s="261"/>
      <c r="AQ27" s="261"/>
      <c r="AR27" s="261"/>
      <c r="AS27" s="261"/>
      <c r="AT27" s="261"/>
      <c r="AU27" s="261"/>
      <c r="AV27" s="261"/>
      <c r="AW27" s="261"/>
      <c r="AX27" s="261"/>
      <c r="AY27" s="261"/>
      <c r="AZ27" s="261"/>
      <c r="BA27" s="261"/>
      <c r="BB27" s="261"/>
      <c r="BC27" s="261"/>
      <c r="BD27" s="261"/>
    </row>
    <row r="28" spans="1:105" ht="15" customHeight="1" x14ac:dyDescent="0.25">
      <c r="B28" s="637" t="s">
        <v>261</v>
      </c>
      <c r="C28" s="637" t="s">
        <v>175</v>
      </c>
      <c r="D28" s="637" t="s">
        <v>117</v>
      </c>
      <c r="E28" s="637"/>
      <c r="F28" s="637"/>
      <c r="G28" s="637"/>
      <c r="H28" s="637"/>
      <c r="I28" s="637"/>
      <c r="J28" s="637"/>
      <c r="K28" s="637"/>
      <c r="L28" s="637"/>
      <c r="M28" s="637"/>
      <c r="N28" s="637"/>
      <c r="O28" s="637"/>
      <c r="P28" s="637"/>
      <c r="Q28" s="637"/>
      <c r="R28" s="637"/>
      <c r="S28" s="639" t="s">
        <v>176</v>
      </c>
      <c r="T28" s="640"/>
      <c r="U28" s="640"/>
      <c r="V28" s="641"/>
      <c r="W28" s="642" t="s">
        <v>177</v>
      </c>
      <c r="X28" s="643"/>
      <c r="Y28" s="643"/>
      <c r="Z28" s="643"/>
      <c r="AA28" s="643"/>
      <c r="AB28" s="644"/>
      <c r="AC28" s="645" t="s">
        <v>850</v>
      </c>
      <c r="AD28" s="647" t="s">
        <v>149</v>
      </c>
      <c r="AE28" s="324"/>
      <c r="AF28" s="324"/>
      <c r="AG28" s="324"/>
      <c r="AH28" s="324"/>
      <c r="AI28" s="633"/>
      <c r="AJ28" s="633"/>
      <c r="AK28" s="633"/>
      <c r="AL28" s="633"/>
      <c r="AM28" s="633"/>
      <c r="AN28" s="633"/>
      <c r="AO28" s="633"/>
      <c r="AP28" s="633"/>
      <c r="AQ28" s="633"/>
      <c r="AR28" s="633"/>
      <c r="AS28" s="633"/>
      <c r="AT28" s="633"/>
      <c r="AU28" s="633"/>
      <c r="AV28" s="633"/>
      <c r="AW28" s="633"/>
      <c r="AX28" s="633"/>
      <c r="AY28" s="633"/>
      <c r="AZ28" s="633"/>
      <c r="BA28" s="633"/>
      <c r="BB28" s="633"/>
      <c r="BC28" s="634"/>
      <c r="BD28" s="634"/>
    </row>
    <row r="29" spans="1:105" s="236" customFormat="1" ht="32.15" customHeight="1" x14ac:dyDescent="0.25">
      <c r="A29" s="247"/>
      <c r="B29" s="638"/>
      <c r="C29" s="637"/>
      <c r="D29" s="326" t="s">
        <v>183</v>
      </c>
      <c r="E29" s="326" t="s">
        <v>184</v>
      </c>
      <c r="F29" s="326" t="s">
        <v>185</v>
      </c>
      <c r="G29" s="326" t="s">
        <v>186</v>
      </c>
      <c r="H29" s="326" t="s">
        <v>187</v>
      </c>
      <c r="I29" s="326" t="s">
        <v>188</v>
      </c>
      <c r="J29" s="326" t="s">
        <v>189</v>
      </c>
      <c r="K29" s="326" t="s">
        <v>190</v>
      </c>
      <c r="L29" s="326" t="s">
        <v>191</v>
      </c>
      <c r="M29" s="326" t="s">
        <v>192</v>
      </c>
      <c r="N29" s="326" t="s">
        <v>193</v>
      </c>
      <c r="O29" s="326" t="s">
        <v>194</v>
      </c>
      <c r="P29" s="326" t="s">
        <v>195</v>
      </c>
      <c r="Q29" s="326" t="s">
        <v>196</v>
      </c>
      <c r="R29" s="326" t="s">
        <v>197</v>
      </c>
      <c r="S29" s="326" t="s">
        <v>198</v>
      </c>
      <c r="T29" s="326" t="s">
        <v>199</v>
      </c>
      <c r="U29" s="326" t="s">
        <v>200</v>
      </c>
      <c r="V29" s="291" t="s">
        <v>176</v>
      </c>
      <c r="W29" s="291" t="s">
        <v>201</v>
      </c>
      <c r="X29" s="291" t="s">
        <v>183</v>
      </c>
      <c r="Y29" s="291" t="s">
        <v>202</v>
      </c>
      <c r="Z29" s="291" t="s">
        <v>851</v>
      </c>
      <c r="AA29" s="291" t="s">
        <v>205</v>
      </c>
      <c r="AB29" s="291" t="s">
        <v>206</v>
      </c>
      <c r="AC29" s="646"/>
      <c r="AD29" s="648"/>
      <c r="AE29" s="327"/>
      <c r="AF29" s="328"/>
      <c r="AG29" s="329"/>
      <c r="AH29" s="330"/>
      <c r="AI29" s="634"/>
      <c r="AJ29" s="634"/>
      <c r="AK29" s="325"/>
      <c r="AL29" s="325"/>
      <c r="AM29" s="325"/>
      <c r="AN29" s="325"/>
      <c r="AO29" s="330"/>
      <c r="AP29" s="634"/>
      <c r="AQ29" s="634"/>
      <c r="AR29" s="325"/>
      <c r="AS29" s="330"/>
      <c r="AT29" s="325"/>
      <c r="AU29" s="330"/>
      <c r="AV29" s="634"/>
      <c r="AW29" s="634"/>
      <c r="AX29" s="325"/>
      <c r="AY29" s="330"/>
      <c r="AZ29" s="330"/>
      <c r="BA29" s="325"/>
      <c r="BB29" s="330"/>
      <c r="BC29" s="634"/>
      <c r="BD29" s="634"/>
      <c r="BE29" s="239"/>
      <c r="BF29" s="237"/>
      <c r="BG29" s="237"/>
      <c r="BH29" s="239"/>
      <c r="BI29" s="239"/>
      <c r="BJ29" s="239"/>
      <c r="BK29" s="240"/>
      <c r="BL29" s="242"/>
      <c r="BM29" s="242"/>
      <c r="BN29" s="242"/>
      <c r="BO29" s="242"/>
      <c r="BP29" s="242"/>
      <c r="BQ29" s="242"/>
      <c r="BR29" s="242"/>
      <c r="BS29" s="242"/>
      <c r="BT29" s="242"/>
      <c r="BU29" s="242"/>
      <c r="BV29" s="242"/>
      <c r="BW29" s="242"/>
      <c r="BX29" s="242"/>
      <c r="BY29" s="242"/>
      <c r="BZ29" s="242"/>
      <c r="CA29" s="242"/>
      <c r="CB29" s="242"/>
      <c r="CC29" s="242"/>
      <c r="CD29" s="242"/>
      <c r="CE29" s="242"/>
      <c r="CF29" s="242"/>
      <c r="CG29" s="242"/>
      <c r="CH29" s="242"/>
      <c r="CI29" s="242"/>
      <c r="CJ29" s="242"/>
      <c r="CK29" s="242"/>
      <c r="CL29" s="242"/>
      <c r="CM29" s="242"/>
      <c r="CN29" s="242"/>
      <c r="CO29" s="242"/>
      <c r="CP29" s="242"/>
      <c r="CQ29" s="242"/>
      <c r="CR29" s="242"/>
      <c r="CS29" s="242"/>
      <c r="CT29" s="243"/>
      <c r="CU29" s="243"/>
      <c r="CV29" s="243"/>
      <c r="CW29" s="243"/>
      <c r="CX29" s="243"/>
      <c r="CY29" s="243"/>
      <c r="CZ29" s="243"/>
      <c r="DA29" s="243"/>
    </row>
    <row r="30" spans="1:105" s="236" customFormat="1" ht="16" customHeight="1" x14ac:dyDescent="0.25">
      <c r="A30" s="247"/>
      <c r="B30" s="635" t="s">
        <v>263</v>
      </c>
      <c r="C30" s="636"/>
      <c r="D30" s="331"/>
      <c r="E30" s="331"/>
      <c r="F30" s="331"/>
      <c r="G30" s="331"/>
      <c r="H30" s="331"/>
      <c r="I30" s="331"/>
      <c r="J30" s="331"/>
      <c r="K30" s="331"/>
      <c r="L30" s="331"/>
      <c r="M30" s="331"/>
      <c r="N30" s="331"/>
      <c r="O30" s="331"/>
      <c r="P30" s="331"/>
      <c r="Q30" s="331"/>
      <c r="R30" s="331"/>
      <c r="S30" s="331"/>
      <c r="T30" s="331"/>
      <c r="U30" s="331"/>
      <c r="V30" s="332"/>
      <c r="W30" s="332"/>
      <c r="X30" s="332"/>
      <c r="Y30" s="332"/>
      <c r="Z30" s="332"/>
      <c r="AA30" s="332"/>
      <c r="AB30" s="332"/>
      <c r="AC30" s="332"/>
      <c r="AD30" s="332"/>
      <c r="AE30" s="261"/>
      <c r="AF30" s="261"/>
      <c r="AG30" s="261"/>
      <c r="AH30" s="261"/>
      <c r="AI30" s="261"/>
      <c r="AJ30" s="261"/>
      <c r="AK30" s="261"/>
      <c r="AL30" s="261"/>
      <c r="AM30" s="261"/>
      <c r="AN30" s="261"/>
      <c r="AO30" s="261"/>
      <c r="AP30" s="261"/>
      <c r="AQ30" s="261"/>
      <c r="AR30" s="261"/>
      <c r="AS30" s="261"/>
      <c r="AT30" s="261"/>
      <c r="AU30" s="261"/>
      <c r="AV30" s="261"/>
      <c r="AW30" s="261"/>
      <c r="AX30" s="261"/>
      <c r="AY30" s="261"/>
      <c r="AZ30" s="261"/>
      <c r="BA30" s="261"/>
      <c r="BB30" s="261"/>
      <c r="BC30" s="261"/>
      <c r="BD30" s="261"/>
      <c r="BE30" s="239"/>
      <c r="BF30" s="237"/>
      <c r="BG30" s="237"/>
      <c r="BH30" s="239"/>
      <c r="BI30" s="239"/>
      <c r="BJ30" s="239"/>
      <c r="BK30" s="240"/>
      <c r="BL30" s="242"/>
      <c r="BM30" s="242"/>
      <c r="BN30" s="242"/>
      <c r="BO30" s="242"/>
      <c r="BP30" s="242"/>
      <c r="BQ30" s="242"/>
      <c r="BR30" s="242"/>
      <c r="BS30" s="242"/>
      <c r="BT30" s="242"/>
      <c r="BU30" s="242"/>
      <c r="BV30" s="242"/>
      <c r="BW30" s="242"/>
      <c r="BX30" s="242"/>
      <c r="BY30" s="242"/>
      <c r="BZ30" s="242"/>
      <c r="CA30" s="242"/>
      <c r="CB30" s="242"/>
      <c r="CC30" s="242"/>
      <c r="CD30" s="242"/>
      <c r="CE30" s="242"/>
      <c r="CF30" s="242"/>
      <c r="CG30" s="242"/>
      <c r="CH30" s="242"/>
      <c r="CI30" s="242"/>
      <c r="CJ30" s="242"/>
      <c r="CK30" s="242"/>
      <c r="CL30" s="242"/>
      <c r="CM30" s="242"/>
      <c r="CN30" s="242"/>
      <c r="CO30" s="242"/>
      <c r="CP30" s="242"/>
      <c r="CQ30" s="242"/>
      <c r="CR30" s="242"/>
      <c r="CS30" s="242"/>
      <c r="CT30" s="243"/>
      <c r="CU30" s="243"/>
      <c r="CV30" s="243"/>
      <c r="CW30" s="243"/>
      <c r="CX30" s="243"/>
      <c r="CY30" s="243"/>
      <c r="CZ30" s="243"/>
      <c r="DA30" s="243"/>
    </row>
    <row r="31" spans="1:105" ht="16" customHeight="1" x14ac:dyDescent="0.25">
      <c r="B31" s="292" t="s">
        <v>852</v>
      </c>
      <c r="C31" s="293" t="s">
        <v>231</v>
      </c>
      <c r="D31" s="294" t="str">
        <f>VLOOKUP($C31,$AF$49:$BJ$76,2,FALSE)</f>
        <v>Gal</v>
      </c>
      <c r="E31" s="295">
        <f>'HC CORPORATIVA-INCERTIDUMBRE'!E48</f>
        <v>733.41600000000005</v>
      </c>
      <c r="F31" s="295">
        <f>'HC CORPORATIVA-INCERTIDUMBRE'!F48</f>
        <v>834.69399999999996</v>
      </c>
      <c r="G31" s="295">
        <f>'HC CORPORATIVA-INCERTIDUMBRE'!G48</f>
        <v>791.75800000000004</v>
      </c>
      <c r="H31" s="295">
        <f>'HC CORPORATIVA-INCERTIDUMBRE'!H48</f>
        <v>525.45979999999997</v>
      </c>
      <c r="I31" s="295">
        <f>'HC CORPORATIVA-INCERTIDUMBRE'!I48</f>
        <v>537.96580000000006</v>
      </c>
      <c r="J31" s="295">
        <f>'HC CORPORATIVA-INCERTIDUMBRE'!J48</f>
        <v>426.1</v>
      </c>
      <c r="K31" s="295">
        <f>'HC CORPORATIVA-INCERTIDUMBRE'!K48</f>
        <v>815.94420000000002</v>
      </c>
      <c r="L31" s="295">
        <f>'HC CORPORATIVA-INCERTIDUMBRE'!L48</f>
        <v>710.77269999999999</v>
      </c>
      <c r="M31" s="295">
        <f>'HC CORPORATIVA-INCERTIDUMBRE'!M48</f>
        <v>815.07990000000007</v>
      </c>
      <c r="N31" s="295">
        <f>'HC CORPORATIVA-INCERTIDUMBRE'!N48</f>
        <v>754.72190000000001</v>
      </c>
      <c r="O31" s="295">
        <f>'HC CORPORATIVA-INCERTIDUMBRE'!O48</f>
        <v>697.22299999999984</v>
      </c>
      <c r="P31" s="295">
        <f>'HC CORPORATIVA-INCERTIDUMBRE'!P48</f>
        <v>453.74409999999995</v>
      </c>
      <c r="Q31" s="296">
        <f t="shared" ref="Q31" si="10">SUM(E31:P31)</f>
        <v>8096.8793999999998</v>
      </c>
      <c r="R31" s="296">
        <f>COUNT(E31:P31)</f>
        <v>12</v>
      </c>
      <c r="S31" s="296">
        <f>IF(R31&gt;1,AVERAGE(E31:P31),0)</f>
        <v>674.73995000000002</v>
      </c>
      <c r="T31" s="296">
        <f>IF(R31&gt;1,STDEV(E31:P31),0)</f>
        <v>148.38801208809147</v>
      </c>
      <c r="U31" s="296">
        <f>IF(R31&gt;1,VLOOKUP($R31,$AF$83:$AG$95,2,FALSE),0)</f>
        <v>2.2000000000000002</v>
      </c>
      <c r="V31" s="297">
        <f>IF(R31&gt;1,1-((S31-((T31*U31)/(SQRT(R31))))/S31),VLOOKUP($C31,$AF$49:$BM$124,34,FALSE))</f>
        <v>0.13966720748627737</v>
      </c>
      <c r="W31" s="298">
        <f>VLOOKUP($C31,$AF$49:$BJ$76,3,FALSE)</f>
        <v>6.8822999999999999</v>
      </c>
      <c r="X31" s="299" t="str">
        <f>VLOOKUP($C31,$AF$49:$BJ$76,4,FALSE)</f>
        <v>kg CO2/gal</v>
      </c>
      <c r="Y31" s="297">
        <f>IF($Q31&gt;0,VLOOKUP($C31,$AF$49:$BJ$76,6,FALSE),0)</f>
        <v>2.98E-3</v>
      </c>
      <c r="Z31" s="300">
        <f>($Q31*W31)/1000</f>
        <v>55.725153094619998</v>
      </c>
      <c r="AA31" s="297">
        <f>IF(Z31&gt;0,SQRT(($V31*$V31)+(Y31*Y31)),0)</f>
        <v>0.13969899515391962</v>
      </c>
      <c r="AB31" s="300">
        <f>(Z31*AA31)^2</f>
        <v>60.602299743816147</v>
      </c>
      <c r="AC31" s="301">
        <f>Z31</f>
        <v>55.725153094619998</v>
      </c>
      <c r="AD31" s="302">
        <f t="shared" ref="AD31" si="11">AA31</f>
        <v>0.13969899515391962</v>
      </c>
      <c r="AE31" s="242">
        <f t="shared" si="1"/>
        <v>60.602299743816147</v>
      </c>
    </row>
    <row r="32" spans="1:105" s="311" customFormat="1" ht="15" customHeight="1" x14ac:dyDescent="0.3">
      <c r="A32" s="303"/>
      <c r="B32" s="649" t="s">
        <v>233</v>
      </c>
      <c r="C32" s="650"/>
      <c r="D32" s="651"/>
      <c r="E32" s="304"/>
      <c r="F32" s="304"/>
      <c r="G32" s="304"/>
      <c r="H32" s="304"/>
      <c r="I32" s="304"/>
      <c r="J32" s="304"/>
      <c r="K32" s="304"/>
      <c r="L32" s="304"/>
      <c r="M32" s="304"/>
      <c r="N32" s="304"/>
      <c r="O32" s="304"/>
      <c r="P32" s="304"/>
      <c r="Q32" s="304"/>
      <c r="R32" s="304"/>
      <c r="S32" s="304"/>
      <c r="T32" s="304"/>
      <c r="U32" s="304"/>
      <c r="V32" s="304"/>
      <c r="W32" s="304"/>
      <c r="X32" s="304"/>
      <c r="Y32" s="304"/>
      <c r="Z32" s="305">
        <f>Z31</f>
        <v>55.725153094619998</v>
      </c>
      <c r="AA32" s="306">
        <f>IF(Z32&gt;0,SQRT(SUM(AB31:AB31))/Z32,0)</f>
        <v>0.13969899515391962</v>
      </c>
      <c r="AB32" s="305">
        <f>(Z32*AA32)^2</f>
        <v>60.602299743816147</v>
      </c>
      <c r="AC32" s="305">
        <f>Z32</f>
        <v>55.725153094619998</v>
      </c>
      <c r="AD32" s="306">
        <f>IF(AC32&gt;0,SQRT(SUM(AE31:AE31))/AC32,0)</f>
        <v>0.13969899515391962</v>
      </c>
      <c r="AE32" s="285"/>
      <c r="AF32" s="286"/>
      <c r="AG32" s="286"/>
      <c r="AH32" s="286"/>
      <c r="AI32" s="286"/>
      <c r="AJ32" s="286"/>
      <c r="AK32" s="286"/>
      <c r="AL32" s="286"/>
      <c r="AM32" s="286"/>
      <c r="AN32" s="286"/>
      <c r="AO32" s="286"/>
      <c r="AP32" s="286"/>
      <c r="AQ32" s="286"/>
      <c r="AR32" s="286"/>
      <c r="AS32" s="286"/>
      <c r="AT32" s="286"/>
      <c r="AU32" s="286"/>
      <c r="AV32" s="286"/>
      <c r="AW32" s="286"/>
      <c r="AX32" s="286"/>
      <c r="AY32" s="286"/>
      <c r="AZ32" s="286"/>
      <c r="BA32" s="286"/>
      <c r="BB32" s="286"/>
      <c r="BC32" s="286"/>
      <c r="BD32" s="286"/>
      <c r="BE32" s="286"/>
      <c r="BF32" s="307"/>
      <c r="BG32" s="307"/>
      <c r="BH32" s="268"/>
      <c r="BI32" s="268"/>
      <c r="BJ32" s="268"/>
      <c r="BK32" s="308"/>
      <c r="BL32" s="309"/>
      <c r="BM32" s="309"/>
      <c r="BN32" s="309"/>
      <c r="BO32" s="309"/>
      <c r="BP32" s="309"/>
      <c r="BQ32" s="309"/>
      <c r="BR32" s="309"/>
      <c r="BS32" s="309"/>
      <c r="BT32" s="309"/>
      <c r="BU32" s="309"/>
      <c r="BV32" s="309"/>
      <c r="BW32" s="309"/>
      <c r="BX32" s="309"/>
      <c r="BY32" s="309"/>
      <c r="BZ32" s="309"/>
      <c r="CA32" s="309"/>
      <c r="CB32" s="309"/>
      <c r="CC32" s="309"/>
      <c r="CD32" s="309"/>
      <c r="CE32" s="309"/>
      <c r="CF32" s="309"/>
      <c r="CG32" s="309"/>
      <c r="CH32" s="309"/>
      <c r="CI32" s="309"/>
      <c r="CJ32" s="309"/>
      <c r="CK32" s="309"/>
      <c r="CL32" s="309"/>
      <c r="CM32" s="309"/>
      <c r="CN32" s="309"/>
      <c r="CO32" s="309"/>
      <c r="CP32" s="309"/>
      <c r="CQ32" s="309"/>
      <c r="CR32" s="309"/>
      <c r="CS32" s="309"/>
      <c r="CT32" s="310"/>
      <c r="CU32" s="310"/>
      <c r="CV32" s="310"/>
      <c r="CW32" s="310"/>
      <c r="CX32" s="310"/>
      <c r="CY32" s="310"/>
      <c r="CZ32" s="310"/>
      <c r="DA32" s="310"/>
    </row>
    <row r="33" spans="1:105" ht="23.15" customHeight="1" thickBot="1" x14ac:dyDescent="0.3">
      <c r="B33" s="625" t="s">
        <v>267</v>
      </c>
      <c r="C33" s="626"/>
      <c r="D33" s="626"/>
      <c r="E33" s="319"/>
      <c r="F33" s="319"/>
      <c r="G33" s="319"/>
      <c r="H33" s="319"/>
      <c r="I33" s="319"/>
      <c r="J33" s="319"/>
      <c r="K33" s="319"/>
      <c r="L33" s="319"/>
      <c r="M33" s="319"/>
      <c r="N33" s="319"/>
      <c r="O33" s="319"/>
      <c r="P33" s="319"/>
      <c r="Q33" s="319"/>
      <c r="R33" s="319"/>
      <c r="S33" s="319"/>
      <c r="T33" s="319"/>
      <c r="U33" s="319"/>
      <c r="V33" s="319"/>
      <c r="W33" s="319"/>
      <c r="X33" s="319"/>
      <c r="Y33" s="319"/>
      <c r="Z33" s="320">
        <f>Z32</f>
        <v>55.725153094619998</v>
      </c>
      <c r="AA33" s="333">
        <f>IF(Z33&gt;0,SQRT(SUM(AB31))/Z33,0)</f>
        <v>0.13969899515391962</v>
      </c>
      <c r="AB33" s="322">
        <f>(Z33*AA33)^2</f>
        <v>60.602299743816147</v>
      </c>
      <c r="AC33" s="334">
        <f>Z33</f>
        <v>55.725153094619998</v>
      </c>
      <c r="AD33" s="333">
        <f>IF(AC33&gt;0,SQRT(SUM(AE32))/AC33,0)</f>
        <v>0</v>
      </c>
    </row>
    <row r="34" spans="1:105" ht="14.5" thickBot="1" x14ac:dyDescent="0.3">
      <c r="A34" s="335"/>
      <c r="B34" s="663" t="s">
        <v>854</v>
      </c>
      <c r="C34" s="664"/>
      <c r="D34" s="281"/>
      <c r="E34" s="281"/>
      <c r="F34" s="281"/>
      <c r="G34" s="281"/>
      <c r="H34" s="281"/>
      <c r="I34" s="281"/>
      <c r="J34" s="281"/>
      <c r="K34" s="281"/>
      <c r="L34" s="281"/>
      <c r="M34" s="281"/>
      <c r="N34" s="281"/>
      <c r="O34" s="281"/>
      <c r="P34" s="281"/>
      <c r="Q34" s="281"/>
      <c r="R34" s="281"/>
      <c r="S34" s="281"/>
      <c r="T34" s="281"/>
      <c r="U34" s="281"/>
      <c r="V34" s="281"/>
      <c r="W34" s="281"/>
      <c r="X34" s="281"/>
      <c r="Y34" s="281"/>
      <c r="Z34" s="336">
        <f>Z33+Z25</f>
        <v>12065.681940889957</v>
      </c>
      <c r="AA34" s="337">
        <f>IF(Z34&gt;0,SQRT(SUM(AB33+AB25))/Z34,0)</f>
        <v>0.11782545775021448</v>
      </c>
      <c r="AB34" s="338">
        <f>(Z34*AA34)^2</f>
        <v>2021073.0779938123</v>
      </c>
      <c r="AC34" s="466">
        <f>Z34</f>
        <v>12065.681940889957</v>
      </c>
      <c r="AD34" s="337">
        <f>IF(AC34&gt;0,SQRT(SUM(AE33+AE25))/AC34,0)</f>
        <v>0</v>
      </c>
      <c r="AE34" s="242">
        <f>(AC34*AD34)^2</f>
        <v>0</v>
      </c>
    </row>
    <row r="35" spans="1:105" s="247" customFormat="1" ht="14" x14ac:dyDescent="0.25">
      <c r="B35" s="279"/>
      <c r="C35" s="279"/>
      <c r="D35" s="279"/>
      <c r="E35" s="339"/>
      <c r="F35" s="339"/>
      <c r="G35" s="339"/>
      <c r="H35" s="339"/>
      <c r="I35" s="339"/>
      <c r="J35" s="339"/>
      <c r="K35" s="339"/>
      <c r="L35" s="339"/>
      <c r="M35" s="339"/>
      <c r="N35" s="339"/>
      <c r="O35" s="339"/>
      <c r="P35" s="339"/>
      <c r="Q35" s="339"/>
      <c r="R35" s="340"/>
      <c r="S35" s="339"/>
      <c r="T35" s="339"/>
      <c r="U35" s="339"/>
      <c r="V35" s="341"/>
      <c r="W35" s="279"/>
      <c r="X35" s="279"/>
      <c r="Y35" s="341"/>
      <c r="Z35" s="342"/>
      <c r="AA35" s="341"/>
      <c r="AB35" s="342"/>
      <c r="AC35" s="339"/>
      <c r="AD35" s="341"/>
      <c r="AE35" s="242">
        <f>(AC35*AD35)^2</f>
        <v>0</v>
      </c>
      <c r="AF35" s="236"/>
      <c r="AG35" s="237"/>
      <c r="AH35" s="237"/>
      <c r="AI35" s="237"/>
      <c r="AJ35" s="238"/>
      <c r="AK35" s="238"/>
      <c r="AL35" s="238"/>
      <c r="AM35" s="237"/>
      <c r="AN35" s="237"/>
      <c r="AO35" s="237"/>
      <c r="AP35" s="237"/>
      <c r="AQ35" s="237"/>
      <c r="AR35" s="237"/>
      <c r="AS35" s="237"/>
      <c r="AT35" s="237"/>
      <c r="AU35" s="237"/>
      <c r="AV35" s="237"/>
      <c r="AW35" s="237"/>
      <c r="AX35" s="237"/>
      <c r="AY35" s="239"/>
      <c r="AZ35" s="237"/>
      <c r="BA35" s="237"/>
      <c r="BB35" s="239"/>
      <c r="BC35" s="239"/>
      <c r="BD35" s="239"/>
      <c r="BE35" s="257"/>
      <c r="BF35" s="255"/>
      <c r="BG35" s="255"/>
      <c r="BH35" s="257"/>
      <c r="BI35" s="257"/>
      <c r="BJ35" s="257"/>
      <c r="BK35" s="258"/>
      <c r="BL35" s="235"/>
      <c r="BM35" s="235"/>
      <c r="BN35" s="235"/>
      <c r="BO35" s="235"/>
      <c r="BP35" s="235"/>
      <c r="BQ35" s="235"/>
      <c r="BR35" s="235"/>
      <c r="BS35" s="235"/>
      <c r="BT35" s="235"/>
      <c r="BU35" s="235"/>
      <c r="BV35" s="235"/>
      <c r="BW35" s="235"/>
      <c r="BX35" s="235"/>
      <c r="BY35" s="235"/>
      <c r="BZ35" s="235"/>
      <c r="CA35" s="235"/>
      <c r="CB35" s="235"/>
      <c r="CC35" s="235"/>
      <c r="CD35" s="235"/>
      <c r="CE35" s="235"/>
      <c r="CF35" s="235"/>
      <c r="CG35" s="235"/>
      <c r="CH35" s="235"/>
      <c r="CI35" s="235"/>
      <c r="CJ35" s="235"/>
      <c r="CK35" s="235"/>
      <c r="CL35" s="235"/>
      <c r="CM35" s="235"/>
      <c r="CN35" s="235"/>
      <c r="CO35" s="235"/>
      <c r="CP35" s="235"/>
      <c r="CQ35" s="235"/>
      <c r="CR35" s="235"/>
      <c r="CS35" s="235"/>
      <c r="CT35" s="260"/>
      <c r="CU35" s="260"/>
      <c r="CV35" s="260"/>
      <c r="CW35" s="260"/>
      <c r="CX35" s="260"/>
      <c r="CY35" s="260"/>
      <c r="CZ35" s="260"/>
      <c r="DA35" s="260"/>
    </row>
    <row r="36" spans="1:105" x14ac:dyDescent="0.25">
      <c r="E36" s="343"/>
      <c r="F36" s="343"/>
      <c r="G36" s="343"/>
      <c r="H36" s="343"/>
      <c r="I36" s="343"/>
      <c r="J36" s="343"/>
      <c r="K36" s="343"/>
      <c r="L36" s="343"/>
      <c r="M36" s="343"/>
      <c r="N36" s="343"/>
      <c r="O36" s="343"/>
      <c r="P36" s="343"/>
      <c r="Q36" s="343"/>
      <c r="R36" s="344"/>
      <c r="S36" s="343"/>
      <c r="T36" s="343"/>
      <c r="U36" s="343"/>
      <c r="V36" s="253"/>
      <c r="Y36" s="253"/>
      <c r="AA36" s="253"/>
      <c r="AC36" s="343"/>
      <c r="AD36" s="253"/>
    </row>
    <row r="47" spans="1:105" s="236" customFormat="1" ht="14" x14ac:dyDescent="0.25">
      <c r="A47" s="247"/>
      <c r="B47" s="231"/>
      <c r="C47" s="231"/>
      <c r="D47" s="231"/>
      <c r="E47" s="231"/>
      <c r="F47" s="231"/>
      <c r="G47" s="231"/>
      <c r="H47" s="231"/>
      <c r="I47" s="231"/>
      <c r="J47" s="231"/>
      <c r="K47" s="231"/>
      <c r="L47" s="231"/>
      <c r="M47" s="231"/>
      <c r="N47" s="231"/>
      <c r="O47" s="231"/>
      <c r="P47" s="231"/>
      <c r="Q47" s="231"/>
      <c r="R47" s="231"/>
      <c r="S47" s="231"/>
      <c r="T47" s="231"/>
      <c r="U47" s="231"/>
      <c r="V47" s="231"/>
      <c r="W47" s="231"/>
      <c r="X47" s="231"/>
      <c r="Y47" s="231"/>
      <c r="Z47" s="232"/>
      <c r="AA47" s="231"/>
      <c r="AB47" s="232"/>
      <c r="AC47" s="231"/>
      <c r="AD47" s="231"/>
      <c r="AE47" s="242"/>
      <c r="AG47" s="237"/>
      <c r="AH47" s="237"/>
      <c r="AI47" s="237"/>
      <c r="AJ47" s="238"/>
      <c r="AK47" s="238"/>
      <c r="AL47" s="238"/>
      <c r="AM47" s="268"/>
      <c r="AN47" s="268"/>
      <c r="AO47" s="268"/>
      <c r="AP47" s="268"/>
      <c r="AQ47" s="268"/>
      <c r="AR47" s="268"/>
      <c r="AS47" s="237"/>
      <c r="AT47" s="268"/>
      <c r="AU47" s="268"/>
      <c r="AV47" s="237"/>
      <c r="AW47" s="237"/>
      <c r="AX47" s="237"/>
      <c r="AY47" s="239"/>
      <c r="AZ47" s="268"/>
      <c r="BA47" s="268"/>
      <c r="BB47" s="239"/>
      <c r="BC47" s="239"/>
      <c r="BD47" s="239"/>
      <c r="BE47" s="239"/>
      <c r="BF47" s="268"/>
      <c r="BG47" s="268"/>
      <c r="BH47" s="239"/>
      <c r="BI47" s="239"/>
      <c r="BJ47" s="239"/>
      <c r="BK47" s="240"/>
      <c r="BL47" s="242"/>
      <c r="BM47" s="242"/>
      <c r="BN47" s="242"/>
      <c r="BO47" s="242"/>
      <c r="BP47" s="242"/>
      <c r="BQ47" s="242"/>
      <c r="BR47" s="242"/>
      <c r="BS47" s="242"/>
      <c r="BT47" s="242"/>
      <c r="BU47" s="242"/>
      <c r="BV47" s="242"/>
      <c r="BW47" s="242"/>
      <c r="BX47" s="242"/>
      <c r="BY47" s="242"/>
      <c r="BZ47" s="242"/>
      <c r="CA47" s="242"/>
      <c r="CB47" s="242"/>
      <c r="CC47" s="242"/>
      <c r="CD47" s="242"/>
      <c r="CE47" s="242"/>
      <c r="CF47" s="242"/>
      <c r="CG47" s="242"/>
      <c r="CH47" s="242"/>
      <c r="CI47" s="242"/>
      <c r="CJ47" s="242"/>
      <c r="CK47" s="242"/>
      <c r="CL47" s="242"/>
      <c r="CM47" s="242"/>
      <c r="CN47" s="242"/>
      <c r="CO47" s="242"/>
      <c r="CP47" s="242"/>
      <c r="CQ47" s="242"/>
      <c r="CR47" s="242"/>
      <c r="CS47" s="242"/>
      <c r="CT47" s="243"/>
      <c r="CU47" s="243"/>
      <c r="CV47" s="243"/>
      <c r="CW47" s="243"/>
      <c r="CX47" s="243"/>
      <c r="CY47" s="243"/>
      <c r="CZ47" s="243"/>
      <c r="DA47" s="243"/>
    </row>
    <row r="48" spans="1:105" s="235" customFormat="1" ht="15" customHeight="1" thickBot="1" x14ac:dyDescent="0.3">
      <c r="Z48" s="345"/>
      <c r="AB48" s="345"/>
      <c r="AE48" s="242"/>
      <c r="AF48" s="236">
        <v>1</v>
      </c>
      <c r="AG48" s="237">
        <v>2</v>
      </c>
      <c r="AH48" s="237">
        <v>3</v>
      </c>
      <c r="AI48" s="237">
        <v>4</v>
      </c>
      <c r="AJ48" s="237">
        <v>5</v>
      </c>
      <c r="AK48" s="237">
        <v>6</v>
      </c>
      <c r="AL48" s="237">
        <v>7</v>
      </c>
      <c r="AM48" s="237">
        <v>8</v>
      </c>
      <c r="AN48" s="237">
        <v>9</v>
      </c>
      <c r="AO48" s="237">
        <v>10</v>
      </c>
      <c r="AP48" s="237">
        <v>11</v>
      </c>
      <c r="AQ48" s="237">
        <v>12</v>
      </c>
      <c r="AR48" s="237">
        <v>13</v>
      </c>
      <c r="AS48" s="237">
        <v>14</v>
      </c>
      <c r="AT48" s="237">
        <v>15</v>
      </c>
      <c r="AU48" s="237">
        <v>16</v>
      </c>
      <c r="AV48" s="237">
        <v>17</v>
      </c>
      <c r="AW48" s="237">
        <v>18</v>
      </c>
      <c r="AX48" s="237">
        <v>19</v>
      </c>
      <c r="AY48" s="237">
        <v>20</v>
      </c>
      <c r="AZ48" s="237">
        <v>21</v>
      </c>
      <c r="BA48" s="237">
        <v>22</v>
      </c>
      <c r="BB48" s="237">
        <v>23</v>
      </c>
      <c r="BC48" s="237">
        <v>24</v>
      </c>
      <c r="BD48" s="237">
        <v>25</v>
      </c>
      <c r="BE48" s="255">
        <v>26</v>
      </c>
      <c r="BF48" s="255">
        <v>27</v>
      </c>
      <c r="BG48" s="255">
        <v>28</v>
      </c>
      <c r="BH48" s="255">
        <v>29</v>
      </c>
      <c r="BI48" s="255">
        <v>30</v>
      </c>
      <c r="BJ48" s="255">
        <v>31</v>
      </c>
      <c r="BK48" s="346">
        <v>32</v>
      </c>
      <c r="BL48" s="346">
        <v>33</v>
      </c>
      <c r="BM48" s="346">
        <v>34</v>
      </c>
    </row>
    <row r="49" spans="23:76" s="235" customFormat="1" ht="26.25" customHeight="1" thickBot="1" x14ac:dyDescent="0.3">
      <c r="Y49" s="254"/>
      <c r="Z49" s="347"/>
      <c r="AA49" s="254"/>
      <c r="AB49" s="347"/>
      <c r="AC49" s="348"/>
      <c r="AD49" s="349"/>
      <c r="AE49" s="350"/>
      <c r="AF49" s="622" t="s">
        <v>350</v>
      </c>
      <c r="AG49" s="229"/>
      <c r="AH49" s="622" t="s">
        <v>301</v>
      </c>
      <c r="AI49" s="229"/>
      <c r="AJ49" s="622" t="s">
        <v>302</v>
      </c>
      <c r="AK49" s="622" t="s">
        <v>302</v>
      </c>
      <c r="AL49" s="622" t="s">
        <v>303</v>
      </c>
      <c r="AM49" s="627" t="s">
        <v>304</v>
      </c>
      <c r="AN49" s="628"/>
      <c r="AO49" s="628"/>
      <c r="AP49" s="628"/>
      <c r="AQ49" s="628"/>
      <c r="AR49" s="628"/>
      <c r="AS49" s="628"/>
      <c r="AT49" s="628"/>
      <c r="AU49" s="628"/>
      <c r="AV49" s="628"/>
      <c r="AW49" s="628"/>
      <c r="AX49" s="629"/>
      <c r="AY49" s="630" t="s">
        <v>305</v>
      </c>
      <c r="AZ49" s="631"/>
      <c r="BA49" s="631"/>
      <c r="BB49" s="631"/>
      <c r="BC49" s="631"/>
      <c r="BD49" s="631"/>
      <c r="BE49" s="631"/>
      <c r="BF49" s="631"/>
      <c r="BG49" s="631"/>
      <c r="BH49" s="631"/>
      <c r="BI49" s="631"/>
      <c r="BJ49" s="632"/>
      <c r="BK49" s="258"/>
      <c r="BL49" s="235" t="s">
        <v>306</v>
      </c>
    </row>
    <row r="50" spans="23:76" s="235" customFormat="1" ht="58.5" customHeight="1" thickBot="1" x14ac:dyDescent="0.3">
      <c r="W50" s="348"/>
      <c r="X50" s="348"/>
      <c r="Y50" s="351"/>
      <c r="Z50" s="352"/>
      <c r="AA50" s="351"/>
      <c r="AB50" s="352"/>
      <c r="AC50" s="348"/>
      <c r="AD50" s="348"/>
      <c r="AE50" s="353"/>
      <c r="AF50" s="623"/>
      <c r="AG50" s="230" t="s">
        <v>308</v>
      </c>
      <c r="AH50" s="623"/>
      <c r="AI50" s="230" t="s">
        <v>309</v>
      </c>
      <c r="AJ50" s="623"/>
      <c r="AK50" s="623"/>
      <c r="AL50" s="623"/>
      <c r="AM50" s="354" t="s">
        <v>310</v>
      </c>
      <c r="AN50" s="354" t="s">
        <v>311</v>
      </c>
      <c r="AO50" s="230" t="s">
        <v>309</v>
      </c>
      <c r="AP50" s="354" t="s">
        <v>302</v>
      </c>
      <c r="AQ50" s="354" t="s">
        <v>302</v>
      </c>
      <c r="AR50" s="354" t="s">
        <v>303</v>
      </c>
      <c r="AS50" s="354" t="s">
        <v>312</v>
      </c>
      <c r="AT50" s="354" t="s">
        <v>313</v>
      </c>
      <c r="AU50" s="230" t="s">
        <v>309</v>
      </c>
      <c r="AV50" s="354" t="s">
        <v>302</v>
      </c>
      <c r="AW50" s="354" t="s">
        <v>302</v>
      </c>
      <c r="AX50" s="354" t="s">
        <v>303</v>
      </c>
      <c r="AY50" s="354" t="s">
        <v>314</v>
      </c>
      <c r="AZ50" s="354" t="s">
        <v>311</v>
      </c>
      <c r="BA50" s="230" t="s">
        <v>309</v>
      </c>
      <c r="BB50" s="354" t="s">
        <v>302</v>
      </c>
      <c r="BC50" s="354" t="s">
        <v>302</v>
      </c>
      <c r="BD50" s="354" t="s">
        <v>303</v>
      </c>
      <c r="BE50" s="355" t="s">
        <v>312</v>
      </c>
      <c r="BF50" s="355" t="s">
        <v>313</v>
      </c>
      <c r="BG50" s="356" t="s">
        <v>309</v>
      </c>
      <c r="BH50" s="355" t="s">
        <v>302</v>
      </c>
      <c r="BI50" s="355" t="s">
        <v>302</v>
      </c>
      <c r="BJ50" s="355" t="s">
        <v>303</v>
      </c>
      <c r="BK50" s="258"/>
      <c r="BL50" s="235" t="s">
        <v>315</v>
      </c>
      <c r="BM50" s="235" t="s">
        <v>316</v>
      </c>
    </row>
    <row r="51" spans="23:76" s="247" customFormat="1" ht="16.5" customHeight="1" thickBot="1" x14ac:dyDescent="0.3">
      <c r="Z51" s="251"/>
      <c r="AB51" s="251"/>
      <c r="AE51" s="242"/>
      <c r="AF51" s="357" t="str">
        <f>'[1]HC CORPORATIVA-INCERTIDUMBRE'!BH111</f>
        <v>Bagazo</v>
      </c>
      <c r="AG51" s="358" t="s">
        <v>325</v>
      </c>
      <c r="AH51" s="359">
        <v>1664.9169999999999</v>
      </c>
      <c r="AI51" s="358" t="s">
        <v>855</v>
      </c>
      <c r="AJ51" s="360">
        <v>4.3E-3</v>
      </c>
      <c r="AK51" s="360">
        <v>4.3E-3</v>
      </c>
      <c r="AL51" s="361" t="s">
        <v>320</v>
      </c>
      <c r="AM51" s="362">
        <v>442.28800000000001</v>
      </c>
      <c r="AN51" s="358">
        <f t="shared" ref="AN51:AN62" si="12">AM51/1000</f>
        <v>0.44228800000000001</v>
      </c>
      <c r="AO51" s="358" t="s">
        <v>856</v>
      </c>
      <c r="AP51" s="360">
        <v>0.1</v>
      </c>
      <c r="AQ51" s="360">
        <v>1</v>
      </c>
      <c r="AR51" s="358" t="s">
        <v>322</v>
      </c>
      <c r="AS51" s="359">
        <v>58.972000000000001</v>
      </c>
      <c r="AT51" s="358">
        <f t="shared" ref="AT51:AT62" si="13">AS51/1000</f>
        <v>5.8972000000000004E-2</v>
      </c>
      <c r="AU51" s="358" t="s">
        <v>857</v>
      </c>
      <c r="AV51" s="360">
        <v>1.4999999999999999E-2</v>
      </c>
      <c r="AW51" s="360">
        <v>0.15</v>
      </c>
      <c r="AX51" s="358" t="s">
        <v>322</v>
      </c>
      <c r="AY51" s="358">
        <v>0</v>
      </c>
      <c r="AZ51" s="358">
        <f t="shared" ref="AZ51:AZ62" si="14">AY51/1000</f>
        <v>0</v>
      </c>
      <c r="BA51" s="358" t="s">
        <v>856</v>
      </c>
      <c r="BB51" s="360">
        <v>0</v>
      </c>
      <c r="BC51" s="360">
        <v>0</v>
      </c>
      <c r="BD51" s="358" t="s">
        <v>322</v>
      </c>
      <c r="BE51" s="363">
        <v>0</v>
      </c>
      <c r="BF51" s="364">
        <f t="shared" ref="BF51:BF62" si="15">BE51/1000</f>
        <v>0</v>
      </c>
      <c r="BG51" s="364" t="s">
        <v>857</v>
      </c>
      <c r="BH51" s="365">
        <v>0</v>
      </c>
      <c r="BI51" s="365">
        <v>0</v>
      </c>
      <c r="BJ51" s="364" t="s">
        <v>322</v>
      </c>
      <c r="BK51" s="258"/>
      <c r="BL51" s="235">
        <v>0.6</v>
      </c>
      <c r="BM51" s="235">
        <v>1</v>
      </c>
      <c r="BN51" s="235"/>
      <c r="BO51" s="235"/>
      <c r="BP51" s="235"/>
      <c r="BQ51" s="235"/>
      <c r="BR51" s="235"/>
      <c r="BS51" s="235"/>
      <c r="BT51" s="235"/>
      <c r="BU51" s="235"/>
      <c r="BV51" s="235"/>
      <c r="BW51" s="235"/>
      <c r="BX51" s="235"/>
    </row>
    <row r="52" spans="23:76" s="247" customFormat="1" ht="16.5" customHeight="1" thickBot="1" x14ac:dyDescent="0.3">
      <c r="Z52" s="251"/>
      <c r="AB52" s="251"/>
      <c r="AE52" s="242"/>
      <c r="AF52" s="357" t="str">
        <f>'[1]HC CORPORATIVA-INCERTIDUMBRE'!BH112</f>
        <v>Fibra de palma</v>
      </c>
      <c r="AG52" s="358" t="s">
        <v>325</v>
      </c>
      <c r="AH52" s="359">
        <v>1869.837</v>
      </c>
      <c r="AI52" s="358" t="s">
        <v>855</v>
      </c>
      <c r="AJ52" s="360">
        <v>3.82E-3</v>
      </c>
      <c r="AK52" s="360">
        <v>3.82E-3</v>
      </c>
      <c r="AL52" s="361" t="s">
        <v>320</v>
      </c>
      <c r="AM52" s="362">
        <v>499.19099999999997</v>
      </c>
      <c r="AN52" s="358">
        <f t="shared" si="12"/>
        <v>0.499191</v>
      </c>
      <c r="AO52" s="358" t="s">
        <v>856</v>
      </c>
      <c r="AP52" s="360">
        <v>0.1</v>
      </c>
      <c r="AQ52" s="360">
        <v>1</v>
      </c>
      <c r="AR52" s="358" t="s">
        <v>322</v>
      </c>
      <c r="AS52" s="359">
        <v>66.558999999999997</v>
      </c>
      <c r="AT52" s="358">
        <f t="shared" si="13"/>
        <v>6.6558999999999993E-2</v>
      </c>
      <c r="AU52" s="358" t="s">
        <v>857</v>
      </c>
      <c r="AV52" s="360">
        <v>1.4999999999999999E-2</v>
      </c>
      <c r="AW52" s="360">
        <v>0.15</v>
      </c>
      <c r="AX52" s="358" t="s">
        <v>322</v>
      </c>
      <c r="AY52" s="358">
        <v>0</v>
      </c>
      <c r="AZ52" s="358">
        <f t="shared" si="14"/>
        <v>0</v>
      </c>
      <c r="BA52" s="358" t="s">
        <v>856</v>
      </c>
      <c r="BB52" s="360">
        <v>0</v>
      </c>
      <c r="BC52" s="360">
        <v>0</v>
      </c>
      <c r="BD52" s="358" t="s">
        <v>322</v>
      </c>
      <c r="BE52" s="363">
        <v>0</v>
      </c>
      <c r="BF52" s="364">
        <f t="shared" si="15"/>
        <v>0</v>
      </c>
      <c r="BG52" s="364" t="s">
        <v>857</v>
      </c>
      <c r="BH52" s="365">
        <v>0</v>
      </c>
      <c r="BI52" s="365">
        <v>0</v>
      </c>
      <c r="BJ52" s="364" t="s">
        <v>322</v>
      </c>
      <c r="BK52" s="258"/>
      <c r="BL52" s="235">
        <v>0.6</v>
      </c>
      <c r="BM52" s="235">
        <v>1</v>
      </c>
      <c r="BN52" s="235"/>
      <c r="BO52" s="235"/>
      <c r="BP52" s="235"/>
      <c r="BQ52" s="235"/>
      <c r="BR52" s="235"/>
      <c r="BS52" s="235"/>
      <c r="BT52" s="235"/>
      <c r="BU52" s="235"/>
      <c r="BV52" s="235"/>
      <c r="BW52" s="235"/>
      <c r="BX52" s="235"/>
    </row>
    <row r="53" spans="23:76" s="247" customFormat="1" ht="16.5" customHeight="1" thickBot="1" x14ac:dyDescent="0.3">
      <c r="Z53" s="251"/>
      <c r="AB53" s="251"/>
      <c r="AE53" s="242"/>
      <c r="AF53" s="357" t="str">
        <f>'[1]HC CORPORATIVA-INCERTIDUMBRE'!BH113</f>
        <v>Cuesco de palma</v>
      </c>
      <c r="AG53" s="358" t="s">
        <v>325</v>
      </c>
      <c r="AH53" s="359">
        <v>1758.4449999999999</v>
      </c>
      <c r="AI53" s="358" t="s">
        <v>855</v>
      </c>
      <c r="AJ53" s="360">
        <v>3.98E-3</v>
      </c>
      <c r="AK53" s="360">
        <v>3.98E-3</v>
      </c>
      <c r="AL53" s="361" t="s">
        <v>320</v>
      </c>
      <c r="AM53" s="362">
        <v>503.12900000000002</v>
      </c>
      <c r="AN53" s="358">
        <f t="shared" si="12"/>
        <v>0.50312900000000005</v>
      </c>
      <c r="AO53" s="358" t="s">
        <v>856</v>
      </c>
      <c r="AP53" s="360">
        <v>0.1</v>
      </c>
      <c r="AQ53" s="360">
        <v>1</v>
      </c>
      <c r="AR53" s="358" t="s">
        <v>322</v>
      </c>
      <c r="AS53" s="359">
        <v>67.084000000000003</v>
      </c>
      <c r="AT53" s="358">
        <f t="shared" si="13"/>
        <v>6.7084000000000005E-2</v>
      </c>
      <c r="AU53" s="358" t="s">
        <v>857</v>
      </c>
      <c r="AV53" s="360">
        <v>1.4999999999999999E-2</v>
      </c>
      <c r="AW53" s="360">
        <v>0.15</v>
      </c>
      <c r="AX53" s="358" t="s">
        <v>322</v>
      </c>
      <c r="AY53" s="358">
        <v>0</v>
      </c>
      <c r="AZ53" s="358">
        <f t="shared" si="14"/>
        <v>0</v>
      </c>
      <c r="BA53" s="358" t="s">
        <v>856</v>
      </c>
      <c r="BB53" s="360">
        <v>0</v>
      </c>
      <c r="BC53" s="360">
        <v>0</v>
      </c>
      <c r="BD53" s="358" t="s">
        <v>322</v>
      </c>
      <c r="BE53" s="363">
        <v>0</v>
      </c>
      <c r="BF53" s="364">
        <f t="shared" si="15"/>
        <v>0</v>
      </c>
      <c r="BG53" s="364" t="s">
        <v>857</v>
      </c>
      <c r="BH53" s="365">
        <v>0</v>
      </c>
      <c r="BI53" s="365">
        <v>0</v>
      </c>
      <c r="BJ53" s="364" t="s">
        <v>322</v>
      </c>
      <c r="BK53" s="258"/>
      <c r="BL53" s="235">
        <v>0.6</v>
      </c>
      <c r="BM53" s="235">
        <v>1</v>
      </c>
      <c r="BN53" s="235"/>
      <c r="BO53" s="235"/>
      <c r="BP53" s="235"/>
      <c r="BQ53" s="235"/>
      <c r="BR53" s="235"/>
      <c r="BS53" s="235"/>
      <c r="BT53" s="235"/>
      <c r="BU53" s="235"/>
      <c r="BV53" s="235"/>
      <c r="BW53" s="235"/>
      <c r="BX53" s="235"/>
    </row>
    <row r="54" spans="23:76" s="247" customFormat="1" ht="16.5" customHeight="1" thickBot="1" x14ac:dyDescent="0.3">
      <c r="Z54" s="251"/>
      <c r="AB54" s="251"/>
      <c r="AE54" s="242"/>
      <c r="AF54" s="357" t="str">
        <f>'[1]HC CORPORATIVA-INCERTIDUMBRE'!BH114</f>
        <v>Raquis de palma</v>
      </c>
      <c r="AG54" s="358" t="s">
        <v>325</v>
      </c>
      <c r="AH54" s="359" t="s">
        <v>858</v>
      </c>
      <c r="AI54" s="358" t="s">
        <v>855</v>
      </c>
      <c r="AJ54" s="360">
        <v>3.5799999999999998E-3</v>
      </c>
      <c r="AK54" s="360">
        <v>3.5799999999999998E-3</v>
      </c>
      <c r="AL54" s="361" t="s">
        <v>320</v>
      </c>
      <c r="AM54" s="362">
        <v>548.92100000000005</v>
      </c>
      <c r="AN54" s="358">
        <f t="shared" si="12"/>
        <v>0.5489210000000001</v>
      </c>
      <c r="AO54" s="358" t="s">
        <v>856</v>
      </c>
      <c r="AP54" s="360">
        <v>0.1</v>
      </c>
      <c r="AQ54" s="360">
        <v>1</v>
      </c>
      <c r="AR54" s="358" t="s">
        <v>322</v>
      </c>
      <c r="AS54" s="359">
        <v>73.188999999999993</v>
      </c>
      <c r="AT54" s="358">
        <f t="shared" si="13"/>
        <v>7.318899999999999E-2</v>
      </c>
      <c r="AU54" s="358" t="s">
        <v>857</v>
      </c>
      <c r="AV54" s="360">
        <v>1.4999999999999999E-2</v>
      </c>
      <c r="AW54" s="360">
        <v>0.15</v>
      </c>
      <c r="AX54" s="358" t="s">
        <v>322</v>
      </c>
      <c r="AY54" s="358">
        <v>0</v>
      </c>
      <c r="AZ54" s="358">
        <f t="shared" si="14"/>
        <v>0</v>
      </c>
      <c r="BA54" s="358" t="s">
        <v>856</v>
      </c>
      <c r="BB54" s="360">
        <v>0</v>
      </c>
      <c r="BC54" s="360">
        <v>0</v>
      </c>
      <c r="BD54" s="358" t="s">
        <v>322</v>
      </c>
      <c r="BE54" s="363">
        <v>0</v>
      </c>
      <c r="BF54" s="364">
        <f t="shared" si="15"/>
        <v>0</v>
      </c>
      <c r="BG54" s="364" t="s">
        <v>857</v>
      </c>
      <c r="BH54" s="365">
        <v>0</v>
      </c>
      <c r="BI54" s="365">
        <v>0</v>
      </c>
      <c r="BJ54" s="364" t="s">
        <v>322</v>
      </c>
      <c r="BK54" s="258"/>
      <c r="BL54" s="235">
        <v>0.6</v>
      </c>
      <c r="BM54" s="235">
        <v>1</v>
      </c>
      <c r="BN54" s="235"/>
      <c r="BO54" s="235"/>
      <c r="BP54" s="235"/>
      <c r="BQ54" s="235"/>
      <c r="BR54" s="235"/>
      <c r="BS54" s="235"/>
      <c r="BT54" s="235"/>
      <c r="BU54" s="235"/>
      <c r="BV54" s="235"/>
      <c r="BW54" s="235"/>
      <c r="BX54" s="235"/>
    </row>
    <row r="55" spans="23:76" s="247" customFormat="1" ht="16.5" customHeight="1" thickBot="1" x14ac:dyDescent="0.3">
      <c r="Z55" s="251"/>
      <c r="AB55" s="251"/>
      <c r="AE55" s="242"/>
      <c r="AF55" s="357" t="str">
        <f>'[1]HC CORPORATIVA-INCERTIDUMBRE'!BH115</f>
        <v>Cascarilla de Arroz</v>
      </c>
      <c r="AG55" s="358" t="s">
        <v>325</v>
      </c>
      <c r="AH55" s="359">
        <v>1553.251</v>
      </c>
      <c r="AI55" s="358" t="s">
        <v>855</v>
      </c>
      <c r="AJ55" s="360">
        <v>4.4900000000000001E-3</v>
      </c>
      <c r="AK55" s="360">
        <v>4.4900000000000001E-3</v>
      </c>
      <c r="AL55" s="361" t="s">
        <v>320</v>
      </c>
      <c r="AM55" s="362">
        <v>448.58800000000002</v>
      </c>
      <c r="AN55" s="358">
        <f t="shared" si="12"/>
        <v>0.44858800000000004</v>
      </c>
      <c r="AO55" s="358" t="s">
        <v>856</v>
      </c>
      <c r="AP55" s="360">
        <v>0.1</v>
      </c>
      <c r="AQ55" s="360">
        <v>1</v>
      </c>
      <c r="AR55" s="358" t="s">
        <v>322</v>
      </c>
      <c r="AS55" s="359">
        <v>59.811999999999998</v>
      </c>
      <c r="AT55" s="358">
        <f t="shared" si="13"/>
        <v>5.9811999999999997E-2</v>
      </c>
      <c r="AU55" s="358" t="s">
        <v>857</v>
      </c>
      <c r="AV55" s="360">
        <v>1.4999999999999999E-2</v>
      </c>
      <c r="AW55" s="360">
        <v>0.15</v>
      </c>
      <c r="AX55" s="358" t="s">
        <v>322</v>
      </c>
      <c r="AY55" s="358">
        <v>0</v>
      </c>
      <c r="AZ55" s="358">
        <f t="shared" si="14"/>
        <v>0</v>
      </c>
      <c r="BA55" s="358" t="s">
        <v>856</v>
      </c>
      <c r="BB55" s="360">
        <v>0</v>
      </c>
      <c r="BC55" s="360">
        <v>0</v>
      </c>
      <c r="BD55" s="358" t="s">
        <v>322</v>
      </c>
      <c r="BE55" s="363">
        <v>0</v>
      </c>
      <c r="BF55" s="364">
        <f t="shared" si="15"/>
        <v>0</v>
      </c>
      <c r="BG55" s="364" t="s">
        <v>857</v>
      </c>
      <c r="BH55" s="365">
        <v>0</v>
      </c>
      <c r="BI55" s="365">
        <v>0</v>
      </c>
      <c r="BJ55" s="364" t="s">
        <v>322</v>
      </c>
      <c r="BK55" s="258"/>
      <c r="BL55" s="235">
        <v>0.6</v>
      </c>
      <c r="BM55" s="235">
        <v>1</v>
      </c>
      <c r="BN55" s="235"/>
      <c r="BO55" s="235"/>
      <c r="BP55" s="235"/>
      <c r="BQ55" s="235"/>
      <c r="BR55" s="235"/>
      <c r="BS55" s="235"/>
      <c r="BT55" s="235"/>
      <c r="BU55" s="235"/>
      <c r="BV55" s="235"/>
      <c r="BW55" s="235"/>
      <c r="BX55" s="235"/>
    </row>
    <row r="56" spans="23:76" s="247" customFormat="1" ht="16.5" customHeight="1" thickBot="1" x14ac:dyDescent="0.3">
      <c r="Z56" s="251"/>
      <c r="AB56" s="251"/>
      <c r="AE56" s="242"/>
      <c r="AF56" s="357" t="str">
        <f>'[1]HC CORPORATIVA-INCERTIDUMBRE'!BH116</f>
        <v>Borra de Café</v>
      </c>
      <c r="AG56" s="358" t="s">
        <v>325</v>
      </c>
      <c r="AH56" s="359">
        <v>2222.1489999999999</v>
      </c>
      <c r="AI56" s="358" t="s">
        <v>855</v>
      </c>
      <c r="AJ56" s="360">
        <v>3.0299999999999997E-3</v>
      </c>
      <c r="AK56" s="360">
        <v>3.0299999999999997E-3</v>
      </c>
      <c r="AL56" s="361" t="s">
        <v>320</v>
      </c>
      <c r="AM56" s="362">
        <v>735.18600000000004</v>
      </c>
      <c r="AN56" s="358">
        <f t="shared" si="12"/>
        <v>0.73518600000000001</v>
      </c>
      <c r="AO56" s="358" t="s">
        <v>856</v>
      </c>
      <c r="AP56" s="360">
        <v>0.1</v>
      </c>
      <c r="AQ56" s="360">
        <v>1</v>
      </c>
      <c r="AR56" s="358" t="s">
        <v>322</v>
      </c>
      <c r="AS56" s="359">
        <v>98.025000000000006</v>
      </c>
      <c r="AT56" s="358">
        <f t="shared" si="13"/>
        <v>9.8025000000000001E-2</v>
      </c>
      <c r="AU56" s="358" t="s">
        <v>857</v>
      </c>
      <c r="AV56" s="360">
        <v>1.4999999999999999E-2</v>
      </c>
      <c r="AW56" s="360">
        <v>0.15</v>
      </c>
      <c r="AX56" s="358" t="s">
        <v>322</v>
      </c>
      <c r="AY56" s="358">
        <v>0</v>
      </c>
      <c r="AZ56" s="358">
        <f t="shared" si="14"/>
        <v>0</v>
      </c>
      <c r="BA56" s="358" t="s">
        <v>856</v>
      </c>
      <c r="BB56" s="360">
        <v>0</v>
      </c>
      <c r="BC56" s="360">
        <v>0</v>
      </c>
      <c r="BD56" s="358" t="s">
        <v>322</v>
      </c>
      <c r="BE56" s="363">
        <v>0</v>
      </c>
      <c r="BF56" s="364">
        <f t="shared" si="15"/>
        <v>0</v>
      </c>
      <c r="BG56" s="364" t="s">
        <v>857</v>
      </c>
      <c r="BH56" s="365">
        <v>0</v>
      </c>
      <c r="BI56" s="365">
        <v>0</v>
      </c>
      <c r="BJ56" s="364" t="s">
        <v>322</v>
      </c>
      <c r="BK56" s="258"/>
      <c r="BL56" s="235">
        <v>0.6</v>
      </c>
      <c r="BM56" s="235">
        <v>1</v>
      </c>
      <c r="BN56" s="235"/>
      <c r="BO56" s="235"/>
      <c r="BP56" s="235"/>
      <c r="BQ56" s="235"/>
      <c r="BR56" s="235"/>
      <c r="BS56" s="235"/>
      <c r="BT56" s="235"/>
      <c r="BU56" s="235"/>
      <c r="BV56" s="235"/>
      <c r="BW56" s="235"/>
      <c r="BX56" s="235"/>
    </row>
    <row r="57" spans="23:76" s="247" customFormat="1" ht="16.5" customHeight="1" thickBot="1" x14ac:dyDescent="0.3">
      <c r="Z57" s="251"/>
      <c r="AB57" s="251"/>
      <c r="AE57" s="242"/>
      <c r="AF57" s="357" t="str">
        <f>'[1]HC CORPORATIVA-INCERTIDUMBRE'!BH117</f>
        <v>Cisco de Café</v>
      </c>
      <c r="AG57" s="358" t="s">
        <v>325</v>
      </c>
      <c r="AH57" s="359">
        <v>1871.6690000000001</v>
      </c>
      <c r="AI57" s="358" t="s">
        <v>855</v>
      </c>
      <c r="AJ57" s="360">
        <v>3.7299999999999998E-3</v>
      </c>
      <c r="AK57" s="360">
        <v>3.7299999999999998E-3</v>
      </c>
      <c r="AL57" s="361" t="s">
        <v>320</v>
      </c>
      <c r="AM57" s="362">
        <v>537.78</v>
      </c>
      <c r="AN57" s="358">
        <f t="shared" si="12"/>
        <v>0.53777999999999992</v>
      </c>
      <c r="AO57" s="358" t="s">
        <v>856</v>
      </c>
      <c r="AP57" s="360">
        <v>0.1</v>
      </c>
      <c r="AQ57" s="360">
        <v>1</v>
      </c>
      <c r="AR57" s="358" t="s">
        <v>322</v>
      </c>
      <c r="AS57" s="359">
        <v>71.703999999999994</v>
      </c>
      <c r="AT57" s="358">
        <f t="shared" si="13"/>
        <v>7.170399999999999E-2</v>
      </c>
      <c r="AU57" s="358" t="s">
        <v>857</v>
      </c>
      <c r="AV57" s="360">
        <v>1.4999999999999999E-2</v>
      </c>
      <c r="AW57" s="360">
        <v>0.15</v>
      </c>
      <c r="AX57" s="358" t="s">
        <v>322</v>
      </c>
      <c r="AY57" s="358">
        <v>0</v>
      </c>
      <c r="AZ57" s="358">
        <f t="shared" si="14"/>
        <v>0</v>
      </c>
      <c r="BA57" s="358" t="s">
        <v>856</v>
      </c>
      <c r="BB57" s="360">
        <v>0</v>
      </c>
      <c r="BC57" s="360">
        <v>0</v>
      </c>
      <c r="BD57" s="358" t="s">
        <v>322</v>
      </c>
      <c r="BE57" s="363">
        <v>0</v>
      </c>
      <c r="BF57" s="364">
        <f t="shared" si="15"/>
        <v>0</v>
      </c>
      <c r="BG57" s="364" t="s">
        <v>857</v>
      </c>
      <c r="BH57" s="365">
        <v>0</v>
      </c>
      <c r="BI57" s="365">
        <v>0</v>
      </c>
      <c r="BJ57" s="364" t="s">
        <v>322</v>
      </c>
      <c r="BK57" s="258"/>
      <c r="BL57" s="235">
        <v>0.6</v>
      </c>
      <c r="BM57" s="235">
        <v>1</v>
      </c>
      <c r="BN57" s="235"/>
      <c r="BO57" s="235"/>
      <c r="BP57" s="235"/>
      <c r="BQ57" s="235"/>
      <c r="BR57" s="235"/>
      <c r="BS57" s="235"/>
      <c r="BT57" s="235"/>
      <c r="BU57" s="235"/>
      <c r="BV57" s="235"/>
      <c r="BW57" s="235"/>
      <c r="BX57" s="235"/>
    </row>
    <row r="58" spans="23:76" s="247" customFormat="1" ht="16.5" customHeight="1" thickBot="1" x14ac:dyDescent="0.3">
      <c r="Z58" s="251"/>
      <c r="AB58" s="251"/>
      <c r="AE58" s="242"/>
      <c r="AF58" s="357" t="str">
        <f>'[1]HC CORPORATIVA-INCERTIDUMBRE'!BH118</f>
        <v>Leña</v>
      </c>
      <c r="AG58" s="358" t="s">
        <v>325</v>
      </c>
      <c r="AH58" s="359">
        <v>1521.3389999999999</v>
      </c>
      <c r="AI58" s="358" t="s">
        <v>855</v>
      </c>
      <c r="AJ58" s="360">
        <v>4.4099999999999999E-3</v>
      </c>
      <c r="AK58" s="360">
        <v>4.4099999999999999E-3</v>
      </c>
      <c r="AL58" s="361" t="s">
        <v>320</v>
      </c>
      <c r="AM58" s="362">
        <v>509.80399999999997</v>
      </c>
      <c r="AN58" s="358">
        <f t="shared" si="12"/>
        <v>0.50980399999999992</v>
      </c>
      <c r="AO58" s="358" t="s">
        <v>856</v>
      </c>
      <c r="AP58" s="360">
        <v>0.1</v>
      </c>
      <c r="AQ58" s="360">
        <v>1</v>
      </c>
      <c r="AR58" s="358" t="s">
        <v>322</v>
      </c>
      <c r="AS58" s="359">
        <v>67.974000000000004</v>
      </c>
      <c r="AT58" s="358">
        <f t="shared" si="13"/>
        <v>6.7974000000000007E-2</v>
      </c>
      <c r="AU58" s="358" t="s">
        <v>857</v>
      </c>
      <c r="AV58" s="360">
        <v>1.4999999999999999E-2</v>
      </c>
      <c r="AW58" s="360">
        <v>0.15</v>
      </c>
      <c r="AX58" s="358" t="s">
        <v>322</v>
      </c>
      <c r="AY58" s="358">
        <v>0</v>
      </c>
      <c r="AZ58" s="358">
        <f t="shared" si="14"/>
        <v>0</v>
      </c>
      <c r="BA58" s="358" t="s">
        <v>856</v>
      </c>
      <c r="BB58" s="360">
        <v>0</v>
      </c>
      <c r="BC58" s="360">
        <v>0</v>
      </c>
      <c r="BD58" s="358" t="s">
        <v>322</v>
      </c>
      <c r="BE58" s="363">
        <v>0</v>
      </c>
      <c r="BF58" s="364">
        <f t="shared" si="15"/>
        <v>0</v>
      </c>
      <c r="BG58" s="364" t="s">
        <v>857</v>
      </c>
      <c r="BH58" s="365">
        <v>0</v>
      </c>
      <c r="BI58" s="365">
        <v>0</v>
      </c>
      <c r="BJ58" s="364" t="s">
        <v>322</v>
      </c>
      <c r="BK58" s="258"/>
      <c r="BL58" s="235">
        <v>0.6</v>
      </c>
      <c r="BM58" s="235">
        <v>1</v>
      </c>
      <c r="BN58" s="235"/>
      <c r="BO58" s="235"/>
      <c r="BP58" s="235"/>
      <c r="BQ58" s="235"/>
      <c r="BR58" s="235"/>
      <c r="BS58" s="235"/>
      <c r="BT58" s="235"/>
      <c r="BU58" s="235"/>
      <c r="BV58" s="235"/>
      <c r="BW58" s="235"/>
      <c r="BX58" s="235"/>
    </row>
    <row r="59" spans="23:76" s="247" customFormat="1" ht="16.5" customHeight="1" thickBot="1" x14ac:dyDescent="0.3">
      <c r="Z59" s="251"/>
      <c r="AB59" s="251"/>
      <c r="AE59" s="242"/>
      <c r="AF59" s="357" t="str">
        <f>'[1]HC CORPORATIVA-INCERTIDUMBRE'!BH119</f>
        <v>Madera Genérico</v>
      </c>
      <c r="AG59" s="358" t="s">
        <v>325</v>
      </c>
      <c r="AH59" s="359">
        <v>1958.4190000000001</v>
      </c>
      <c r="AI59" s="358" t="s">
        <v>855</v>
      </c>
      <c r="AJ59" s="360">
        <v>3.6800000000000001E-3</v>
      </c>
      <c r="AK59" s="360">
        <v>3.6800000000000001E-3</v>
      </c>
      <c r="AL59" s="361" t="s">
        <v>320</v>
      </c>
      <c r="AM59" s="362">
        <v>509.37299999999999</v>
      </c>
      <c r="AN59" s="358">
        <f t="shared" si="12"/>
        <v>0.50937299999999996</v>
      </c>
      <c r="AO59" s="358" t="s">
        <v>856</v>
      </c>
      <c r="AP59" s="360">
        <v>0.1</v>
      </c>
      <c r="AQ59" s="360">
        <v>1</v>
      </c>
      <c r="AR59" s="358" t="s">
        <v>322</v>
      </c>
      <c r="AS59" s="359">
        <v>67.915999999999997</v>
      </c>
      <c r="AT59" s="358">
        <f t="shared" si="13"/>
        <v>6.791599999999999E-2</v>
      </c>
      <c r="AU59" s="358" t="s">
        <v>857</v>
      </c>
      <c r="AV59" s="360">
        <v>1.4999999999999999E-2</v>
      </c>
      <c r="AW59" s="360">
        <v>0.15</v>
      </c>
      <c r="AX59" s="358" t="s">
        <v>322</v>
      </c>
      <c r="AY59" s="358">
        <v>0</v>
      </c>
      <c r="AZ59" s="358">
        <f t="shared" si="14"/>
        <v>0</v>
      </c>
      <c r="BA59" s="358" t="s">
        <v>856</v>
      </c>
      <c r="BB59" s="360">
        <v>0</v>
      </c>
      <c r="BC59" s="360">
        <v>0</v>
      </c>
      <c r="BD59" s="358" t="s">
        <v>322</v>
      </c>
      <c r="BE59" s="363">
        <v>0</v>
      </c>
      <c r="BF59" s="364">
        <f t="shared" si="15"/>
        <v>0</v>
      </c>
      <c r="BG59" s="364" t="s">
        <v>857</v>
      </c>
      <c r="BH59" s="365">
        <v>0</v>
      </c>
      <c r="BI59" s="365">
        <v>0</v>
      </c>
      <c r="BJ59" s="364" t="s">
        <v>322</v>
      </c>
      <c r="BK59" s="258"/>
      <c r="BL59" s="235">
        <v>0.6</v>
      </c>
      <c r="BM59" s="235">
        <v>1</v>
      </c>
      <c r="BN59" s="235"/>
      <c r="BO59" s="235"/>
      <c r="BP59" s="235"/>
      <c r="BQ59" s="235"/>
      <c r="BR59" s="235"/>
      <c r="BS59" s="235"/>
      <c r="BT59" s="235"/>
      <c r="BU59" s="235"/>
      <c r="BV59" s="235"/>
      <c r="BW59" s="235"/>
      <c r="BX59" s="235"/>
    </row>
    <row r="60" spans="23:76" s="247" customFormat="1" ht="16.5" customHeight="1" thickBot="1" x14ac:dyDescent="0.3">
      <c r="Z60" s="251"/>
      <c r="AB60" s="251"/>
      <c r="AE60" s="242"/>
      <c r="AF60" s="357" t="str">
        <f>'[1]HC CORPORATIVA-INCERTIDUMBRE'!BH120</f>
        <v>Madera Eucalipto</v>
      </c>
      <c r="AG60" s="358" t="s">
        <v>325</v>
      </c>
      <c r="AH60" s="359">
        <v>1953.38</v>
      </c>
      <c r="AI60" s="358" t="s">
        <v>855</v>
      </c>
      <c r="AJ60" s="360">
        <v>3.5899999999999999E-3</v>
      </c>
      <c r="AK60" s="360">
        <v>3.5899999999999999E-3</v>
      </c>
      <c r="AL60" s="361" t="s">
        <v>320</v>
      </c>
      <c r="AM60" s="362">
        <v>554.66999999999996</v>
      </c>
      <c r="AN60" s="358">
        <f t="shared" si="12"/>
        <v>0.55467</v>
      </c>
      <c r="AO60" s="358" t="s">
        <v>856</v>
      </c>
      <c r="AP60" s="360">
        <v>0.1</v>
      </c>
      <c r="AQ60" s="360">
        <v>1</v>
      </c>
      <c r="AR60" s="358" t="s">
        <v>322</v>
      </c>
      <c r="AS60" s="359">
        <v>73.956000000000003</v>
      </c>
      <c r="AT60" s="358">
        <f t="shared" si="13"/>
        <v>7.3956000000000008E-2</v>
      </c>
      <c r="AU60" s="358" t="s">
        <v>857</v>
      </c>
      <c r="AV60" s="360">
        <v>1.4999999999999999E-2</v>
      </c>
      <c r="AW60" s="360">
        <v>0.15</v>
      </c>
      <c r="AX60" s="358" t="s">
        <v>322</v>
      </c>
      <c r="AY60" s="358">
        <v>0</v>
      </c>
      <c r="AZ60" s="358">
        <f t="shared" si="14"/>
        <v>0</v>
      </c>
      <c r="BA60" s="358" t="s">
        <v>856</v>
      </c>
      <c r="BB60" s="360">
        <v>0</v>
      </c>
      <c r="BC60" s="360">
        <v>0</v>
      </c>
      <c r="BD60" s="358" t="s">
        <v>322</v>
      </c>
      <c r="BE60" s="363">
        <v>0</v>
      </c>
      <c r="BF60" s="364">
        <f t="shared" si="15"/>
        <v>0</v>
      </c>
      <c r="BG60" s="364" t="s">
        <v>857</v>
      </c>
      <c r="BH60" s="365">
        <v>0</v>
      </c>
      <c r="BI60" s="365">
        <v>0</v>
      </c>
      <c r="BJ60" s="364" t="s">
        <v>322</v>
      </c>
      <c r="BK60" s="258"/>
      <c r="BL60" s="235">
        <v>0.6</v>
      </c>
      <c r="BM60" s="235">
        <v>1</v>
      </c>
      <c r="BN60" s="235"/>
      <c r="BO60" s="235"/>
      <c r="BP60" s="235"/>
      <c r="BQ60" s="235"/>
      <c r="BR60" s="235"/>
      <c r="BS60" s="235"/>
      <c r="BT60" s="235"/>
      <c r="BU60" s="235"/>
      <c r="BV60" s="235"/>
      <c r="BW60" s="235"/>
      <c r="BX60" s="235"/>
    </row>
    <row r="61" spans="23:76" s="247" customFormat="1" ht="16.5" customHeight="1" thickBot="1" x14ac:dyDescent="0.3">
      <c r="Z61" s="251"/>
      <c r="AB61" s="251"/>
      <c r="AE61" s="242"/>
      <c r="AF61" s="357" t="str">
        <f>'[1]HC CORPORATIVA-INCERTIDUMBRE'!BH121</f>
        <v>Madera Pino</v>
      </c>
      <c r="AG61" s="358" t="s">
        <v>325</v>
      </c>
      <c r="AH61" s="359">
        <v>2005.412</v>
      </c>
      <c r="AI61" s="358" t="s">
        <v>855</v>
      </c>
      <c r="AJ61" s="360">
        <v>3.4999999999999996E-3</v>
      </c>
      <c r="AK61" s="360">
        <v>3.4999999999999996E-3</v>
      </c>
      <c r="AL61" s="361" t="s">
        <v>320</v>
      </c>
      <c r="AM61" s="362">
        <v>569.07000000000005</v>
      </c>
      <c r="AN61" s="358">
        <f t="shared" si="12"/>
        <v>0.56907000000000008</v>
      </c>
      <c r="AO61" s="358" t="s">
        <v>856</v>
      </c>
      <c r="AP61" s="360">
        <v>0.1</v>
      </c>
      <c r="AQ61" s="360">
        <v>1</v>
      </c>
      <c r="AR61" s="358" t="s">
        <v>322</v>
      </c>
      <c r="AS61" s="359">
        <v>75.876000000000005</v>
      </c>
      <c r="AT61" s="358">
        <f t="shared" si="13"/>
        <v>7.5875999999999999E-2</v>
      </c>
      <c r="AU61" s="358" t="s">
        <v>857</v>
      </c>
      <c r="AV61" s="360">
        <v>1.4999999999999999E-2</v>
      </c>
      <c r="AW61" s="360">
        <v>0.15</v>
      </c>
      <c r="AX61" s="358" t="s">
        <v>322</v>
      </c>
      <c r="AY61" s="358">
        <v>0</v>
      </c>
      <c r="AZ61" s="358">
        <f t="shared" si="14"/>
        <v>0</v>
      </c>
      <c r="BA61" s="358" t="s">
        <v>856</v>
      </c>
      <c r="BB61" s="360">
        <v>0</v>
      </c>
      <c r="BC61" s="360">
        <v>0</v>
      </c>
      <c r="BD61" s="358" t="s">
        <v>322</v>
      </c>
      <c r="BE61" s="363">
        <v>0</v>
      </c>
      <c r="BF61" s="364">
        <f t="shared" si="15"/>
        <v>0</v>
      </c>
      <c r="BG61" s="364" t="s">
        <v>857</v>
      </c>
      <c r="BH61" s="365">
        <v>0</v>
      </c>
      <c r="BI61" s="365">
        <v>0</v>
      </c>
      <c r="BJ61" s="364" t="s">
        <v>322</v>
      </c>
      <c r="BK61" s="258"/>
      <c r="BL61" s="235">
        <v>0.6</v>
      </c>
      <c r="BM61" s="235">
        <v>1</v>
      </c>
      <c r="BN61" s="235"/>
      <c r="BO61" s="235"/>
      <c r="BP61" s="235"/>
      <c r="BQ61" s="235"/>
      <c r="BR61" s="235"/>
      <c r="BS61" s="235"/>
      <c r="BT61" s="235"/>
      <c r="BU61" s="235"/>
      <c r="BV61" s="235"/>
      <c r="BW61" s="235"/>
      <c r="BX61" s="235"/>
    </row>
    <row r="62" spans="23:76" s="247" customFormat="1" ht="16.5" customHeight="1" thickBot="1" x14ac:dyDescent="0.3">
      <c r="Z62" s="251"/>
      <c r="AB62" s="251"/>
      <c r="AE62" s="242"/>
      <c r="AF62" s="357" t="str">
        <f>'[1]HC CORPORATIVA-INCERTIDUMBRE'!BH122</f>
        <v>Madera Acacia</v>
      </c>
      <c r="AG62" s="358" t="s">
        <v>325</v>
      </c>
      <c r="AH62" s="359">
        <v>1942.7539999999999</v>
      </c>
      <c r="AI62" s="358" t="s">
        <v>855</v>
      </c>
      <c r="AJ62" s="360">
        <v>3.5899999999999999E-3</v>
      </c>
      <c r="AK62" s="360">
        <v>3.5899999999999999E-3</v>
      </c>
      <c r="AL62" s="361" t="s">
        <v>320</v>
      </c>
      <c r="AM62" s="362">
        <v>560.82000000000005</v>
      </c>
      <c r="AN62" s="358">
        <f t="shared" si="12"/>
        <v>0.5608200000000001</v>
      </c>
      <c r="AO62" s="358" t="s">
        <v>856</v>
      </c>
      <c r="AP62" s="360">
        <v>0.1</v>
      </c>
      <c r="AQ62" s="360">
        <v>1</v>
      </c>
      <c r="AR62" s="358" t="s">
        <v>322</v>
      </c>
      <c r="AS62" s="359">
        <v>74.775999999999996</v>
      </c>
      <c r="AT62" s="358">
        <f t="shared" si="13"/>
        <v>7.4775999999999995E-2</v>
      </c>
      <c r="AU62" s="358" t="s">
        <v>857</v>
      </c>
      <c r="AV62" s="360">
        <v>1.4999999999999999E-2</v>
      </c>
      <c r="AW62" s="360">
        <v>0.15</v>
      </c>
      <c r="AX62" s="358" t="s">
        <v>322</v>
      </c>
      <c r="AY62" s="358">
        <v>0</v>
      </c>
      <c r="AZ62" s="358">
        <f t="shared" si="14"/>
        <v>0</v>
      </c>
      <c r="BA62" s="358" t="s">
        <v>856</v>
      </c>
      <c r="BB62" s="360">
        <v>0</v>
      </c>
      <c r="BC62" s="360">
        <v>0</v>
      </c>
      <c r="BD62" s="358" t="s">
        <v>322</v>
      </c>
      <c r="BE62" s="363">
        <v>0</v>
      </c>
      <c r="BF62" s="364">
        <f t="shared" si="15"/>
        <v>0</v>
      </c>
      <c r="BG62" s="364" t="s">
        <v>857</v>
      </c>
      <c r="BH62" s="365">
        <v>0</v>
      </c>
      <c r="BI62" s="365">
        <v>0</v>
      </c>
      <c r="BJ62" s="364" t="s">
        <v>322</v>
      </c>
      <c r="BK62" s="258"/>
      <c r="BL62" s="235">
        <v>0.6</v>
      </c>
      <c r="BM62" s="235">
        <v>1</v>
      </c>
      <c r="BN62" s="235"/>
      <c r="BO62" s="235"/>
      <c r="BP62" s="235"/>
      <c r="BQ62" s="235"/>
      <c r="BR62" s="235"/>
      <c r="BS62" s="235"/>
      <c r="BT62" s="235"/>
      <c r="BU62" s="235"/>
      <c r="BV62" s="235"/>
      <c r="BW62" s="235"/>
      <c r="BX62" s="235"/>
    </row>
    <row r="63" spans="23:76" s="247" customFormat="1" ht="16.5" customHeight="1" thickBot="1" x14ac:dyDescent="0.3">
      <c r="Z63" s="251"/>
      <c r="AB63" s="251"/>
      <c r="AE63" s="242"/>
      <c r="AF63" s="357" t="str">
        <f>'[1]HC CORPORATIVA-INCERTIDUMBRE'!BH123</f>
        <v>Madera Melina</v>
      </c>
      <c r="AG63" s="358" t="s">
        <v>325</v>
      </c>
      <c r="AH63" s="359">
        <v>1932.1279999999999</v>
      </c>
      <c r="AI63" s="358" t="s">
        <v>855</v>
      </c>
      <c r="AJ63" s="360">
        <v>3.6099999999999999E-3</v>
      </c>
      <c r="AK63" s="360">
        <v>3.6099999999999999E-3</v>
      </c>
      <c r="AL63" s="361" t="s">
        <v>320</v>
      </c>
      <c r="AM63" s="362">
        <v>557.46</v>
      </c>
      <c r="AN63" s="358">
        <f>AM63/1000</f>
        <v>0.55746000000000007</v>
      </c>
      <c r="AO63" s="358" t="s">
        <v>856</v>
      </c>
      <c r="AP63" s="360">
        <v>0.1</v>
      </c>
      <c r="AQ63" s="360">
        <v>1</v>
      </c>
      <c r="AR63" s="358" t="s">
        <v>322</v>
      </c>
      <c r="AS63" s="359">
        <v>74.328000000000003</v>
      </c>
      <c r="AT63" s="358">
        <f>AS63/1000</f>
        <v>7.4328000000000005E-2</v>
      </c>
      <c r="AU63" s="358" t="s">
        <v>857</v>
      </c>
      <c r="AV63" s="360">
        <v>1.4999999999999999E-2</v>
      </c>
      <c r="AW63" s="360">
        <v>0.15</v>
      </c>
      <c r="AX63" s="358" t="s">
        <v>322</v>
      </c>
      <c r="AY63" s="358">
        <v>0</v>
      </c>
      <c r="AZ63" s="358">
        <f>AY63/1000</f>
        <v>0</v>
      </c>
      <c r="BA63" s="358" t="s">
        <v>856</v>
      </c>
      <c r="BB63" s="360">
        <v>0</v>
      </c>
      <c r="BC63" s="360">
        <v>0</v>
      </c>
      <c r="BD63" s="358" t="s">
        <v>322</v>
      </c>
      <c r="BE63" s="363">
        <v>0</v>
      </c>
      <c r="BF63" s="364">
        <f>BE63/1000</f>
        <v>0</v>
      </c>
      <c r="BG63" s="364" t="s">
        <v>857</v>
      </c>
      <c r="BH63" s="365">
        <v>0</v>
      </c>
      <c r="BI63" s="365">
        <v>0</v>
      </c>
      <c r="BJ63" s="364" t="s">
        <v>322</v>
      </c>
      <c r="BK63" s="258"/>
      <c r="BL63" s="235"/>
      <c r="BM63" s="235"/>
      <c r="BN63" s="235"/>
      <c r="BO63" s="235"/>
      <c r="BP63" s="235"/>
      <c r="BQ63" s="235"/>
      <c r="BR63" s="235"/>
      <c r="BS63" s="235"/>
      <c r="BT63" s="235"/>
      <c r="BU63" s="235"/>
      <c r="BV63" s="235"/>
      <c r="BW63" s="235"/>
      <c r="BX63" s="235"/>
    </row>
    <row r="64" spans="23:76" s="247" customFormat="1" ht="16.5" customHeight="1" thickBot="1" x14ac:dyDescent="0.3">
      <c r="Z64" s="251"/>
      <c r="AB64" s="251"/>
      <c r="AE64" s="242"/>
      <c r="AF64" s="366" t="s">
        <v>859</v>
      </c>
      <c r="AG64" s="358" t="s">
        <v>272</v>
      </c>
      <c r="AH64" s="359">
        <f>AH58/1000</f>
        <v>1.521339</v>
      </c>
      <c r="AI64" s="358" t="s">
        <v>860</v>
      </c>
      <c r="AJ64" s="359">
        <f t="shared" ref="AJ64:BJ64" si="16">AJ58</f>
        <v>4.4099999999999999E-3</v>
      </c>
      <c r="AK64" s="359">
        <f t="shared" si="16"/>
        <v>4.4099999999999999E-3</v>
      </c>
      <c r="AL64" s="359" t="str">
        <f t="shared" si="16"/>
        <v>FECOC, 2015</v>
      </c>
      <c r="AM64" s="359">
        <f t="shared" si="16"/>
        <v>509.80399999999997</v>
      </c>
      <c r="AN64" s="359">
        <f t="shared" si="16"/>
        <v>0.50980399999999992</v>
      </c>
      <c r="AO64" s="358" t="s">
        <v>856</v>
      </c>
      <c r="AP64" s="359">
        <f t="shared" si="16"/>
        <v>0.1</v>
      </c>
      <c r="AQ64" s="359">
        <f t="shared" si="16"/>
        <v>1</v>
      </c>
      <c r="AR64" s="359" t="str">
        <f t="shared" si="16"/>
        <v>IPCC, 2006</v>
      </c>
      <c r="AS64" s="359">
        <f t="shared" si="16"/>
        <v>67.974000000000004</v>
      </c>
      <c r="AT64" s="359">
        <f t="shared" si="16"/>
        <v>6.7974000000000007E-2</v>
      </c>
      <c r="AU64" s="358" t="s">
        <v>857</v>
      </c>
      <c r="AV64" s="359">
        <f t="shared" si="16"/>
        <v>1.4999999999999999E-2</v>
      </c>
      <c r="AW64" s="359">
        <f t="shared" si="16"/>
        <v>0.15</v>
      </c>
      <c r="AX64" s="359" t="str">
        <f t="shared" si="16"/>
        <v>IPCC, 2006</v>
      </c>
      <c r="AY64" s="359">
        <f t="shared" si="16"/>
        <v>0</v>
      </c>
      <c r="AZ64" s="359">
        <f t="shared" si="16"/>
        <v>0</v>
      </c>
      <c r="BA64" s="358" t="s">
        <v>856</v>
      </c>
      <c r="BB64" s="359">
        <f t="shared" si="16"/>
        <v>0</v>
      </c>
      <c r="BC64" s="359">
        <f t="shared" si="16"/>
        <v>0</v>
      </c>
      <c r="BD64" s="359" t="str">
        <f t="shared" si="16"/>
        <v>IPCC, 2006</v>
      </c>
      <c r="BE64" s="363">
        <f t="shared" si="16"/>
        <v>0</v>
      </c>
      <c r="BF64" s="363">
        <f t="shared" si="16"/>
        <v>0</v>
      </c>
      <c r="BG64" s="364" t="s">
        <v>857</v>
      </c>
      <c r="BH64" s="363">
        <f t="shared" si="16"/>
        <v>0</v>
      </c>
      <c r="BI64" s="363">
        <f t="shared" si="16"/>
        <v>0</v>
      </c>
      <c r="BJ64" s="363" t="str">
        <f t="shared" si="16"/>
        <v>IPCC, 2006</v>
      </c>
      <c r="BK64" s="258"/>
      <c r="BL64" s="235"/>
      <c r="BM64" s="235"/>
      <c r="BN64" s="235"/>
      <c r="BO64" s="235"/>
      <c r="BP64" s="235"/>
      <c r="BQ64" s="235"/>
      <c r="BR64" s="235"/>
      <c r="BS64" s="235"/>
      <c r="BT64" s="235"/>
      <c r="BU64" s="235"/>
      <c r="BV64" s="235"/>
      <c r="BW64" s="235"/>
      <c r="BX64" s="235"/>
    </row>
    <row r="65" spans="1:105" s="247" customFormat="1" ht="16.5" customHeight="1" thickBot="1" x14ac:dyDescent="0.3">
      <c r="Z65" s="251"/>
      <c r="AB65" s="251"/>
      <c r="AE65" s="242"/>
      <c r="AF65" s="366" t="s">
        <v>861</v>
      </c>
      <c r="AG65" s="358" t="s">
        <v>272</v>
      </c>
      <c r="AH65" s="359">
        <f>AH64</f>
        <v>1.521339</v>
      </c>
      <c r="AI65" s="359" t="str">
        <f t="shared" ref="AI65:BJ65" si="17">AI64</f>
        <v>kg CO2/kg</v>
      </c>
      <c r="AJ65" s="359">
        <f t="shared" si="17"/>
        <v>4.4099999999999999E-3</v>
      </c>
      <c r="AK65" s="359">
        <f t="shared" si="17"/>
        <v>4.4099999999999999E-3</v>
      </c>
      <c r="AL65" s="359" t="str">
        <f t="shared" si="17"/>
        <v>FECOC, 2015</v>
      </c>
      <c r="AM65" s="359">
        <f t="shared" si="17"/>
        <v>509.80399999999997</v>
      </c>
      <c r="AN65" s="359">
        <f t="shared" si="17"/>
        <v>0.50980399999999992</v>
      </c>
      <c r="AO65" s="358" t="s">
        <v>856</v>
      </c>
      <c r="AP65" s="359">
        <f t="shared" si="17"/>
        <v>0.1</v>
      </c>
      <c r="AQ65" s="359">
        <f t="shared" si="17"/>
        <v>1</v>
      </c>
      <c r="AR65" s="359" t="str">
        <f t="shared" si="17"/>
        <v>IPCC, 2006</v>
      </c>
      <c r="AS65" s="359">
        <f t="shared" si="17"/>
        <v>67.974000000000004</v>
      </c>
      <c r="AT65" s="359">
        <f t="shared" si="17"/>
        <v>6.7974000000000007E-2</v>
      </c>
      <c r="AU65" s="358" t="s">
        <v>857</v>
      </c>
      <c r="AV65" s="359">
        <f t="shared" si="17"/>
        <v>1.4999999999999999E-2</v>
      </c>
      <c r="AW65" s="359">
        <f t="shared" si="17"/>
        <v>0.15</v>
      </c>
      <c r="AX65" s="359" t="str">
        <f t="shared" si="17"/>
        <v>IPCC, 2006</v>
      </c>
      <c r="AY65" s="359">
        <f t="shared" si="17"/>
        <v>0</v>
      </c>
      <c r="AZ65" s="359">
        <f t="shared" si="17"/>
        <v>0</v>
      </c>
      <c r="BA65" s="358" t="s">
        <v>856</v>
      </c>
      <c r="BB65" s="359">
        <f t="shared" si="17"/>
        <v>0</v>
      </c>
      <c r="BC65" s="359">
        <f t="shared" si="17"/>
        <v>0</v>
      </c>
      <c r="BD65" s="359" t="str">
        <f t="shared" si="17"/>
        <v>IPCC, 2006</v>
      </c>
      <c r="BE65" s="363">
        <f t="shared" si="17"/>
        <v>0</v>
      </c>
      <c r="BF65" s="363">
        <f t="shared" si="17"/>
        <v>0</v>
      </c>
      <c r="BG65" s="363" t="str">
        <f t="shared" si="17"/>
        <v>kg N2O/t</v>
      </c>
      <c r="BH65" s="363">
        <f t="shared" si="17"/>
        <v>0</v>
      </c>
      <c r="BI65" s="363">
        <f t="shared" si="17"/>
        <v>0</v>
      </c>
      <c r="BJ65" s="363" t="str">
        <f t="shared" si="17"/>
        <v>IPCC, 2006</v>
      </c>
      <c r="BK65" s="258"/>
      <c r="BL65" s="235">
        <v>0.6</v>
      </c>
      <c r="BM65" s="235">
        <v>1</v>
      </c>
      <c r="BN65" s="235"/>
      <c r="BO65" s="235"/>
      <c r="BP65" s="235"/>
      <c r="BQ65" s="235"/>
      <c r="BR65" s="235"/>
      <c r="BS65" s="235"/>
      <c r="BT65" s="235"/>
      <c r="BU65" s="235"/>
      <c r="BV65" s="235"/>
      <c r="BW65" s="235"/>
      <c r="BX65" s="235"/>
    </row>
    <row r="66" spans="1:105" s="235" customFormat="1" ht="16.5" customHeight="1" x14ac:dyDescent="0.25">
      <c r="Z66" s="345"/>
      <c r="AB66" s="345"/>
      <c r="AE66" s="242"/>
      <c r="AF66" s="236">
        <v>0</v>
      </c>
      <c r="AG66" s="237">
        <v>0</v>
      </c>
      <c r="AH66" s="237">
        <v>0</v>
      </c>
      <c r="AI66" s="237">
        <v>0</v>
      </c>
      <c r="AJ66" s="238">
        <v>0</v>
      </c>
      <c r="AK66" s="238">
        <v>0</v>
      </c>
      <c r="AL66" s="238">
        <v>0</v>
      </c>
      <c r="AM66" s="367">
        <v>0</v>
      </c>
      <c r="AN66" s="367">
        <v>0</v>
      </c>
      <c r="AO66" s="367">
        <v>0</v>
      </c>
      <c r="AP66" s="367">
        <v>0</v>
      </c>
      <c r="AQ66" s="367">
        <v>0</v>
      </c>
      <c r="AR66" s="367">
        <v>0</v>
      </c>
      <c r="AS66" s="237">
        <v>0</v>
      </c>
      <c r="AT66" s="367">
        <v>0</v>
      </c>
      <c r="AU66" s="367">
        <v>0</v>
      </c>
      <c r="AV66" s="237">
        <v>0</v>
      </c>
      <c r="AW66" s="237">
        <v>0</v>
      </c>
      <c r="AX66" s="237">
        <v>0</v>
      </c>
      <c r="AY66" s="239">
        <v>0</v>
      </c>
      <c r="AZ66" s="367">
        <v>0</v>
      </c>
      <c r="BA66" s="367">
        <v>0</v>
      </c>
      <c r="BB66" s="239">
        <v>0</v>
      </c>
      <c r="BC66" s="239">
        <v>0</v>
      </c>
      <c r="BD66" s="239">
        <v>0</v>
      </c>
      <c r="BE66" s="257">
        <v>0</v>
      </c>
      <c r="BF66" s="368">
        <v>0</v>
      </c>
      <c r="BG66" s="368">
        <v>0</v>
      </c>
      <c r="BH66" s="257">
        <v>0</v>
      </c>
      <c r="BI66" s="257">
        <v>0</v>
      </c>
      <c r="BJ66" s="257">
        <v>0</v>
      </c>
      <c r="BK66" s="258"/>
    </row>
    <row r="67" spans="1:105" s="254" customFormat="1" ht="16.5" customHeight="1" thickBot="1" x14ac:dyDescent="0.3">
      <c r="A67" s="247"/>
      <c r="B67" s="247"/>
      <c r="C67" s="247"/>
      <c r="D67" s="247"/>
      <c r="E67" s="247"/>
      <c r="F67" s="247"/>
      <c r="G67" s="247"/>
      <c r="H67" s="247"/>
      <c r="I67" s="247"/>
      <c r="J67" s="247"/>
      <c r="K67" s="247"/>
      <c r="L67" s="247"/>
      <c r="M67" s="247"/>
      <c r="N67" s="247"/>
      <c r="O67" s="247"/>
      <c r="P67" s="247"/>
      <c r="Q67" s="247"/>
      <c r="R67" s="247"/>
      <c r="S67" s="247"/>
      <c r="T67" s="247"/>
      <c r="U67" s="247"/>
      <c r="V67" s="247"/>
      <c r="W67" s="247"/>
      <c r="X67" s="247"/>
      <c r="Y67" s="247"/>
      <c r="Z67" s="251"/>
      <c r="AA67" s="247"/>
      <c r="AB67" s="251"/>
      <c r="AC67" s="247"/>
      <c r="AD67" s="247"/>
      <c r="AE67" s="242"/>
      <c r="AF67" s="236"/>
      <c r="AG67" s="237"/>
      <c r="AH67" s="237"/>
      <c r="AI67" s="237"/>
      <c r="AJ67" s="238"/>
      <c r="AK67" s="238"/>
      <c r="AL67" s="238"/>
      <c r="AM67" s="367"/>
      <c r="AN67" s="367"/>
      <c r="AO67" s="367"/>
      <c r="AP67" s="367"/>
      <c r="AQ67" s="367"/>
      <c r="AR67" s="367"/>
      <c r="AS67" s="237"/>
      <c r="AT67" s="367"/>
      <c r="AU67" s="367"/>
      <c r="AV67" s="237"/>
      <c r="AW67" s="237"/>
      <c r="AX67" s="237"/>
      <c r="AY67" s="239"/>
      <c r="AZ67" s="367"/>
      <c r="BA67" s="367"/>
      <c r="BB67" s="239"/>
      <c r="BC67" s="239"/>
      <c r="BD67" s="239"/>
      <c r="BE67" s="257"/>
      <c r="BF67" s="368"/>
      <c r="BG67" s="368"/>
      <c r="BH67" s="257"/>
      <c r="BI67" s="257"/>
      <c r="BJ67" s="257"/>
      <c r="BK67" s="258"/>
      <c r="BL67" s="235"/>
      <c r="BM67" s="235"/>
      <c r="BN67" s="235"/>
      <c r="BO67" s="235"/>
      <c r="BP67" s="235"/>
      <c r="BQ67" s="235"/>
      <c r="BR67" s="235"/>
      <c r="BS67" s="235"/>
      <c r="BT67" s="235"/>
      <c r="BU67" s="235"/>
      <c r="BV67" s="235"/>
      <c r="BW67" s="235"/>
      <c r="BX67" s="235"/>
      <c r="BY67" s="235"/>
      <c r="BZ67" s="235"/>
      <c r="CA67" s="235"/>
      <c r="CB67" s="235"/>
      <c r="CC67" s="235"/>
      <c r="CD67" s="235"/>
      <c r="CE67" s="235"/>
      <c r="CF67" s="235"/>
      <c r="CG67" s="235"/>
      <c r="CH67" s="235"/>
      <c r="CI67" s="235"/>
      <c r="CJ67" s="235"/>
      <c r="CK67" s="235"/>
      <c r="CL67" s="235"/>
      <c r="CM67" s="235"/>
      <c r="CN67" s="235"/>
      <c r="CO67" s="235"/>
      <c r="CP67" s="235"/>
      <c r="CQ67" s="235"/>
      <c r="CR67" s="235"/>
      <c r="CS67" s="235"/>
      <c r="CT67" s="260"/>
      <c r="CU67" s="260"/>
      <c r="CV67" s="260"/>
      <c r="CW67" s="260"/>
      <c r="CX67" s="260"/>
      <c r="CY67" s="260"/>
      <c r="CZ67" s="260"/>
      <c r="DA67" s="260"/>
    </row>
    <row r="68" spans="1:105" s="254" customFormat="1" ht="26.25" customHeight="1" thickBot="1" x14ac:dyDescent="0.3">
      <c r="A68" s="247"/>
      <c r="B68" s="247"/>
      <c r="C68" s="247"/>
      <c r="D68" s="247"/>
      <c r="E68" s="247"/>
      <c r="F68" s="247"/>
      <c r="G68" s="247"/>
      <c r="H68" s="247"/>
      <c r="I68" s="247"/>
      <c r="J68" s="247"/>
      <c r="K68" s="247"/>
      <c r="L68" s="247"/>
      <c r="M68" s="247"/>
      <c r="N68" s="247"/>
      <c r="O68" s="247"/>
      <c r="P68" s="247"/>
      <c r="Q68" s="247"/>
      <c r="R68" s="247"/>
      <c r="S68" s="247"/>
      <c r="T68" s="247"/>
      <c r="U68" s="247"/>
      <c r="V68" s="247"/>
      <c r="W68" s="247"/>
      <c r="X68" s="247"/>
      <c r="Y68" s="247"/>
      <c r="Z68" s="251"/>
      <c r="AA68" s="247"/>
      <c r="AB68" s="251"/>
      <c r="AC68" s="247"/>
      <c r="AD68" s="247"/>
      <c r="AE68" s="242"/>
      <c r="AF68" s="622" t="s">
        <v>350</v>
      </c>
      <c r="AG68" s="229"/>
      <c r="AH68" s="622" t="s">
        <v>351</v>
      </c>
      <c r="AI68" s="229"/>
      <c r="AJ68" s="622" t="s">
        <v>302</v>
      </c>
      <c r="AK68" s="622" t="s">
        <v>302</v>
      </c>
      <c r="AL68" s="622" t="s">
        <v>303</v>
      </c>
      <c r="AM68" s="627" t="s">
        <v>304</v>
      </c>
      <c r="AN68" s="628"/>
      <c r="AO68" s="628"/>
      <c r="AP68" s="628"/>
      <c r="AQ68" s="628"/>
      <c r="AR68" s="628"/>
      <c r="AS68" s="628"/>
      <c r="AT68" s="628"/>
      <c r="AU68" s="628"/>
      <c r="AV68" s="628"/>
      <c r="AW68" s="628"/>
      <c r="AX68" s="629"/>
      <c r="AY68" s="630" t="s">
        <v>305</v>
      </c>
      <c r="AZ68" s="631"/>
      <c r="BA68" s="631"/>
      <c r="BB68" s="631"/>
      <c r="BC68" s="631"/>
      <c r="BD68" s="631"/>
      <c r="BE68" s="631"/>
      <c r="BF68" s="631"/>
      <c r="BG68" s="631"/>
      <c r="BH68" s="631"/>
      <c r="BI68" s="631"/>
      <c r="BJ68" s="632"/>
      <c r="BK68" s="258"/>
      <c r="BL68" s="235"/>
      <c r="BM68" s="235"/>
      <c r="BN68" s="235"/>
      <c r="BO68" s="235"/>
      <c r="BP68" s="235"/>
      <c r="BQ68" s="235"/>
      <c r="BR68" s="235"/>
      <c r="BS68" s="235"/>
      <c r="BT68" s="235"/>
      <c r="BU68" s="235"/>
      <c r="BV68" s="235"/>
      <c r="BW68" s="235"/>
      <c r="BX68" s="235"/>
      <c r="BY68" s="235"/>
      <c r="BZ68" s="235"/>
      <c r="CA68" s="235"/>
      <c r="CB68" s="235"/>
      <c r="CC68" s="235"/>
      <c r="CD68" s="235"/>
      <c r="CE68" s="235"/>
      <c r="CF68" s="235"/>
      <c r="CG68" s="235"/>
      <c r="CH68" s="235"/>
      <c r="CI68" s="235"/>
      <c r="CJ68" s="235"/>
      <c r="CK68" s="235"/>
      <c r="CL68" s="235"/>
      <c r="CM68" s="235"/>
      <c r="CN68" s="235"/>
      <c r="CO68" s="235"/>
      <c r="CP68" s="235"/>
      <c r="CQ68" s="235"/>
      <c r="CR68" s="235"/>
      <c r="CS68" s="235"/>
      <c r="CT68" s="260"/>
      <c r="CU68" s="260"/>
      <c r="CV68" s="260"/>
      <c r="CW68" s="260"/>
      <c r="CX68" s="260"/>
      <c r="CY68" s="260"/>
      <c r="CZ68" s="260"/>
      <c r="DA68" s="260"/>
    </row>
    <row r="69" spans="1:105" s="254" customFormat="1" ht="58.5" customHeight="1" thickBot="1" x14ac:dyDescent="0.3">
      <c r="A69" s="247"/>
      <c r="B69" s="247"/>
      <c r="C69" s="247"/>
      <c r="D69" s="247"/>
      <c r="E69" s="247"/>
      <c r="F69" s="247"/>
      <c r="G69" s="247"/>
      <c r="H69" s="247"/>
      <c r="I69" s="247"/>
      <c r="J69" s="247"/>
      <c r="K69" s="247"/>
      <c r="L69" s="247"/>
      <c r="M69" s="247"/>
      <c r="N69" s="247"/>
      <c r="O69" s="247"/>
      <c r="P69" s="247"/>
      <c r="Q69" s="247"/>
      <c r="R69" s="247"/>
      <c r="S69" s="247"/>
      <c r="T69" s="247"/>
      <c r="U69" s="247"/>
      <c r="V69" s="247"/>
      <c r="W69" s="247"/>
      <c r="X69" s="247"/>
      <c r="Y69" s="247"/>
      <c r="Z69" s="251"/>
      <c r="AA69" s="247"/>
      <c r="AB69" s="251"/>
      <c r="AC69" s="247"/>
      <c r="AD69" s="247"/>
      <c r="AE69" s="242"/>
      <c r="AF69" s="623"/>
      <c r="AG69" s="230" t="s">
        <v>308</v>
      </c>
      <c r="AH69" s="623"/>
      <c r="AI69" s="230" t="s">
        <v>309</v>
      </c>
      <c r="AJ69" s="623"/>
      <c r="AK69" s="623"/>
      <c r="AL69" s="623"/>
      <c r="AM69" s="354" t="s">
        <v>352</v>
      </c>
      <c r="AN69" s="354" t="s">
        <v>353</v>
      </c>
      <c r="AO69" s="230" t="s">
        <v>309</v>
      </c>
      <c r="AP69" s="354" t="s">
        <v>302</v>
      </c>
      <c r="AQ69" s="354" t="s">
        <v>302</v>
      </c>
      <c r="AR69" s="354" t="s">
        <v>303</v>
      </c>
      <c r="AS69" s="354" t="s">
        <v>354</v>
      </c>
      <c r="AT69" s="354" t="s">
        <v>355</v>
      </c>
      <c r="AU69" s="230" t="s">
        <v>309</v>
      </c>
      <c r="AV69" s="354" t="s">
        <v>302</v>
      </c>
      <c r="AW69" s="354" t="s">
        <v>302</v>
      </c>
      <c r="AX69" s="354" t="s">
        <v>303</v>
      </c>
      <c r="AY69" s="354" t="s">
        <v>352</v>
      </c>
      <c r="AZ69" s="354" t="s">
        <v>353</v>
      </c>
      <c r="BA69" s="230" t="s">
        <v>309</v>
      </c>
      <c r="BB69" s="354" t="s">
        <v>302</v>
      </c>
      <c r="BC69" s="354" t="s">
        <v>302</v>
      </c>
      <c r="BD69" s="354" t="s">
        <v>303</v>
      </c>
      <c r="BE69" s="355" t="s">
        <v>354</v>
      </c>
      <c r="BF69" s="355" t="s">
        <v>355</v>
      </c>
      <c r="BG69" s="356" t="s">
        <v>309</v>
      </c>
      <c r="BH69" s="355" t="s">
        <v>302</v>
      </c>
      <c r="BI69" s="355" t="s">
        <v>302</v>
      </c>
      <c r="BJ69" s="355" t="s">
        <v>303</v>
      </c>
      <c r="BK69" s="258"/>
      <c r="BL69" s="235"/>
      <c r="BM69" s="235"/>
      <c r="BN69" s="235"/>
      <c r="BO69" s="235"/>
      <c r="BP69" s="235"/>
      <c r="BQ69" s="235"/>
      <c r="BR69" s="235"/>
      <c r="BS69" s="235"/>
      <c r="BT69" s="235"/>
      <c r="BU69" s="235"/>
      <c r="BV69" s="235"/>
      <c r="BW69" s="235"/>
      <c r="BX69" s="235"/>
      <c r="BY69" s="235"/>
      <c r="BZ69" s="235"/>
      <c r="CA69" s="235"/>
      <c r="CB69" s="235"/>
      <c r="CC69" s="235"/>
      <c r="CD69" s="235"/>
      <c r="CE69" s="235"/>
      <c r="CF69" s="235"/>
      <c r="CG69" s="235"/>
      <c r="CH69" s="235"/>
      <c r="CI69" s="235"/>
      <c r="CJ69" s="235"/>
      <c r="CK69" s="235"/>
      <c r="CL69" s="235"/>
      <c r="CM69" s="235"/>
      <c r="CN69" s="235"/>
      <c r="CO69" s="235"/>
      <c r="CP69" s="235"/>
      <c r="CQ69" s="235"/>
      <c r="CR69" s="235"/>
      <c r="CS69" s="235"/>
      <c r="CT69" s="260"/>
      <c r="CU69" s="260"/>
      <c r="CV69" s="260"/>
      <c r="CW69" s="260"/>
      <c r="CX69" s="260"/>
      <c r="CY69" s="260"/>
      <c r="CZ69" s="260"/>
      <c r="DA69" s="260"/>
    </row>
    <row r="70" spans="1:105" s="254" customFormat="1" ht="16.5" customHeight="1" thickBot="1" x14ac:dyDescent="0.3">
      <c r="A70" s="247"/>
      <c r="B70" s="247"/>
      <c r="C70" s="247"/>
      <c r="D70" s="247"/>
      <c r="E70" s="247"/>
      <c r="F70" s="247"/>
      <c r="G70" s="247"/>
      <c r="H70" s="247"/>
      <c r="I70" s="247"/>
      <c r="J70" s="247"/>
      <c r="K70" s="247"/>
      <c r="L70" s="247"/>
      <c r="M70" s="247"/>
      <c r="N70" s="247"/>
      <c r="O70" s="247"/>
      <c r="P70" s="247"/>
      <c r="Q70" s="247"/>
      <c r="R70" s="247"/>
      <c r="S70" s="247"/>
      <c r="T70" s="247"/>
      <c r="U70" s="247"/>
      <c r="V70" s="247"/>
      <c r="W70" s="247"/>
      <c r="X70" s="247"/>
      <c r="Y70" s="247"/>
      <c r="Z70" s="251"/>
      <c r="AA70" s="247"/>
      <c r="AB70" s="369"/>
      <c r="AC70" s="247"/>
      <c r="AD70" s="247"/>
      <c r="AE70" s="242"/>
      <c r="AF70" s="357" t="str">
        <f>'[1]HC CORPORATIVA-INCERTIDUMBRE'!BH136</f>
        <v>Biodiesel palma</v>
      </c>
      <c r="AG70" s="359" t="s">
        <v>356</v>
      </c>
      <c r="AH70" s="359">
        <v>6.8822999999999999</v>
      </c>
      <c r="AI70" s="358" t="s">
        <v>862</v>
      </c>
      <c r="AJ70" s="360">
        <v>2.98E-3</v>
      </c>
      <c r="AK70" s="360">
        <v>2.98E-3</v>
      </c>
      <c r="AL70" s="361" t="s">
        <v>863</v>
      </c>
      <c r="AM70" s="359">
        <v>2.5999999999999999E-2</v>
      </c>
      <c r="AN70" s="362">
        <f>AM70/1000</f>
        <v>2.5999999999999998E-5</v>
      </c>
      <c r="AO70" s="358" t="s">
        <v>864</v>
      </c>
      <c r="AP70" s="360">
        <v>0.01</v>
      </c>
      <c r="AQ70" s="360">
        <v>0.1</v>
      </c>
      <c r="AR70" s="358" t="s">
        <v>322</v>
      </c>
      <c r="AS70" s="359">
        <v>5.0000000000000001E-3</v>
      </c>
      <c r="AT70" s="362">
        <f>AS70/1000</f>
        <v>5.0000000000000004E-6</v>
      </c>
      <c r="AU70" s="358" t="s">
        <v>865</v>
      </c>
      <c r="AV70" s="360">
        <v>2E-3</v>
      </c>
      <c r="AW70" s="360">
        <v>0.02</v>
      </c>
      <c r="AX70" s="358" t="s">
        <v>322</v>
      </c>
      <c r="AY70" s="359">
        <v>3.4000000000000002E-2</v>
      </c>
      <c r="AZ70" s="362">
        <f>AY70/1000</f>
        <v>3.4E-5</v>
      </c>
      <c r="BA70" s="358" t="s">
        <v>864</v>
      </c>
      <c r="BB70" s="360">
        <v>1.6E-2</v>
      </c>
      <c r="BC70" s="360">
        <v>9.5000000000000001E-2</v>
      </c>
      <c r="BD70" s="358" t="s">
        <v>322</v>
      </c>
      <c r="BE70" s="363">
        <v>3.4000000000000002E-2</v>
      </c>
      <c r="BF70" s="370">
        <f>BE70/1000</f>
        <v>3.4E-5</v>
      </c>
      <c r="BG70" s="364" t="s">
        <v>865</v>
      </c>
      <c r="BH70" s="365">
        <v>1.2999999999999999E-2</v>
      </c>
      <c r="BI70" s="365">
        <v>0.12</v>
      </c>
      <c r="BJ70" s="364" t="s">
        <v>322</v>
      </c>
      <c r="BK70" s="258"/>
      <c r="BL70" s="235">
        <v>0.6</v>
      </c>
      <c r="BM70" s="235">
        <v>1</v>
      </c>
      <c r="BN70" s="235"/>
      <c r="BO70" s="235"/>
      <c r="BP70" s="235"/>
      <c r="BQ70" s="235"/>
      <c r="BR70" s="235"/>
      <c r="BS70" s="235"/>
      <c r="BT70" s="235"/>
      <c r="BU70" s="235"/>
      <c r="BV70" s="235"/>
      <c r="BW70" s="235"/>
      <c r="BX70" s="235"/>
      <c r="BY70" s="235"/>
      <c r="BZ70" s="235"/>
      <c r="CA70" s="235"/>
      <c r="CB70" s="235"/>
      <c r="CC70" s="235"/>
      <c r="CD70" s="235"/>
      <c r="CE70" s="235"/>
      <c r="CF70" s="235"/>
      <c r="CG70" s="235"/>
      <c r="CH70" s="235"/>
      <c r="CI70" s="235"/>
      <c r="CJ70" s="235"/>
      <c r="CK70" s="235"/>
      <c r="CL70" s="235"/>
      <c r="CM70" s="235"/>
      <c r="CN70" s="235"/>
      <c r="CO70" s="235"/>
      <c r="CP70" s="235"/>
      <c r="CQ70" s="235"/>
      <c r="CR70" s="235"/>
      <c r="CS70" s="235"/>
      <c r="CT70" s="260"/>
      <c r="CU70" s="260"/>
      <c r="CV70" s="260"/>
      <c r="CW70" s="260"/>
      <c r="CX70" s="260"/>
      <c r="CY70" s="260"/>
      <c r="CZ70" s="260"/>
      <c r="DA70" s="260"/>
    </row>
    <row r="71" spans="1:105" s="254" customFormat="1" ht="16.5" customHeight="1" thickBot="1" x14ac:dyDescent="0.3">
      <c r="A71" s="247"/>
      <c r="B71" s="247"/>
      <c r="C71" s="247"/>
      <c r="D71" s="247"/>
      <c r="E71" s="247"/>
      <c r="F71" s="247"/>
      <c r="G71" s="247"/>
      <c r="H71" s="247"/>
      <c r="I71" s="247"/>
      <c r="J71" s="247"/>
      <c r="K71" s="247"/>
      <c r="L71" s="247"/>
      <c r="M71" s="247"/>
      <c r="N71" s="247"/>
      <c r="O71" s="247"/>
      <c r="P71" s="247"/>
      <c r="Q71" s="247"/>
      <c r="R71" s="247"/>
      <c r="S71" s="247"/>
      <c r="T71" s="247"/>
      <c r="U71" s="247"/>
      <c r="V71" s="247"/>
      <c r="W71" s="247"/>
      <c r="X71" s="247"/>
      <c r="Y71" s="247"/>
      <c r="Z71" s="251"/>
      <c r="AA71" s="247"/>
      <c r="AB71" s="369"/>
      <c r="AC71" s="247"/>
      <c r="AD71" s="247"/>
      <c r="AE71" s="242"/>
      <c r="AF71" s="357" t="str">
        <f>'[1]HC CORPORATIVA-INCERTIDUMBRE'!BH137</f>
        <v>Bioetanol Anhidro</v>
      </c>
      <c r="AG71" s="359" t="s">
        <v>356</v>
      </c>
      <c r="AH71" s="359">
        <v>5.9200999999999997</v>
      </c>
      <c r="AI71" s="358" t="s">
        <v>862</v>
      </c>
      <c r="AJ71" s="360">
        <v>3.4799999999999996E-3</v>
      </c>
      <c r="AK71" s="360">
        <v>3.4799999999999996E-3</v>
      </c>
      <c r="AL71" s="361" t="s">
        <v>863</v>
      </c>
      <c r="AM71" s="359">
        <v>1.4999999999999999E-2</v>
      </c>
      <c r="AN71" s="362">
        <f>AM71/1000</f>
        <v>1.4999999999999999E-5</v>
      </c>
      <c r="AO71" s="358" t="s">
        <v>864</v>
      </c>
      <c r="AP71" s="360">
        <v>0.01</v>
      </c>
      <c r="AQ71" s="360">
        <v>0.1</v>
      </c>
      <c r="AR71" s="358" t="s">
        <v>322</v>
      </c>
      <c r="AS71" s="359">
        <v>3.0000000000000001E-3</v>
      </c>
      <c r="AT71" s="362">
        <f>AS71/1000</f>
        <v>3.0000000000000001E-6</v>
      </c>
      <c r="AU71" s="358" t="s">
        <v>865</v>
      </c>
      <c r="AV71" s="360">
        <v>2E-3</v>
      </c>
      <c r="AW71" s="360">
        <v>0.02</v>
      </c>
      <c r="AX71" s="358" t="s">
        <v>322</v>
      </c>
      <c r="AY71" s="359">
        <v>8.7999999999999995E-2</v>
      </c>
      <c r="AZ71" s="362">
        <f>AY71/1000</f>
        <v>8.7999999999999998E-5</v>
      </c>
      <c r="BA71" s="358" t="s">
        <v>864</v>
      </c>
      <c r="BB71" s="360">
        <v>0.13</v>
      </c>
      <c r="BC71" s="360">
        <v>0.84</v>
      </c>
      <c r="BD71" s="358" t="s">
        <v>322</v>
      </c>
      <c r="BE71" s="363">
        <v>0.2</v>
      </c>
      <c r="BF71" s="370">
        <f>BE71/1000</f>
        <v>2.0000000000000001E-4</v>
      </c>
      <c r="BG71" s="364" t="s">
        <v>865</v>
      </c>
      <c r="BH71" s="365">
        <v>0.13</v>
      </c>
      <c r="BI71" s="365">
        <v>1.23</v>
      </c>
      <c r="BJ71" s="364" t="s">
        <v>322</v>
      </c>
      <c r="BK71" s="258"/>
      <c r="BL71" s="235">
        <v>0.6</v>
      </c>
      <c r="BM71" s="235">
        <v>1</v>
      </c>
      <c r="BN71" s="235"/>
      <c r="BO71" s="235"/>
      <c r="BP71" s="235"/>
      <c r="BQ71" s="235"/>
      <c r="BR71" s="235"/>
      <c r="BS71" s="235"/>
      <c r="BT71" s="235"/>
      <c r="BU71" s="235"/>
      <c r="BV71" s="235"/>
      <c r="BW71" s="235"/>
      <c r="BX71" s="235"/>
      <c r="BY71" s="235"/>
      <c r="BZ71" s="235"/>
      <c r="CA71" s="235"/>
      <c r="CB71" s="235"/>
      <c r="CC71" s="235"/>
      <c r="CD71" s="235"/>
      <c r="CE71" s="235"/>
      <c r="CF71" s="235"/>
      <c r="CG71" s="235"/>
      <c r="CH71" s="235"/>
      <c r="CI71" s="235"/>
      <c r="CJ71" s="235"/>
      <c r="CK71" s="235"/>
      <c r="CL71" s="235"/>
      <c r="CM71" s="235"/>
      <c r="CN71" s="235"/>
      <c r="CO71" s="235"/>
      <c r="CP71" s="235"/>
      <c r="CQ71" s="235"/>
      <c r="CR71" s="235"/>
      <c r="CS71" s="235"/>
      <c r="CT71" s="260"/>
      <c r="CU71" s="260"/>
      <c r="CV71" s="260"/>
      <c r="CW71" s="260"/>
      <c r="CX71" s="260"/>
      <c r="CY71" s="260"/>
      <c r="CZ71" s="260"/>
      <c r="DA71" s="260"/>
    </row>
    <row r="72" spans="1:105" s="254" customFormat="1" x14ac:dyDescent="0.25">
      <c r="A72" s="247"/>
      <c r="B72" s="247"/>
      <c r="C72" s="247"/>
      <c r="D72" s="247"/>
      <c r="E72" s="247"/>
      <c r="F72" s="247"/>
      <c r="G72" s="247"/>
      <c r="H72" s="247"/>
      <c r="I72" s="247"/>
      <c r="J72" s="247"/>
      <c r="K72" s="247"/>
      <c r="L72" s="247"/>
      <c r="M72" s="247"/>
      <c r="N72" s="247"/>
      <c r="O72" s="247"/>
      <c r="P72" s="247"/>
      <c r="Q72" s="247"/>
      <c r="R72" s="247"/>
      <c r="S72" s="247"/>
      <c r="T72" s="247"/>
      <c r="U72" s="247"/>
      <c r="V72" s="247"/>
      <c r="W72" s="247"/>
      <c r="X72" s="247"/>
      <c r="Y72" s="247"/>
      <c r="Z72" s="251"/>
      <c r="AA72" s="247"/>
      <c r="AB72" s="251"/>
      <c r="AC72" s="247"/>
      <c r="AD72" s="247"/>
      <c r="AE72" s="242"/>
      <c r="AF72" s="236"/>
      <c r="AG72" s="237"/>
      <c r="AH72" s="237"/>
      <c r="AI72" s="237"/>
      <c r="AJ72" s="238"/>
      <c r="AK72" s="238"/>
      <c r="AL72" s="238"/>
      <c r="AM72" s="367"/>
      <c r="AN72" s="367"/>
      <c r="AO72" s="367"/>
      <c r="AP72" s="367"/>
      <c r="AQ72" s="367"/>
      <c r="AR72" s="367"/>
      <c r="AS72" s="237"/>
      <c r="AT72" s="367"/>
      <c r="AU72" s="367"/>
      <c r="AV72" s="237"/>
      <c r="AW72" s="237"/>
      <c r="AX72" s="237"/>
      <c r="AY72" s="239"/>
      <c r="AZ72" s="367"/>
      <c r="BA72" s="367"/>
      <c r="BB72" s="239"/>
      <c r="BC72" s="239"/>
      <c r="BD72" s="239"/>
      <c r="BE72" s="257"/>
      <c r="BF72" s="368"/>
      <c r="BG72" s="368"/>
      <c r="BH72" s="257"/>
      <c r="BI72" s="257"/>
      <c r="BJ72" s="257"/>
      <c r="BK72" s="258"/>
      <c r="BL72" s="235"/>
      <c r="BM72" s="235"/>
      <c r="BN72" s="235"/>
      <c r="BO72" s="235"/>
      <c r="BP72" s="235"/>
      <c r="BQ72" s="235"/>
      <c r="BR72" s="235"/>
      <c r="BS72" s="235"/>
      <c r="BT72" s="235"/>
      <c r="BU72" s="235"/>
      <c r="BV72" s="235"/>
      <c r="BW72" s="235"/>
      <c r="BX72" s="235"/>
      <c r="BY72" s="235"/>
      <c r="BZ72" s="235"/>
      <c r="CA72" s="235"/>
      <c r="CB72" s="235"/>
      <c r="CC72" s="235"/>
      <c r="CD72" s="235"/>
      <c r="CE72" s="235"/>
      <c r="CF72" s="235"/>
      <c r="CG72" s="235"/>
      <c r="CH72" s="235"/>
      <c r="CI72" s="235"/>
      <c r="CJ72" s="235"/>
      <c r="CK72" s="235"/>
      <c r="CL72" s="235"/>
      <c r="CM72" s="235"/>
      <c r="CN72" s="235"/>
      <c r="CO72" s="235"/>
      <c r="CP72" s="235"/>
      <c r="CQ72" s="235"/>
      <c r="CR72" s="235"/>
      <c r="CS72" s="235"/>
      <c r="CT72" s="260"/>
      <c r="CU72" s="260"/>
      <c r="CV72" s="260"/>
      <c r="CW72" s="260"/>
      <c r="CX72" s="260"/>
      <c r="CY72" s="260"/>
      <c r="CZ72" s="260"/>
      <c r="DA72" s="260"/>
    </row>
    <row r="73" spans="1:105" s="254" customFormat="1" ht="15" customHeight="1" thickBot="1" x14ac:dyDescent="0.3">
      <c r="A73" s="247"/>
      <c r="B73" s="247"/>
      <c r="C73" s="247"/>
      <c r="D73" s="247"/>
      <c r="E73" s="247"/>
      <c r="F73" s="247"/>
      <c r="G73" s="247"/>
      <c r="H73" s="247"/>
      <c r="I73" s="247"/>
      <c r="J73" s="247"/>
      <c r="K73" s="247"/>
      <c r="L73" s="247"/>
      <c r="M73" s="247"/>
      <c r="N73" s="247"/>
      <c r="O73" s="247"/>
      <c r="P73" s="247"/>
      <c r="Q73" s="247"/>
      <c r="R73" s="247"/>
      <c r="S73" s="247"/>
      <c r="T73" s="247"/>
      <c r="U73" s="247"/>
      <c r="V73" s="247"/>
      <c r="W73" s="247"/>
      <c r="X73" s="247"/>
      <c r="Y73" s="247"/>
      <c r="Z73" s="251"/>
      <c r="AA73" s="247"/>
      <c r="AB73" s="251"/>
      <c r="AC73" s="247"/>
      <c r="AD73" s="247"/>
      <c r="AE73" s="242"/>
      <c r="AF73" s="236"/>
      <c r="AG73" s="237"/>
      <c r="AH73" s="237"/>
      <c r="AI73" s="237"/>
      <c r="AJ73" s="238"/>
      <c r="AK73" s="238"/>
      <c r="AL73" s="238"/>
      <c r="AM73" s="367"/>
      <c r="AN73" s="367"/>
      <c r="AO73" s="367"/>
      <c r="AP73" s="367"/>
      <c r="AQ73" s="367"/>
      <c r="AR73" s="367"/>
      <c r="AS73" s="237"/>
      <c r="AT73" s="367"/>
      <c r="AU73" s="367"/>
      <c r="AV73" s="237"/>
      <c r="AW73" s="237"/>
      <c r="AX73" s="237"/>
      <c r="AY73" s="239"/>
      <c r="AZ73" s="367"/>
      <c r="BA73" s="367"/>
      <c r="BB73" s="239"/>
      <c r="BC73" s="239"/>
      <c r="BD73" s="239"/>
      <c r="BE73" s="257"/>
      <c r="BF73" s="368"/>
      <c r="BG73" s="368"/>
      <c r="BH73" s="257"/>
      <c r="BI73" s="257"/>
      <c r="BJ73" s="257"/>
      <c r="BK73" s="258"/>
      <c r="BL73" s="235"/>
      <c r="BM73" s="235"/>
      <c r="BN73" s="235"/>
      <c r="BO73" s="235"/>
      <c r="BP73" s="235"/>
      <c r="BQ73" s="235"/>
      <c r="BR73" s="235"/>
      <c r="BS73" s="235"/>
      <c r="BT73" s="235"/>
      <c r="BU73" s="235"/>
      <c r="BV73" s="235"/>
      <c r="BW73" s="235"/>
      <c r="BX73" s="235"/>
      <c r="BY73" s="235"/>
      <c r="BZ73" s="235"/>
      <c r="CA73" s="235"/>
      <c r="CB73" s="235"/>
      <c r="CC73" s="235"/>
      <c r="CD73" s="235"/>
      <c r="CE73" s="235"/>
      <c r="CF73" s="235"/>
      <c r="CG73" s="235"/>
      <c r="CH73" s="235"/>
      <c r="CI73" s="235"/>
      <c r="CJ73" s="235"/>
      <c r="CK73" s="235"/>
      <c r="CL73" s="235"/>
      <c r="CM73" s="235"/>
      <c r="CN73" s="235"/>
      <c r="CO73" s="235"/>
      <c r="CP73" s="235"/>
      <c r="CQ73" s="235"/>
      <c r="CR73" s="235"/>
      <c r="CS73" s="235"/>
      <c r="CT73" s="260"/>
      <c r="CU73" s="260"/>
      <c r="CV73" s="260"/>
      <c r="CW73" s="260"/>
      <c r="CX73" s="260"/>
      <c r="CY73" s="260"/>
      <c r="CZ73" s="260"/>
      <c r="DA73" s="260"/>
    </row>
    <row r="74" spans="1:105" s="254" customFormat="1" ht="26.25" customHeight="1" thickBot="1" x14ac:dyDescent="0.3">
      <c r="A74" s="247"/>
      <c r="B74" s="247"/>
      <c r="C74" s="247"/>
      <c r="D74" s="247"/>
      <c r="E74" s="247"/>
      <c r="F74" s="247"/>
      <c r="G74" s="247"/>
      <c r="H74" s="247"/>
      <c r="I74" s="247"/>
      <c r="J74" s="247"/>
      <c r="K74" s="247"/>
      <c r="L74" s="247"/>
      <c r="M74" s="247"/>
      <c r="N74" s="247"/>
      <c r="O74" s="247"/>
      <c r="P74" s="247"/>
      <c r="Q74" s="247"/>
      <c r="R74" s="247"/>
      <c r="S74" s="247"/>
      <c r="T74" s="247"/>
      <c r="U74" s="247"/>
      <c r="V74" s="247"/>
      <c r="W74" s="247"/>
      <c r="X74" s="247"/>
      <c r="Y74" s="247"/>
      <c r="Z74" s="251"/>
      <c r="AA74" s="247"/>
      <c r="AB74" s="251"/>
      <c r="AC74" s="247"/>
      <c r="AD74" s="247"/>
      <c r="AE74" s="242"/>
      <c r="AF74" s="622" t="s">
        <v>350</v>
      </c>
      <c r="AG74" s="229"/>
      <c r="AH74" s="622" t="s">
        <v>351</v>
      </c>
      <c r="AI74" s="229"/>
      <c r="AJ74" s="622" t="s">
        <v>302</v>
      </c>
      <c r="AK74" s="622" t="s">
        <v>302</v>
      </c>
      <c r="AL74" s="622" t="s">
        <v>303</v>
      </c>
      <c r="AM74" s="627" t="s">
        <v>304</v>
      </c>
      <c r="AN74" s="628"/>
      <c r="AO74" s="628"/>
      <c r="AP74" s="628"/>
      <c r="AQ74" s="628"/>
      <c r="AR74" s="628"/>
      <c r="AS74" s="628"/>
      <c r="AT74" s="628"/>
      <c r="AU74" s="628"/>
      <c r="AV74" s="628"/>
      <c r="AW74" s="628"/>
      <c r="AX74" s="629"/>
      <c r="AY74" s="630" t="s">
        <v>305</v>
      </c>
      <c r="AZ74" s="631"/>
      <c r="BA74" s="631"/>
      <c r="BB74" s="631"/>
      <c r="BC74" s="631"/>
      <c r="BD74" s="631"/>
      <c r="BE74" s="631"/>
      <c r="BF74" s="631"/>
      <c r="BG74" s="631"/>
      <c r="BH74" s="631"/>
      <c r="BI74" s="631"/>
      <c r="BJ74" s="632"/>
      <c r="BK74" s="258"/>
      <c r="BL74" s="235"/>
      <c r="BM74" s="235"/>
      <c r="BN74" s="235"/>
      <c r="BO74" s="235"/>
      <c r="BP74" s="235"/>
      <c r="BQ74" s="235"/>
      <c r="BR74" s="235"/>
      <c r="BS74" s="235"/>
      <c r="BT74" s="235"/>
      <c r="BU74" s="235"/>
      <c r="BV74" s="235"/>
      <c r="BW74" s="235"/>
      <c r="BX74" s="235"/>
      <c r="BY74" s="235"/>
      <c r="BZ74" s="235"/>
      <c r="CA74" s="235"/>
      <c r="CB74" s="235"/>
      <c r="CC74" s="235"/>
      <c r="CD74" s="235"/>
      <c r="CE74" s="235"/>
      <c r="CF74" s="235"/>
      <c r="CG74" s="235"/>
      <c r="CH74" s="235"/>
      <c r="CI74" s="235"/>
      <c r="CJ74" s="235"/>
      <c r="CK74" s="235"/>
      <c r="CL74" s="235"/>
      <c r="CM74" s="235"/>
      <c r="CN74" s="235"/>
      <c r="CO74" s="235"/>
      <c r="CP74" s="235"/>
      <c r="CQ74" s="235"/>
      <c r="CR74" s="235"/>
      <c r="CS74" s="235"/>
      <c r="CT74" s="260"/>
      <c r="CU74" s="260"/>
      <c r="CV74" s="260"/>
      <c r="CW74" s="260"/>
      <c r="CX74" s="260"/>
      <c r="CY74" s="260"/>
      <c r="CZ74" s="260"/>
      <c r="DA74" s="260"/>
    </row>
    <row r="75" spans="1:105" s="254" customFormat="1" ht="59.25" customHeight="1" thickBot="1" x14ac:dyDescent="0.3">
      <c r="A75" s="247"/>
      <c r="B75" s="247"/>
      <c r="C75" s="247"/>
      <c r="D75" s="247"/>
      <c r="E75" s="247"/>
      <c r="F75" s="247"/>
      <c r="G75" s="247"/>
      <c r="H75" s="247"/>
      <c r="I75" s="247"/>
      <c r="J75" s="247"/>
      <c r="K75" s="247"/>
      <c r="L75" s="247"/>
      <c r="M75" s="247"/>
      <c r="N75" s="247"/>
      <c r="O75" s="247"/>
      <c r="P75" s="247"/>
      <c r="Q75" s="247"/>
      <c r="R75" s="247"/>
      <c r="S75" s="247"/>
      <c r="T75" s="247"/>
      <c r="U75" s="247"/>
      <c r="V75" s="247"/>
      <c r="W75" s="247"/>
      <c r="X75" s="247"/>
      <c r="Y75" s="247"/>
      <c r="Z75" s="251"/>
      <c r="AA75" s="247"/>
      <c r="AB75" s="251"/>
      <c r="AC75" s="247"/>
      <c r="AD75" s="247"/>
      <c r="AE75" s="242"/>
      <c r="AF75" s="623"/>
      <c r="AG75" s="230" t="s">
        <v>308</v>
      </c>
      <c r="AH75" s="623"/>
      <c r="AI75" s="230" t="s">
        <v>309</v>
      </c>
      <c r="AJ75" s="623"/>
      <c r="AK75" s="623"/>
      <c r="AL75" s="623"/>
      <c r="AM75" s="354" t="s">
        <v>352</v>
      </c>
      <c r="AN75" s="354" t="s">
        <v>353</v>
      </c>
      <c r="AO75" s="230" t="s">
        <v>309</v>
      </c>
      <c r="AP75" s="354" t="s">
        <v>302</v>
      </c>
      <c r="AQ75" s="354" t="s">
        <v>302</v>
      </c>
      <c r="AR75" s="354" t="s">
        <v>303</v>
      </c>
      <c r="AS75" s="354" t="s">
        <v>354</v>
      </c>
      <c r="AT75" s="354" t="s">
        <v>355</v>
      </c>
      <c r="AU75" s="230" t="s">
        <v>309</v>
      </c>
      <c r="AV75" s="354" t="s">
        <v>302</v>
      </c>
      <c r="AW75" s="354" t="s">
        <v>302</v>
      </c>
      <c r="AX75" s="354" t="s">
        <v>303</v>
      </c>
      <c r="AY75" s="354" t="s">
        <v>352</v>
      </c>
      <c r="AZ75" s="354" t="s">
        <v>353</v>
      </c>
      <c r="BA75" s="230" t="s">
        <v>309</v>
      </c>
      <c r="BB75" s="354" t="s">
        <v>302</v>
      </c>
      <c r="BC75" s="354" t="s">
        <v>302</v>
      </c>
      <c r="BD75" s="354" t="s">
        <v>303</v>
      </c>
      <c r="BE75" s="355" t="s">
        <v>354</v>
      </c>
      <c r="BF75" s="355" t="s">
        <v>355</v>
      </c>
      <c r="BG75" s="356" t="s">
        <v>309</v>
      </c>
      <c r="BH75" s="355" t="s">
        <v>302</v>
      </c>
      <c r="BI75" s="355" t="s">
        <v>302</v>
      </c>
      <c r="BJ75" s="355" t="s">
        <v>303</v>
      </c>
      <c r="BK75" s="258"/>
      <c r="BL75" s="235"/>
      <c r="BM75" s="235"/>
      <c r="BN75" s="235"/>
      <c r="BO75" s="235"/>
      <c r="BP75" s="235"/>
      <c r="BQ75" s="235"/>
      <c r="BR75" s="235"/>
      <c r="BS75" s="235"/>
      <c r="BT75" s="235"/>
      <c r="BU75" s="235"/>
      <c r="BV75" s="235"/>
      <c r="BW75" s="235"/>
      <c r="BX75" s="235"/>
      <c r="BY75" s="235"/>
      <c r="BZ75" s="235"/>
      <c r="CA75" s="235"/>
      <c r="CB75" s="235"/>
      <c r="CC75" s="235"/>
      <c r="CD75" s="235"/>
      <c r="CE75" s="235"/>
      <c r="CF75" s="235"/>
      <c r="CG75" s="235"/>
      <c r="CH75" s="235"/>
      <c r="CI75" s="235"/>
      <c r="CJ75" s="235"/>
      <c r="CK75" s="235"/>
      <c r="CL75" s="235"/>
      <c r="CM75" s="235"/>
      <c r="CN75" s="235"/>
      <c r="CO75" s="235"/>
      <c r="CP75" s="235"/>
      <c r="CQ75" s="235"/>
      <c r="CR75" s="235"/>
      <c r="CS75" s="235"/>
      <c r="CT75" s="260"/>
      <c r="CU75" s="260"/>
      <c r="CV75" s="260"/>
      <c r="CW75" s="260"/>
      <c r="CX75" s="260"/>
      <c r="CY75" s="260"/>
      <c r="CZ75" s="260"/>
      <c r="DA75" s="260"/>
    </row>
    <row r="76" spans="1:105" s="254" customFormat="1" ht="19" thickBot="1" x14ac:dyDescent="0.3">
      <c r="A76" s="247"/>
      <c r="B76" s="247"/>
      <c r="C76" s="247"/>
      <c r="D76" s="247"/>
      <c r="E76" s="247"/>
      <c r="F76" s="247"/>
      <c r="G76" s="247"/>
      <c r="H76" s="247"/>
      <c r="I76" s="247"/>
      <c r="J76" s="247"/>
      <c r="K76" s="247"/>
      <c r="L76" s="247"/>
      <c r="M76" s="247"/>
      <c r="N76" s="247"/>
      <c r="O76" s="247"/>
      <c r="P76" s="247"/>
      <c r="Q76" s="247"/>
      <c r="R76" s="247"/>
      <c r="S76" s="247"/>
      <c r="T76" s="247"/>
      <c r="U76" s="247"/>
      <c r="V76" s="247"/>
      <c r="W76" s="247"/>
      <c r="X76" s="247"/>
      <c r="Y76" s="247"/>
      <c r="Z76" s="251"/>
      <c r="AA76" s="247"/>
      <c r="AB76" s="251"/>
      <c r="AC76" s="371"/>
      <c r="AD76" s="247"/>
      <c r="AE76" s="242"/>
      <c r="AF76" s="372" t="str">
        <f>'[1]HC CORPORATIVA-INCERTIDUMBRE'!BH146</f>
        <v>Biogás Genérico</v>
      </c>
      <c r="AG76" s="358" t="s">
        <v>866</v>
      </c>
      <c r="AH76" s="373">
        <v>1.8560000000000001</v>
      </c>
      <c r="AI76" s="358" t="s">
        <v>867</v>
      </c>
      <c r="AJ76" s="360">
        <v>8.8870000000000005E-2</v>
      </c>
      <c r="AK76" s="360">
        <v>8.8870000000000005E-2</v>
      </c>
      <c r="AL76" s="361" t="s">
        <v>863</v>
      </c>
      <c r="AM76" s="374">
        <v>2.1999999999999999E-2</v>
      </c>
      <c r="AN76" s="374">
        <f>AM76/1000</f>
        <v>2.1999999999999999E-5</v>
      </c>
      <c r="AO76" s="358" t="s">
        <v>868</v>
      </c>
      <c r="AP76" s="360">
        <v>3.0000000000000001E-3</v>
      </c>
      <c r="AQ76" s="360">
        <v>0.03</v>
      </c>
      <c r="AR76" s="358" t="s">
        <v>322</v>
      </c>
      <c r="AS76" s="374">
        <v>2.2000000000000001E-3</v>
      </c>
      <c r="AT76" s="374">
        <f>AS76/1000</f>
        <v>2.2000000000000001E-6</v>
      </c>
      <c r="AU76" s="358" t="s">
        <v>868</v>
      </c>
      <c r="AV76" s="360">
        <v>2.9999999999999997E-4</v>
      </c>
      <c r="AW76" s="360">
        <v>0.03</v>
      </c>
      <c r="AX76" s="358" t="s">
        <v>322</v>
      </c>
      <c r="AY76" s="359">
        <v>0</v>
      </c>
      <c r="AZ76" s="374">
        <f>AY76/1000</f>
        <v>0</v>
      </c>
      <c r="BA76" s="358" t="s">
        <v>868</v>
      </c>
      <c r="BB76" s="360">
        <v>0</v>
      </c>
      <c r="BC76" s="360">
        <v>0</v>
      </c>
      <c r="BD76" s="358" t="s">
        <v>322</v>
      </c>
      <c r="BE76" s="363">
        <v>0</v>
      </c>
      <c r="BF76" s="375">
        <f>BE76/1000</f>
        <v>0</v>
      </c>
      <c r="BG76" s="364" t="s">
        <v>868</v>
      </c>
      <c r="BH76" s="365">
        <v>0</v>
      </c>
      <c r="BI76" s="365">
        <v>0</v>
      </c>
      <c r="BJ76" s="364" t="s">
        <v>322</v>
      </c>
      <c r="BK76" s="258"/>
      <c r="BL76" s="235">
        <v>0.6</v>
      </c>
      <c r="BM76" s="235">
        <v>1</v>
      </c>
      <c r="BN76" s="235"/>
      <c r="BO76" s="235"/>
      <c r="BP76" s="235"/>
      <c r="BQ76" s="235"/>
      <c r="BR76" s="235"/>
      <c r="BS76" s="235"/>
      <c r="BT76" s="235"/>
      <c r="BU76" s="235"/>
      <c r="BV76" s="235"/>
      <c r="BW76" s="235"/>
      <c r="BX76" s="235"/>
      <c r="BY76" s="235"/>
      <c r="BZ76" s="235"/>
      <c r="CA76" s="235"/>
      <c r="CB76" s="235"/>
      <c r="CC76" s="235"/>
      <c r="CD76" s="235"/>
      <c r="CE76" s="235"/>
      <c r="CF76" s="235"/>
      <c r="CG76" s="235"/>
      <c r="CH76" s="235"/>
      <c r="CI76" s="235"/>
      <c r="CJ76" s="235"/>
      <c r="CK76" s="235"/>
      <c r="CL76" s="235"/>
      <c r="CM76" s="235"/>
      <c r="CN76" s="235"/>
      <c r="CO76" s="235"/>
      <c r="CP76" s="235"/>
      <c r="CQ76" s="235"/>
      <c r="CR76" s="235"/>
      <c r="CS76" s="235"/>
      <c r="CT76" s="260"/>
      <c r="CU76" s="260"/>
      <c r="CV76" s="260"/>
      <c r="CW76" s="260"/>
      <c r="CX76" s="260"/>
      <c r="CY76" s="260"/>
      <c r="CZ76" s="260"/>
      <c r="DA76" s="260"/>
    </row>
    <row r="77" spans="1:105" s="254" customFormat="1" x14ac:dyDescent="0.25">
      <c r="A77" s="247"/>
      <c r="B77" s="247"/>
      <c r="C77" s="247"/>
      <c r="D77" s="247"/>
      <c r="E77" s="247"/>
      <c r="F77" s="247"/>
      <c r="G77" s="247"/>
      <c r="H77" s="247"/>
      <c r="I77" s="247"/>
      <c r="J77" s="247"/>
      <c r="K77" s="247"/>
      <c r="L77" s="247"/>
      <c r="M77" s="247"/>
      <c r="N77" s="247"/>
      <c r="O77" s="247"/>
      <c r="P77" s="247"/>
      <c r="Q77" s="247"/>
      <c r="R77" s="247"/>
      <c r="S77" s="247"/>
      <c r="T77" s="247"/>
      <c r="U77" s="247"/>
      <c r="V77" s="247"/>
      <c r="W77" s="247"/>
      <c r="X77" s="247"/>
      <c r="Y77" s="247"/>
      <c r="Z77" s="251"/>
      <c r="AA77" s="247"/>
      <c r="AB77" s="251"/>
      <c r="AC77" s="247"/>
      <c r="AD77" s="247"/>
      <c r="AE77" s="242"/>
      <c r="AF77" s="236"/>
      <c r="AG77" s="237"/>
      <c r="AH77" s="237"/>
      <c r="AI77" s="237"/>
      <c r="AJ77" s="238"/>
      <c r="AK77" s="238"/>
      <c r="AL77" s="238"/>
      <c r="AM77" s="367"/>
      <c r="AN77" s="367"/>
      <c r="AO77" s="367"/>
      <c r="AP77" s="367"/>
      <c r="AQ77" s="367"/>
      <c r="AR77" s="367"/>
      <c r="AS77" s="237"/>
      <c r="AT77" s="367"/>
      <c r="AU77" s="367"/>
      <c r="AV77" s="237"/>
      <c r="AW77" s="237"/>
      <c r="AX77" s="237"/>
      <c r="AY77" s="239"/>
      <c r="AZ77" s="367"/>
      <c r="BA77" s="367"/>
      <c r="BB77" s="239"/>
      <c r="BC77" s="239"/>
      <c r="BD77" s="239"/>
      <c r="BE77" s="257"/>
      <c r="BF77" s="368"/>
      <c r="BG77" s="368"/>
      <c r="BH77" s="257"/>
      <c r="BI77" s="257"/>
      <c r="BJ77" s="257"/>
      <c r="BK77" s="258"/>
      <c r="BL77" s="235"/>
      <c r="BM77" s="235"/>
      <c r="BN77" s="235"/>
      <c r="BO77" s="235"/>
      <c r="BP77" s="235"/>
      <c r="BQ77" s="235"/>
      <c r="BR77" s="235"/>
      <c r="BS77" s="235"/>
      <c r="BT77" s="235"/>
      <c r="BU77" s="235"/>
      <c r="BV77" s="235"/>
      <c r="BW77" s="235"/>
      <c r="BX77" s="235"/>
      <c r="BY77" s="235"/>
      <c r="BZ77" s="235"/>
      <c r="CA77" s="235"/>
      <c r="CB77" s="235"/>
      <c r="CC77" s="235"/>
      <c r="CD77" s="235"/>
      <c r="CE77" s="235"/>
      <c r="CF77" s="235"/>
      <c r="CG77" s="235"/>
      <c r="CH77" s="235"/>
      <c r="CI77" s="235"/>
      <c r="CJ77" s="235"/>
      <c r="CK77" s="235"/>
      <c r="CL77" s="235"/>
      <c r="CM77" s="235"/>
      <c r="CN77" s="235"/>
      <c r="CO77" s="235"/>
      <c r="CP77" s="235"/>
      <c r="CQ77" s="235"/>
      <c r="CR77" s="235"/>
      <c r="CS77" s="235"/>
      <c r="CT77" s="260"/>
      <c r="CU77" s="260"/>
      <c r="CV77" s="260"/>
      <c r="CW77" s="260"/>
      <c r="CX77" s="260"/>
      <c r="CY77" s="260"/>
      <c r="CZ77" s="260"/>
      <c r="DA77" s="260"/>
    </row>
    <row r="78" spans="1:105" s="247" customFormat="1" x14ac:dyDescent="0.25">
      <c r="AE78" s="242"/>
      <c r="AF78" s="236"/>
      <c r="AG78" s="237"/>
      <c r="AH78" s="237"/>
      <c r="AI78" s="237"/>
      <c r="AJ78" s="238"/>
      <c r="AK78" s="238"/>
      <c r="AL78" s="238"/>
      <c r="AM78" s="376"/>
      <c r="AN78" s="376"/>
      <c r="AO78" s="376"/>
      <c r="AP78" s="376"/>
      <c r="AQ78" s="376"/>
      <c r="AR78" s="376"/>
      <c r="AS78" s="237"/>
      <c r="AT78" s="376"/>
      <c r="AU78" s="376"/>
      <c r="AV78" s="237"/>
      <c r="AW78" s="237"/>
      <c r="AX78" s="237"/>
      <c r="AY78" s="239"/>
      <c r="AZ78" s="237"/>
      <c r="BA78" s="237"/>
      <c r="BB78" s="239"/>
      <c r="BC78" s="239"/>
      <c r="BD78" s="239"/>
      <c r="BE78" s="257"/>
      <c r="BF78" s="255"/>
      <c r="BG78" s="255"/>
      <c r="BH78" s="257"/>
      <c r="BI78" s="257"/>
      <c r="BJ78" s="257"/>
      <c r="BK78" s="258"/>
      <c r="BL78" s="235"/>
      <c r="BM78" s="235"/>
      <c r="BN78" s="235"/>
      <c r="BO78" s="235"/>
      <c r="BP78" s="235"/>
      <c r="BQ78" s="235"/>
      <c r="BR78" s="235"/>
      <c r="BS78" s="235"/>
      <c r="BT78" s="346"/>
      <c r="BU78" s="377"/>
      <c r="BV78" s="377"/>
      <c r="BW78" s="346"/>
      <c r="BX78" s="346"/>
      <c r="BY78" s="378"/>
      <c r="BZ78" s="379"/>
      <c r="CA78" s="379"/>
      <c r="CB78" s="379"/>
      <c r="CC78" s="379"/>
      <c r="CD78" s="379"/>
      <c r="CE78" s="378"/>
      <c r="CF78" s="260"/>
      <c r="CG78" s="380"/>
      <c r="CH78" s="380"/>
      <c r="CI78" s="381"/>
      <c r="CJ78" s="260"/>
      <c r="CK78" s="260"/>
      <c r="CL78" s="260"/>
      <c r="CM78" s="260"/>
      <c r="CN78" s="260"/>
      <c r="CO78" s="260"/>
    </row>
    <row r="79" spans="1:105" s="247" customFormat="1" x14ac:dyDescent="0.25">
      <c r="AE79" s="242"/>
      <c r="AF79" s="236"/>
      <c r="AG79" s="237"/>
      <c r="AH79" s="237"/>
      <c r="AI79" s="237"/>
      <c r="AJ79" s="238"/>
      <c r="AK79" s="238"/>
      <c r="AL79" s="238"/>
      <c r="AM79" s="376"/>
      <c r="AN79" s="376"/>
      <c r="AO79" s="376"/>
      <c r="AP79" s="376"/>
      <c r="AQ79" s="376"/>
      <c r="AR79" s="376"/>
      <c r="AS79" s="237"/>
      <c r="AT79" s="376"/>
      <c r="AU79" s="376"/>
      <c r="AV79" s="237"/>
      <c r="AW79" s="237"/>
      <c r="AX79" s="237"/>
      <c r="AY79" s="239"/>
      <c r="AZ79" s="237"/>
      <c r="BA79" s="237"/>
      <c r="BB79" s="239"/>
      <c r="BC79" s="239"/>
      <c r="BD79" s="239"/>
      <c r="BE79" s="257"/>
      <c r="BF79" s="255"/>
      <c r="BG79" s="255"/>
      <c r="BH79" s="257"/>
      <c r="BI79" s="257"/>
      <c r="BJ79" s="257"/>
      <c r="BK79" s="258"/>
      <c r="BL79" s="235"/>
      <c r="BM79" s="235"/>
      <c r="BN79" s="235"/>
      <c r="BO79" s="235"/>
      <c r="BP79" s="235"/>
      <c r="BQ79" s="235"/>
      <c r="BR79" s="235"/>
      <c r="BS79" s="235"/>
      <c r="BT79" s="346"/>
      <c r="BU79" s="377"/>
      <c r="BV79" s="377"/>
      <c r="BW79" s="346"/>
      <c r="BX79" s="346"/>
      <c r="BY79" s="378"/>
      <c r="BZ79" s="379"/>
      <c r="CA79" s="379"/>
      <c r="CB79" s="379"/>
      <c r="CC79" s="379"/>
      <c r="CD79" s="379"/>
      <c r="CE79" s="378"/>
      <c r="CF79" s="260"/>
      <c r="CG79" s="380"/>
      <c r="CH79" s="380"/>
      <c r="CI79" s="381"/>
      <c r="CJ79" s="260"/>
      <c r="CK79" s="260"/>
      <c r="CL79" s="260"/>
      <c r="CM79" s="260"/>
      <c r="CN79" s="260"/>
      <c r="CO79" s="260"/>
    </row>
    <row r="80" spans="1:105" s="247" customFormat="1" x14ac:dyDescent="0.25">
      <c r="AE80" s="242"/>
      <c r="AF80" s="236"/>
      <c r="AG80" s="237"/>
      <c r="AH80" s="237"/>
      <c r="AI80" s="237"/>
      <c r="AJ80" s="238"/>
      <c r="AK80" s="238"/>
      <c r="AL80" s="238"/>
      <c r="AM80" s="376"/>
      <c r="AN80" s="376"/>
      <c r="AO80" s="376"/>
      <c r="AP80" s="376"/>
      <c r="AQ80" s="376"/>
      <c r="AR80" s="376"/>
      <c r="AS80" s="237"/>
      <c r="AT80" s="376"/>
      <c r="AU80" s="376"/>
      <c r="AV80" s="237"/>
      <c r="AW80" s="237"/>
      <c r="AX80" s="237"/>
      <c r="AY80" s="239"/>
      <c r="AZ80" s="237"/>
      <c r="BA80" s="237"/>
      <c r="BB80" s="239"/>
      <c r="BC80" s="239"/>
      <c r="BD80" s="239"/>
      <c r="BE80" s="257"/>
      <c r="BF80" s="255"/>
      <c r="BG80" s="255"/>
      <c r="BH80" s="257"/>
      <c r="BI80" s="257"/>
      <c r="BJ80" s="257"/>
      <c r="BK80" s="258"/>
      <c r="BL80" s="235"/>
      <c r="BM80" s="235"/>
      <c r="BN80" s="235"/>
      <c r="BO80" s="235"/>
      <c r="BP80" s="235"/>
      <c r="BQ80" s="235"/>
      <c r="BR80" s="235"/>
      <c r="BS80" s="235"/>
      <c r="BT80" s="346"/>
      <c r="BU80" s="377"/>
      <c r="BV80" s="377"/>
      <c r="BW80" s="346"/>
      <c r="BX80" s="346"/>
      <c r="BY80" s="378"/>
      <c r="BZ80" s="379"/>
      <c r="CA80" s="379"/>
      <c r="CB80" s="379"/>
      <c r="CC80" s="379"/>
      <c r="CD80" s="379"/>
      <c r="CE80" s="378"/>
      <c r="CF80" s="260"/>
      <c r="CG80" s="380"/>
      <c r="CH80" s="380"/>
      <c r="CI80" s="381"/>
      <c r="CJ80" s="260"/>
      <c r="CK80" s="260"/>
      <c r="CL80" s="260"/>
      <c r="CM80" s="260"/>
      <c r="CN80" s="260"/>
      <c r="CO80" s="260"/>
    </row>
    <row r="81" spans="31:93" s="247" customFormat="1" x14ac:dyDescent="0.25">
      <c r="AE81" s="242"/>
      <c r="AF81" s="236"/>
      <c r="AG81" s="237"/>
      <c r="AH81" s="237"/>
      <c r="AI81" s="237"/>
      <c r="AJ81" s="238"/>
      <c r="AK81" s="238"/>
      <c r="AL81" s="238"/>
      <c r="AM81" s="376"/>
      <c r="AN81" s="376"/>
      <c r="AO81" s="376"/>
      <c r="AP81" s="376"/>
      <c r="AQ81" s="376"/>
      <c r="AR81" s="376"/>
      <c r="AS81" s="237"/>
      <c r="AT81" s="376"/>
      <c r="AU81" s="376"/>
      <c r="AV81" s="237"/>
      <c r="AW81" s="237"/>
      <c r="AX81" s="237"/>
      <c r="AY81" s="239"/>
      <c r="AZ81" s="237"/>
      <c r="BA81" s="237"/>
      <c r="BB81" s="239"/>
      <c r="BC81" s="239"/>
      <c r="BD81" s="239"/>
      <c r="BE81" s="257"/>
      <c r="BF81" s="255"/>
      <c r="BG81" s="255"/>
      <c r="BH81" s="257"/>
      <c r="BI81" s="257"/>
      <c r="BJ81" s="257"/>
      <c r="BK81" s="258"/>
      <c r="BL81" s="235"/>
      <c r="BM81" s="235"/>
      <c r="BN81" s="235"/>
      <c r="BO81" s="235"/>
      <c r="BP81" s="235"/>
      <c r="BQ81" s="235"/>
      <c r="BR81" s="235"/>
      <c r="BS81" s="235"/>
      <c r="BT81" s="346"/>
      <c r="BU81" s="377"/>
      <c r="BV81" s="377"/>
      <c r="BW81" s="346"/>
      <c r="BX81" s="346"/>
      <c r="BY81" s="378"/>
      <c r="BZ81" s="379"/>
      <c r="CA81" s="379"/>
      <c r="CB81" s="379"/>
      <c r="CC81" s="379"/>
      <c r="CD81" s="379"/>
      <c r="CE81" s="378"/>
      <c r="CF81" s="260"/>
      <c r="CG81" s="380"/>
      <c r="CH81" s="380"/>
      <c r="CI81" s="381"/>
      <c r="CJ81" s="260"/>
      <c r="CK81" s="260"/>
      <c r="CL81" s="260"/>
      <c r="CM81" s="260"/>
      <c r="CN81" s="260"/>
      <c r="CO81" s="260"/>
    </row>
    <row r="82" spans="31:93" s="247" customFormat="1" ht="15" customHeight="1" thickBot="1" x14ac:dyDescent="0.3">
      <c r="AE82" s="242"/>
      <c r="AF82" s="236"/>
      <c r="AG82" s="237"/>
      <c r="AH82" s="237"/>
      <c r="AI82" s="237"/>
      <c r="AJ82" s="238"/>
      <c r="AK82" s="238"/>
      <c r="AL82" s="238"/>
      <c r="AM82" s="376"/>
      <c r="AN82" s="376"/>
      <c r="AO82" s="376"/>
      <c r="AP82" s="376"/>
      <c r="AQ82" s="376"/>
      <c r="AR82" s="376"/>
      <c r="AS82" s="237"/>
      <c r="AT82" s="376"/>
      <c r="AU82" s="376"/>
      <c r="AV82" s="237"/>
      <c r="AW82" s="237"/>
      <c r="AX82" s="237"/>
      <c r="AY82" s="239"/>
      <c r="AZ82" s="237"/>
      <c r="BA82" s="237"/>
      <c r="BB82" s="239"/>
      <c r="BC82" s="239"/>
      <c r="BD82" s="239"/>
      <c r="BE82" s="257"/>
      <c r="BF82" s="255"/>
      <c r="BG82" s="255"/>
      <c r="BH82" s="257"/>
      <c r="BI82" s="257"/>
      <c r="BJ82" s="257"/>
      <c r="BK82" s="258"/>
      <c r="BL82" s="235"/>
      <c r="BM82" s="235"/>
      <c r="BN82" s="235"/>
      <c r="BO82" s="235"/>
      <c r="BP82" s="235"/>
      <c r="BQ82" s="235"/>
      <c r="BR82" s="235"/>
      <c r="BS82" s="235"/>
      <c r="BT82" s="346"/>
      <c r="BU82" s="377"/>
      <c r="BV82" s="377"/>
      <c r="BW82" s="346"/>
      <c r="BX82" s="346"/>
      <c r="BY82" s="378"/>
      <c r="BZ82" s="379"/>
      <c r="CA82" s="379"/>
      <c r="CB82" s="379"/>
      <c r="CC82" s="379"/>
      <c r="CD82" s="379"/>
      <c r="CE82" s="378"/>
      <c r="CF82" s="260"/>
      <c r="CG82" s="380"/>
      <c r="CH82" s="380"/>
      <c r="CI82" s="381"/>
      <c r="CJ82" s="260"/>
      <c r="CK82" s="260"/>
      <c r="CL82" s="260"/>
      <c r="CM82" s="260"/>
      <c r="CN82" s="260"/>
      <c r="CO82" s="260"/>
    </row>
    <row r="83" spans="31:93" s="247" customFormat="1" ht="14.5" thickBot="1" x14ac:dyDescent="0.3">
      <c r="AE83" s="242"/>
      <c r="AF83" s="382" t="s">
        <v>127</v>
      </c>
      <c r="AG83" s="383" t="s">
        <v>133</v>
      </c>
      <c r="AH83" s="237"/>
      <c r="AI83" s="237"/>
      <c r="AJ83" s="238"/>
      <c r="AK83" s="238"/>
      <c r="AL83" s="238"/>
      <c r="AM83" s="376"/>
      <c r="AN83" s="376"/>
      <c r="AO83" s="376"/>
      <c r="AP83" s="376"/>
      <c r="AQ83" s="376"/>
      <c r="AR83" s="376"/>
      <c r="AS83" s="237"/>
      <c r="AT83" s="376"/>
      <c r="AU83" s="376"/>
      <c r="AV83" s="237"/>
      <c r="AW83" s="237"/>
      <c r="AX83" s="237"/>
      <c r="AY83" s="239"/>
      <c r="AZ83" s="237"/>
      <c r="BA83" s="237"/>
      <c r="BB83" s="239"/>
      <c r="BC83" s="239"/>
      <c r="BD83" s="239"/>
      <c r="BE83" s="257"/>
      <c r="BF83" s="255"/>
      <c r="BG83" s="255"/>
      <c r="BH83" s="257"/>
      <c r="BI83" s="257"/>
      <c r="BJ83" s="257"/>
      <c r="BK83" s="258"/>
      <c r="BL83" s="235"/>
      <c r="BM83" s="235"/>
      <c r="BN83" s="235"/>
      <c r="BO83" s="235"/>
      <c r="BP83" s="235"/>
      <c r="BQ83" s="235"/>
      <c r="BR83" s="235"/>
      <c r="BS83" s="235"/>
      <c r="BT83" s="346"/>
      <c r="BU83" s="377"/>
      <c r="BV83" s="377"/>
      <c r="BW83" s="346"/>
      <c r="BX83" s="346"/>
      <c r="BY83" s="378"/>
      <c r="BZ83" s="379"/>
      <c r="CA83" s="379"/>
      <c r="CB83" s="379"/>
      <c r="CC83" s="379"/>
      <c r="CD83" s="379"/>
      <c r="CE83" s="378"/>
      <c r="CF83" s="260"/>
      <c r="CG83" s="380"/>
      <c r="CH83" s="380"/>
      <c r="CI83" s="381"/>
      <c r="CJ83" s="260"/>
      <c r="CK83" s="260"/>
      <c r="CL83" s="260"/>
      <c r="CM83" s="260"/>
      <c r="CN83" s="260"/>
      <c r="CO83" s="260"/>
    </row>
    <row r="84" spans="31:93" s="247" customFormat="1" ht="14" thickBot="1" x14ac:dyDescent="0.3">
      <c r="AE84" s="242"/>
      <c r="AF84" s="357">
        <v>0</v>
      </c>
      <c r="AG84" s="366">
        <v>0</v>
      </c>
      <c r="AH84" s="237"/>
      <c r="AI84" s="237"/>
      <c r="AJ84" s="238"/>
      <c r="AK84" s="238"/>
      <c r="AL84" s="238"/>
      <c r="AM84" s="376"/>
      <c r="AN84" s="376"/>
      <c r="AO84" s="376"/>
      <c r="AP84" s="376"/>
      <c r="AQ84" s="376"/>
      <c r="AR84" s="376"/>
      <c r="AS84" s="237"/>
      <c r="AT84" s="376"/>
      <c r="AU84" s="376"/>
      <c r="AV84" s="237"/>
      <c r="AW84" s="237"/>
      <c r="AX84" s="237"/>
      <c r="AY84" s="239"/>
      <c r="AZ84" s="237"/>
      <c r="BA84" s="237"/>
      <c r="BB84" s="239"/>
      <c r="BC84" s="239"/>
      <c r="BD84" s="239"/>
      <c r="BE84" s="257"/>
      <c r="BF84" s="255"/>
      <c r="BG84" s="255"/>
      <c r="BH84" s="257"/>
      <c r="BI84" s="257"/>
      <c r="BJ84" s="257"/>
      <c r="BK84" s="258"/>
      <c r="BL84" s="235"/>
      <c r="BM84" s="235"/>
      <c r="BN84" s="235"/>
      <c r="BO84" s="235"/>
      <c r="BP84" s="235"/>
      <c r="BQ84" s="235"/>
      <c r="BR84" s="235"/>
      <c r="BS84" s="235"/>
      <c r="BT84" s="346"/>
      <c r="BU84" s="377"/>
      <c r="BV84" s="377"/>
      <c r="BW84" s="346"/>
      <c r="BX84" s="346"/>
      <c r="BY84" s="378"/>
      <c r="BZ84" s="379"/>
      <c r="CA84" s="379"/>
      <c r="CB84" s="379"/>
      <c r="CC84" s="379"/>
      <c r="CD84" s="379"/>
      <c r="CE84" s="378"/>
      <c r="CF84" s="260"/>
      <c r="CG84" s="380"/>
      <c r="CH84" s="380"/>
      <c r="CI84" s="381"/>
      <c r="CJ84" s="260"/>
      <c r="CK84" s="260"/>
      <c r="CL84" s="260"/>
      <c r="CM84" s="260"/>
      <c r="CN84" s="260"/>
      <c r="CO84" s="260"/>
    </row>
    <row r="85" spans="31:93" s="247" customFormat="1" ht="14" thickBot="1" x14ac:dyDescent="0.3">
      <c r="AE85" s="242"/>
      <c r="AF85" s="357">
        <v>2</v>
      </c>
      <c r="AG85" s="366">
        <v>12.71</v>
      </c>
      <c r="AH85" s="237"/>
      <c r="AI85" s="237"/>
      <c r="AJ85" s="238"/>
      <c r="AK85" s="238"/>
      <c r="AL85" s="238"/>
      <c r="AM85" s="239"/>
      <c r="AN85" s="239"/>
      <c r="AO85" s="239"/>
      <c r="AP85" s="239"/>
      <c r="AQ85" s="239"/>
      <c r="AR85" s="239"/>
      <c r="AS85" s="239"/>
      <c r="AT85" s="239"/>
      <c r="AU85" s="239"/>
      <c r="AV85" s="239"/>
      <c r="AW85" s="239"/>
      <c r="AX85" s="239"/>
      <c r="AY85" s="239"/>
      <c r="AZ85" s="237"/>
      <c r="BA85" s="237"/>
      <c r="BB85" s="239"/>
      <c r="BC85" s="239"/>
      <c r="BD85" s="239"/>
      <c r="BE85" s="257"/>
      <c r="BF85" s="255"/>
      <c r="BG85" s="255"/>
      <c r="BH85" s="257"/>
      <c r="BI85" s="257"/>
      <c r="BJ85" s="257"/>
      <c r="BK85" s="258"/>
      <c r="BL85" s="235"/>
      <c r="BM85" s="235"/>
      <c r="BN85" s="235"/>
      <c r="BO85" s="235"/>
      <c r="BP85" s="235"/>
      <c r="BQ85" s="235"/>
      <c r="BR85" s="235"/>
      <c r="BS85" s="235"/>
      <c r="BT85" s="258"/>
      <c r="BU85" s="258"/>
      <c r="BV85" s="258"/>
      <c r="BW85" s="258"/>
      <c r="BX85" s="258"/>
      <c r="BY85" s="381"/>
      <c r="BZ85" s="381"/>
      <c r="CA85" s="381"/>
      <c r="CB85" s="381"/>
      <c r="CC85" s="381"/>
      <c r="CD85" s="381"/>
      <c r="CE85" s="381"/>
      <c r="CF85" s="381"/>
      <c r="CG85" s="260"/>
      <c r="CH85" s="260"/>
      <c r="CI85" s="260"/>
      <c r="CJ85" s="260"/>
      <c r="CK85" s="260"/>
      <c r="CL85" s="260"/>
      <c r="CM85" s="260"/>
      <c r="CN85" s="260"/>
      <c r="CO85" s="260"/>
    </row>
    <row r="86" spans="31:93" s="247" customFormat="1" ht="14" thickBot="1" x14ac:dyDescent="0.3">
      <c r="AE86" s="242"/>
      <c r="AF86" s="357">
        <v>3</v>
      </c>
      <c r="AG86" s="366">
        <v>4.3</v>
      </c>
      <c r="AH86" s="237"/>
      <c r="AI86" s="237"/>
      <c r="AJ86" s="238"/>
      <c r="AK86" s="238"/>
      <c r="AL86" s="238"/>
      <c r="AM86" s="239"/>
      <c r="AN86" s="239"/>
      <c r="AO86" s="239"/>
      <c r="AP86" s="239"/>
      <c r="AQ86" s="239"/>
      <c r="AR86" s="239"/>
      <c r="AS86" s="239"/>
      <c r="AT86" s="239"/>
      <c r="AU86" s="239"/>
      <c r="AV86" s="239"/>
      <c r="AW86" s="239"/>
      <c r="AX86" s="239"/>
      <c r="AY86" s="239"/>
      <c r="AZ86" s="237"/>
      <c r="BA86" s="237"/>
      <c r="BB86" s="239"/>
      <c r="BC86" s="239"/>
      <c r="BD86" s="239"/>
      <c r="BE86" s="257"/>
      <c r="BF86" s="255"/>
      <c r="BG86" s="255"/>
      <c r="BH86" s="257"/>
      <c r="BI86" s="257"/>
      <c r="BJ86" s="257"/>
      <c r="BK86" s="258"/>
      <c r="BL86" s="235"/>
      <c r="BM86" s="235"/>
      <c r="BN86" s="235"/>
      <c r="BO86" s="235"/>
      <c r="BP86" s="235"/>
      <c r="BQ86" s="235"/>
      <c r="BR86" s="235"/>
      <c r="BS86" s="235"/>
      <c r="BT86" s="258"/>
      <c r="BU86" s="258"/>
      <c r="BV86" s="258"/>
      <c r="BW86" s="258"/>
      <c r="BX86" s="258"/>
      <c r="BY86" s="381"/>
      <c r="BZ86" s="381"/>
      <c r="CA86" s="381"/>
      <c r="CB86" s="381"/>
      <c r="CC86" s="381"/>
      <c r="CD86" s="381"/>
      <c r="CE86" s="381"/>
      <c r="CF86" s="381"/>
      <c r="CG86" s="381"/>
      <c r="CH86" s="381"/>
      <c r="CI86" s="381"/>
      <c r="CJ86" s="260"/>
      <c r="CK86" s="260"/>
      <c r="CL86" s="260"/>
      <c r="CM86" s="260"/>
      <c r="CN86" s="260"/>
      <c r="CO86" s="260"/>
    </row>
    <row r="87" spans="31:93" s="247" customFormat="1" ht="14" thickBot="1" x14ac:dyDescent="0.3">
      <c r="AE87" s="242"/>
      <c r="AF87" s="357">
        <v>4</v>
      </c>
      <c r="AG87" s="366">
        <v>3.18</v>
      </c>
      <c r="AH87" s="237"/>
      <c r="AI87" s="237"/>
      <c r="AJ87" s="238"/>
      <c r="AK87" s="238"/>
      <c r="AL87" s="238"/>
      <c r="AM87" s="237"/>
      <c r="AN87" s="237"/>
      <c r="AO87" s="237"/>
      <c r="AP87" s="237"/>
      <c r="AQ87" s="237"/>
      <c r="AR87" s="237"/>
      <c r="AS87" s="239"/>
      <c r="AT87" s="237"/>
      <c r="AU87" s="237"/>
      <c r="AV87" s="239"/>
      <c r="AW87" s="239"/>
      <c r="AX87" s="239"/>
      <c r="AY87" s="239"/>
      <c r="AZ87" s="237"/>
      <c r="BA87" s="237"/>
      <c r="BB87" s="239"/>
      <c r="BC87" s="239"/>
      <c r="BD87" s="239"/>
      <c r="BE87" s="257"/>
      <c r="BF87" s="255"/>
      <c r="BG87" s="255"/>
      <c r="BH87" s="257"/>
      <c r="BI87" s="257"/>
      <c r="BJ87" s="257"/>
      <c r="BK87" s="258"/>
      <c r="BL87" s="235"/>
      <c r="BM87" s="235"/>
      <c r="BN87" s="235"/>
      <c r="BO87" s="235"/>
      <c r="BP87" s="235"/>
      <c r="BQ87" s="235"/>
      <c r="BR87" s="235"/>
      <c r="BS87" s="235"/>
      <c r="BT87" s="258"/>
      <c r="BU87" s="346"/>
      <c r="BV87" s="346"/>
      <c r="BW87" s="258"/>
      <c r="BX87" s="258"/>
      <c r="BY87" s="381"/>
      <c r="BZ87" s="381"/>
      <c r="CA87" s="378"/>
      <c r="CB87" s="378"/>
      <c r="CC87" s="381"/>
      <c r="CD87" s="381"/>
      <c r="CE87" s="381"/>
      <c r="CF87" s="381"/>
      <c r="CG87" s="381"/>
      <c r="CH87" s="381"/>
      <c r="CI87" s="260"/>
      <c r="CJ87" s="381"/>
      <c r="CK87" s="260"/>
      <c r="CL87" s="260"/>
      <c r="CM87" s="260"/>
      <c r="CN87" s="260"/>
      <c r="CO87" s="260"/>
    </row>
    <row r="88" spans="31:93" s="247" customFormat="1" ht="14" thickBot="1" x14ac:dyDescent="0.3">
      <c r="AE88" s="242"/>
      <c r="AF88" s="357">
        <v>5</v>
      </c>
      <c r="AG88" s="366">
        <v>2.78</v>
      </c>
      <c r="AH88" s="237"/>
      <c r="AI88" s="237"/>
      <c r="AJ88" s="238"/>
      <c r="AK88" s="238"/>
      <c r="AL88" s="238"/>
      <c r="AM88" s="237"/>
      <c r="AN88" s="237"/>
      <c r="AO88" s="237"/>
      <c r="AP88" s="237"/>
      <c r="AQ88" s="237"/>
      <c r="AR88" s="237"/>
      <c r="AS88" s="237"/>
      <c r="AT88" s="237"/>
      <c r="AU88" s="237"/>
      <c r="AV88" s="237"/>
      <c r="AW88" s="237"/>
      <c r="AX88" s="237"/>
      <c r="AY88" s="239"/>
      <c r="AZ88" s="237"/>
      <c r="BA88" s="237"/>
      <c r="BB88" s="239"/>
      <c r="BC88" s="239"/>
      <c r="BD88" s="239"/>
      <c r="BE88" s="257"/>
      <c r="BF88" s="255"/>
      <c r="BG88" s="255"/>
      <c r="BH88" s="257"/>
      <c r="BI88" s="257"/>
      <c r="BJ88" s="257"/>
      <c r="BK88" s="258"/>
      <c r="BL88" s="235"/>
      <c r="BM88" s="235"/>
      <c r="BN88" s="235"/>
      <c r="BO88" s="235"/>
      <c r="BP88" s="235"/>
      <c r="BQ88" s="235"/>
      <c r="BR88" s="235"/>
      <c r="BS88" s="235"/>
      <c r="BT88" s="258"/>
      <c r="BU88" s="346"/>
      <c r="BV88" s="346"/>
      <c r="BW88" s="258"/>
      <c r="BX88" s="258"/>
      <c r="BY88" s="381"/>
      <c r="BZ88" s="381"/>
      <c r="CA88" s="378"/>
      <c r="CB88" s="378"/>
      <c r="CC88" s="381"/>
      <c r="CD88" s="381"/>
      <c r="CE88" s="381"/>
      <c r="CF88" s="381"/>
      <c r="CG88" s="260"/>
      <c r="CH88" s="260"/>
      <c r="CI88" s="260"/>
      <c r="CJ88" s="260"/>
      <c r="CK88" s="260"/>
      <c r="CL88" s="260"/>
      <c r="CM88" s="260"/>
      <c r="CN88" s="260"/>
      <c r="CO88" s="260"/>
    </row>
    <row r="89" spans="31:93" s="247" customFormat="1" ht="14" thickBot="1" x14ac:dyDescent="0.3">
      <c r="AE89" s="242"/>
      <c r="AF89" s="357">
        <v>6</v>
      </c>
      <c r="AG89" s="366">
        <v>2.57</v>
      </c>
      <c r="AH89" s="237"/>
      <c r="AI89" s="237"/>
      <c r="AJ89" s="238"/>
      <c r="AK89" s="238"/>
      <c r="AL89" s="238"/>
      <c r="AM89" s="237"/>
      <c r="AN89" s="237"/>
      <c r="AO89" s="237"/>
      <c r="AP89" s="237"/>
      <c r="AQ89" s="237"/>
      <c r="AR89" s="237"/>
      <c r="AS89" s="237"/>
      <c r="AT89" s="237"/>
      <c r="AU89" s="237"/>
      <c r="AV89" s="237"/>
      <c r="AW89" s="237"/>
      <c r="AX89" s="237"/>
      <c r="AY89" s="239"/>
      <c r="AZ89" s="237"/>
      <c r="BA89" s="237"/>
      <c r="BB89" s="239"/>
      <c r="BC89" s="239"/>
      <c r="BD89" s="239"/>
      <c r="BE89" s="257"/>
      <c r="BF89" s="255"/>
      <c r="BG89" s="255"/>
      <c r="BH89" s="257"/>
      <c r="BI89" s="257"/>
      <c r="BJ89" s="257"/>
      <c r="BK89" s="258"/>
      <c r="BL89" s="258"/>
      <c r="BM89" s="235"/>
      <c r="BN89" s="235"/>
      <c r="BO89" s="235"/>
      <c r="BP89" s="235"/>
      <c r="BQ89" s="235"/>
      <c r="BR89" s="235"/>
      <c r="BS89" s="235"/>
      <c r="BT89" s="235"/>
      <c r="BU89" s="235"/>
      <c r="BV89" s="235"/>
      <c r="BW89" s="235"/>
      <c r="BX89" s="235"/>
      <c r="BY89" s="235"/>
      <c r="BZ89" s="235"/>
      <c r="CA89" s="235"/>
      <c r="CB89" s="235"/>
      <c r="CC89" s="235"/>
      <c r="CD89" s="235"/>
      <c r="CE89" s="235"/>
      <c r="CF89" s="235"/>
      <c r="CG89" s="235"/>
      <c r="CH89" s="235"/>
      <c r="CI89" s="235"/>
      <c r="CJ89" s="235"/>
      <c r="CK89" s="235"/>
      <c r="CL89" s="235"/>
      <c r="CM89" s="235"/>
      <c r="CN89" s="235"/>
      <c r="CO89" s="235"/>
    </row>
    <row r="90" spans="31:93" s="247" customFormat="1" ht="14" thickBot="1" x14ac:dyDescent="0.3">
      <c r="AE90" s="242"/>
      <c r="AF90" s="357">
        <v>7</v>
      </c>
      <c r="AG90" s="366">
        <v>2.4500000000000002</v>
      </c>
      <c r="AH90" s="237"/>
      <c r="AI90" s="237"/>
      <c r="AJ90" s="238"/>
      <c r="AK90" s="238"/>
      <c r="AL90" s="238"/>
      <c r="AM90" s="237"/>
      <c r="AN90" s="237"/>
      <c r="AO90" s="237"/>
      <c r="AP90" s="237"/>
      <c r="AQ90" s="237"/>
      <c r="AR90" s="237"/>
      <c r="AS90" s="237"/>
      <c r="AT90" s="237"/>
      <c r="AU90" s="237"/>
      <c r="AV90" s="237"/>
      <c r="AW90" s="237"/>
      <c r="AX90" s="237"/>
      <c r="AY90" s="239"/>
      <c r="AZ90" s="237"/>
      <c r="BA90" s="237"/>
      <c r="BB90" s="239"/>
      <c r="BC90" s="239"/>
      <c r="BD90" s="239"/>
      <c r="BE90" s="257"/>
      <c r="BF90" s="255"/>
      <c r="BG90" s="255"/>
      <c r="BH90" s="257"/>
      <c r="BI90" s="257"/>
      <c r="BJ90" s="257"/>
      <c r="BK90" s="258"/>
      <c r="BL90" s="235"/>
      <c r="BM90" s="235"/>
      <c r="BN90" s="235"/>
      <c r="BO90" s="235"/>
      <c r="BP90" s="235"/>
      <c r="BQ90" s="235"/>
      <c r="BR90" s="235"/>
      <c r="BS90" s="235"/>
      <c r="BT90" s="235"/>
      <c r="BU90" s="235"/>
      <c r="BV90" s="235"/>
      <c r="BW90" s="235"/>
      <c r="BX90" s="235"/>
      <c r="BY90" s="235"/>
      <c r="BZ90" s="235"/>
      <c r="CA90" s="235"/>
      <c r="CB90" s="235"/>
      <c r="CC90" s="235"/>
      <c r="CD90" s="235"/>
      <c r="CE90" s="235"/>
      <c r="CF90" s="235"/>
      <c r="CG90" s="235"/>
      <c r="CH90" s="235"/>
      <c r="CI90" s="235"/>
      <c r="CJ90" s="235"/>
      <c r="CK90" s="235"/>
      <c r="CL90" s="235"/>
      <c r="CM90" s="235"/>
      <c r="CN90" s="235"/>
      <c r="CO90" s="235"/>
    </row>
    <row r="91" spans="31:93" s="247" customFormat="1" ht="14" thickBot="1" x14ac:dyDescent="0.3">
      <c r="AE91" s="242"/>
      <c r="AF91" s="357">
        <v>8</v>
      </c>
      <c r="AG91" s="366">
        <v>2.36</v>
      </c>
      <c r="AH91" s="237"/>
      <c r="AI91" s="237"/>
      <c r="AJ91" s="238"/>
      <c r="AK91" s="238"/>
      <c r="AL91" s="238"/>
      <c r="AM91" s="237"/>
      <c r="AN91" s="237"/>
      <c r="AO91" s="237"/>
      <c r="AP91" s="237"/>
      <c r="AQ91" s="237"/>
      <c r="AR91" s="237"/>
      <c r="AS91" s="237"/>
      <c r="AT91" s="237"/>
      <c r="AU91" s="237"/>
      <c r="AV91" s="237"/>
      <c r="AW91" s="237"/>
      <c r="AX91" s="237"/>
      <c r="AY91" s="239"/>
      <c r="AZ91" s="237"/>
      <c r="BA91" s="237"/>
      <c r="BB91" s="239"/>
      <c r="BC91" s="239"/>
      <c r="BD91" s="239"/>
      <c r="BE91" s="257"/>
      <c r="BF91" s="255"/>
      <c r="BG91" s="255"/>
      <c r="BH91" s="257"/>
      <c r="BI91" s="257"/>
      <c r="BJ91" s="257"/>
      <c r="BK91" s="258"/>
      <c r="BL91" s="235"/>
      <c r="BM91" s="235"/>
      <c r="BN91" s="235"/>
      <c r="BO91" s="235"/>
      <c r="BP91" s="235"/>
      <c r="BQ91" s="235"/>
      <c r="BR91" s="235"/>
      <c r="BS91" s="235"/>
      <c r="BT91" s="235"/>
      <c r="BU91" s="235"/>
      <c r="BV91" s="235"/>
      <c r="BW91" s="235"/>
      <c r="BX91" s="235"/>
      <c r="BY91" s="235"/>
      <c r="BZ91" s="235"/>
      <c r="CA91" s="235"/>
      <c r="CB91" s="235"/>
      <c r="CC91" s="235"/>
      <c r="CD91" s="235"/>
      <c r="CE91" s="235"/>
      <c r="CF91" s="235"/>
      <c r="CG91" s="235"/>
      <c r="CH91" s="235"/>
      <c r="CI91" s="235"/>
      <c r="CJ91" s="235"/>
      <c r="CK91" s="235"/>
      <c r="CL91" s="235"/>
      <c r="CM91" s="235"/>
      <c r="CN91" s="235"/>
      <c r="CO91" s="235"/>
    </row>
    <row r="92" spans="31:93" s="247" customFormat="1" ht="14" thickBot="1" x14ac:dyDescent="0.3">
      <c r="AE92" s="242"/>
      <c r="AF92" s="357">
        <v>9</v>
      </c>
      <c r="AG92" s="366">
        <v>2.31</v>
      </c>
      <c r="AH92" s="237"/>
      <c r="AI92" s="237"/>
      <c r="AJ92" s="238"/>
      <c r="AK92" s="238"/>
      <c r="AL92" s="238"/>
      <c r="AM92" s="237"/>
      <c r="AN92" s="237"/>
      <c r="AO92" s="237"/>
      <c r="AP92" s="237"/>
      <c r="AQ92" s="237"/>
      <c r="AR92" s="237"/>
      <c r="AS92" s="237"/>
      <c r="AT92" s="237"/>
      <c r="AU92" s="237"/>
      <c r="AV92" s="237"/>
      <c r="AW92" s="237"/>
      <c r="AX92" s="237"/>
      <c r="AY92" s="239"/>
      <c r="AZ92" s="237"/>
      <c r="BA92" s="237"/>
      <c r="BB92" s="239"/>
      <c r="BC92" s="239"/>
      <c r="BD92" s="239"/>
      <c r="BE92" s="257"/>
      <c r="BF92" s="255"/>
      <c r="BG92" s="255"/>
      <c r="BH92" s="257"/>
      <c r="BI92" s="257"/>
      <c r="BJ92" s="257"/>
      <c r="BK92" s="258"/>
      <c r="BL92" s="235"/>
      <c r="BM92" s="235"/>
      <c r="BN92" s="235"/>
      <c r="BO92" s="235"/>
      <c r="BP92" s="235"/>
      <c r="BQ92" s="235"/>
      <c r="BR92" s="235"/>
      <c r="BS92" s="235"/>
      <c r="BT92" s="235"/>
      <c r="BU92" s="235"/>
      <c r="BV92" s="235"/>
      <c r="BW92" s="235"/>
      <c r="BX92" s="235"/>
      <c r="BY92" s="235"/>
      <c r="BZ92" s="235"/>
      <c r="CA92" s="235"/>
      <c r="CB92" s="235"/>
      <c r="CC92" s="235"/>
      <c r="CD92" s="235"/>
      <c r="CE92" s="235"/>
      <c r="CF92" s="235"/>
      <c r="CG92" s="235"/>
      <c r="CH92" s="235"/>
      <c r="CI92" s="235"/>
      <c r="CJ92" s="235"/>
      <c r="CK92" s="235"/>
      <c r="CL92" s="235"/>
      <c r="CM92" s="235"/>
      <c r="CN92" s="235"/>
      <c r="CO92" s="235"/>
    </row>
    <row r="93" spans="31:93" s="247" customFormat="1" ht="14" thickBot="1" x14ac:dyDescent="0.3">
      <c r="AE93" s="242"/>
      <c r="AF93" s="357">
        <v>10</v>
      </c>
      <c r="AG93" s="366">
        <v>2.2599999999999998</v>
      </c>
      <c r="AH93" s="237"/>
      <c r="AI93" s="237"/>
      <c r="AJ93" s="238"/>
      <c r="AK93" s="238"/>
      <c r="AL93" s="238"/>
      <c r="AM93" s="237"/>
      <c r="AN93" s="237"/>
      <c r="AO93" s="237"/>
      <c r="AP93" s="237"/>
      <c r="AQ93" s="237"/>
      <c r="AR93" s="237"/>
      <c r="AS93" s="237"/>
      <c r="AT93" s="237"/>
      <c r="AU93" s="237"/>
      <c r="AV93" s="237"/>
      <c r="AW93" s="237"/>
      <c r="AX93" s="237"/>
      <c r="AY93" s="239"/>
      <c r="AZ93" s="237"/>
      <c r="BA93" s="237"/>
      <c r="BB93" s="239"/>
      <c r="BC93" s="239"/>
      <c r="BD93" s="239"/>
      <c r="BE93" s="257"/>
      <c r="BF93" s="255"/>
      <c r="BG93" s="255"/>
      <c r="BH93" s="257"/>
      <c r="BI93" s="257"/>
      <c r="BJ93" s="257"/>
      <c r="BK93" s="258"/>
      <c r="BL93" s="235"/>
      <c r="BM93" s="235"/>
      <c r="BN93" s="235"/>
      <c r="BO93" s="235"/>
      <c r="BP93" s="235"/>
      <c r="BQ93" s="235"/>
      <c r="BR93" s="235"/>
      <c r="BS93" s="235"/>
      <c r="BT93" s="235"/>
      <c r="BU93" s="235"/>
      <c r="BV93" s="235"/>
      <c r="BW93" s="235"/>
      <c r="BX93" s="235"/>
      <c r="BY93" s="235"/>
      <c r="BZ93" s="235"/>
      <c r="CA93" s="235"/>
      <c r="CB93" s="235"/>
      <c r="CC93" s="235"/>
      <c r="CD93" s="235"/>
      <c r="CE93" s="235"/>
      <c r="CF93" s="235"/>
      <c r="CG93" s="235"/>
      <c r="CH93" s="235"/>
      <c r="CI93" s="235"/>
      <c r="CJ93" s="235"/>
      <c r="CK93" s="235"/>
      <c r="CL93" s="235"/>
      <c r="CM93" s="235"/>
      <c r="CN93" s="235"/>
      <c r="CO93" s="235"/>
    </row>
    <row r="94" spans="31:93" s="247" customFormat="1" ht="14" thickBot="1" x14ac:dyDescent="0.3">
      <c r="AE94" s="242"/>
      <c r="AF94" s="357">
        <v>11</v>
      </c>
      <c r="AG94" s="366">
        <v>2.23</v>
      </c>
      <c r="AH94" s="237"/>
      <c r="AI94" s="237"/>
      <c r="AJ94" s="238"/>
      <c r="AK94" s="238"/>
      <c r="AL94" s="238"/>
      <c r="AM94" s="237"/>
      <c r="AN94" s="237"/>
      <c r="AO94" s="237"/>
      <c r="AP94" s="237"/>
      <c r="AQ94" s="237"/>
      <c r="AR94" s="237"/>
      <c r="AS94" s="237"/>
      <c r="AT94" s="237"/>
      <c r="AU94" s="237"/>
      <c r="AV94" s="237"/>
      <c r="AW94" s="237"/>
      <c r="AX94" s="237"/>
      <c r="AY94" s="239"/>
      <c r="AZ94" s="237"/>
      <c r="BA94" s="237"/>
      <c r="BB94" s="239"/>
      <c r="BC94" s="239"/>
      <c r="BD94" s="239"/>
      <c r="BE94" s="257"/>
      <c r="BF94" s="255"/>
      <c r="BG94" s="255"/>
      <c r="BH94" s="257"/>
      <c r="BI94" s="257"/>
      <c r="BJ94" s="257"/>
      <c r="BK94" s="258"/>
      <c r="BL94" s="235"/>
      <c r="BM94" s="235"/>
      <c r="BN94" s="235"/>
      <c r="BO94" s="235"/>
      <c r="BP94" s="235"/>
      <c r="BQ94" s="235"/>
      <c r="BR94" s="235"/>
      <c r="BS94" s="235"/>
      <c r="BT94" s="235"/>
      <c r="BU94" s="235"/>
      <c r="BV94" s="235"/>
      <c r="BW94" s="235"/>
      <c r="BX94" s="235"/>
      <c r="BY94" s="235"/>
      <c r="BZ94" s="235"/>
      <c r="CA94" s="235"/>
      <c r="CB94" s="235"/>
      <c r="CC94" s="235"/>
      <c r="CD94" s="235"/>
      <c r="CE94" s="235"/>
      <c r="CF94" s="235"/>
      <c r="CG94" s="235"/>
      <c r="CH94" s="235"/>
      <c r="CI94" s="235"/>
      <c r="CJ94" s="235"/>
      <c r="CK94" s="235"/>
      <c r="CL94" s="235"/>
      <c r="CM94" s="235"/>
      <c r="CN94" s="235"/>
      <c r="CO94" s="235"/>
    </row>
    <row r="95" spans="31:93" s="247" customFormat="1" ht="14" thickBot="1" x14ac:dyDescent="0.3">
      <c r="AE95" s="242"/>
      <c r="AF95" s="357">
        <v>12</v>
      </c>
      <c r="AG95" s="366">
        <v>2.2000000000000002</v>
      </c>
      <c r="AH95" s="237"/>
      <c r="AI95" s="237"/>
      <c r="AJ95" s="238"/>
      <c r="AK95" s="238"/>
      <c r="AL95" s="238"/>
      <c r="AM95" s="237"/>
      <c r="AN95" s="237"/>
      <c r="AO95" s="237"/>
      <c r="AP95" s="237"/>
      <c r="AQ95" s="237"/>
      <c r="AR95" s="237"/>
      <c r="AS95" s="237"/>
      <c r="AT95" s="237"/>
      <c r="AU95" s="237"/>
      <c r="AV95" s="237"/>
      <c r="AW95" s="237"/>
      <c r="AX95" s="237"/>
      <c r="AY95" s="239"/>
      <c r="AZ95" s="237"/>
      <c r="BA95" s="237"/>
      <c r="BB95" s="239"/>
      <c r="BC95" s="239"/>
      <c r="BD95" s="239"/>
      <c r="BE95" s="257"/>
      <c r="BF95" s="255"/>
      <c r="BG95" s="255"/>
      <c r="BH95" s="257"/>
      <c r="BI95" s="257"/>
      <c r="BJ95" s="257"/>
      <c r="BK95" s="258"/>
      <c r="BL95" s="235"/>
      <c r="BM95" s="235"/>
      <c r="BN95" s="235"/>
      <c r="BO95" s="235"/>
      <c r="BP95" s="235"/>
      <c r="BQ95" s="235"/>
      <c r="BR95" s="235"/>
      <c r="BS95" s="235"/>
      <c r="BT95" s="235"/>
      <c r="BU95" s="235"/>
      <c r="BV95" s="235"/>
      <c r="BW95" s="235"/>
      <c r="BX95" s="235"/>
      <c r="BY95" s="235"/>
      <c r="BZ95" s="235"/>
      <c r="CA95" s="235"/>
      <c r="CB95" s="235"/>
      <c r="CC95" s="235"/>
      <c r="CD95" s="235"/>
      <c r="CE95" s="235"/>
      <c r="CF95" s="235"/>
      <c r="CG95" s="235"/>
      <c r="CH95" s="235"/>
      <c r="CI95" s="235"/>
      <c r="CJ95" s="235"/>
      <c r="CK95" s="235"/>
      <c r="CL95" s="235"/>
      <c r="CM95" s="235"/>
      <c r="CN95" s="235"/>
      <c r="CO95" s="235"/>
    </row>
    <row r="96" spans="31:93" s="247" customFormat="1" x14ac:dyDescent="0.25">
      <c r="AE96" s="242"/>
      <c r="AF96" s="236"/>
      <c r="AG96" s="237"/>
      <c r="AH96" s="237"/>
      <c r="AI96" s="237"/>
      <c r="AJ96" s="238"/>
      <c r="AK96" s="238"/>
      <c r="AL96" s="238"/>
      <c r="AM96" s="237"/>
      <c r="AN96" s="237"/>
      <c r="AO96" s="237"/>
      <c r="AP96" s="237"/>
      <c r="AQ96" s="237"/>
      <c r="AR96" s="237"/>
      <c r="AS96" s="237"/>
      <c r="AT96" s="237"/>
      <c r="AU96" s="237"/>
      <c r="AV96" s="237"/>
      <c r="AW96" s="237"/>
      <c r="AX96" s="237"/>
      <c r="AY96" s="239"/>
      <c r="AZ96" s="237"/>
      <c r="BA96" s="237"/>
      <c r="BB96" s="239"/>
      <c r="BC96" s="239"/>
      <c r="BD96" s="239"/>
      <c r="BE96" s="257"/>
      <c r="BF96" s="255"/>
      <c r="BG96" s="255"/>
      <c r="BH96" s="257"/>
      <c r="BI96" s="257"/>
      <c r="BJ96" s="257"/>
      <c r="BK96" s="258"/>
      <c r="BL96" s="384"/>
      <c r="BM96" s="346"/>
      <c r="BN96" s="235"/>
      <c r="BO96" s="235"/>
      <c r="BP96" s="235"/>
      <c r="BQ96" s="235"/>
      <c r="BR96" s="235"/>
      <c r="BS96" s="235"/>
      <c r="BT96" s="235"/>
      <c r="BU96" s="235"/>
      <c r="BV96" s="235"/>
      <c r="BW96" s="235"/>
      <c r="BX96" s="235"/>
      <c r="BY96" s="235"/>
      <c r="BZ96" s="235"/>
      <c r="CA96" s="235"/>
      <c r="CB96" s="235"/>
      <c r="CC96" s="235"/>
      <c r="CD96" s="235"/>
      <c r="CE96" s="235"/>
      <c r="CF96" s="235"/>
      <c r="CG96" s="235"/>
      <c r="CH96" s="235"/>
      <c r="CI96" s="235"/>
      <c r="CJ96" s="235"/>
      <c r="CK96" s="235"/>
      <c r="CL96" s="235"/>
      <c r="CM96" s="235"/>
      <c r="CN96" s="235"/>
      <c r="CO96" s="235"/>
    </row>
    <row r="97" spans="26:105" s="247" customFormat="1" x14ac:dyDescent="0.25">
      <c r="Z97" s="251"/>
      <c r="AB97" s="251"/>
      <c r="AE97" s="242"/>
      <c r="AF97" s="236"/>
      <c r="AG97" s="237"/>
      <c r="AH97" s="237"/>
      <c r="AI97" s="237"/>
      <c r="AJ97" s="238"/>
      <c r="AK97" s="238"/>
      <c r="AL97" s="238"/>
      <c r="AM97" s="237"/>
      <c r="AN97" s="237"/>
      <c r="AO97" s="237"/>
      <c r="AP97" s="237"/>
      <c r="AQ97" s="237"/>
      <c r="AR97" s="237"/>
      <c r="AS97" s="237"/>
      <c r="AT97" s="237"/>
      <c r="AU97" s="237"/>
      <c r="AV97" s="237"/>
      <c r="AW97" s="237"/>
      <c r="AX97" s="237"/>
      <c r="AY97" s="239"/>
      <c r="AZ97" s="237"/>
      <c r="BA97" s="237"/>
      <c r="BB97" s="239"/>
      <c r="BC97" s="239"/>
      <c r="BD97" s="239"/>
      <c r="BE97" s="257"/>
      <c r="BF97" s="255"/>
      <c r="BG97" s="255"/>
      <c r="BH97" s="257"/>
      <c r="BI97" s="257"/>
      <c r="BJ97" s="257"/>
      <c r="BK97" s="258"/>
      <c r="BL97" s="235"/>
      <c r="BM97" s="235"/>
      <c r="BN97" s="235"/>
      <c r="BO97" s="235"/>
      <c r="BP97" s="235"/>
      <c r="BQ97" s="235"/>
      <c r="BR97" s="235"/>
      <c r="BS97" s="235"/>
      <c r="BT97" s="235"/>
      <c r="BU97" s="235"/>
      <c r="BV97" s="235"/>
      <c r="BW97" s="235"/>
      <c r="BX97" s="235"/>
      <c r="BY97" s="235"/>
      <c r="BZ97" s="235"/>
      <c r="CA97" s="235"/>
      <c r="CB97" s="235"/>
      <c r="CC97" s="235"/>
      <c r="CD97" s="235"/>
      <c r="CE97" s="235"/>
      <c r="CF97" s="235"/>
      <c r="CG97" s="235"/>
      <c r="CH97" s="235"/>
      <c r="CI97" s="235"/>
      <c r="CJ97" s="235"/>
      <c r="CK97" s="235"/>
      <c r="CL97" s="235"/>
      <c r="CM97" s="235"/>
      <c r="CN97" s="235"/>
      <c r="CO97" s="235"/>
      <c r="CP97" s="235"/>
      <c r="CQ97" s="235"/>
      <c r="CR97" s="235"/>
      <c r="CS97" s="235"/>
      <c r="CT97" s="260"/>
      <c r="CU97" s="260"/>
      <c r="CV97" s="260"/>
      <c r="CW97" s="260"/>
      <c r="CX97" s="260"/>
      <c r="CY97" s="260"/>
      <c r="CZ97" s="260"/>
      <c r="DA97" s="260"/>
    </row>
    <row r="98" spans="26:105" s="247" customFormat="1" x14ac:dyDescent="0.25">
      <c r="Z98" s="251"/>
      <c r="AB98" s="251"/>
      <c r="AE98" s="242"/>
      <c r="AF98" s="236"/>
      <c r="AG98" s="237"/>
      <c r="AH98" s="237"/>
      <c r="AI98" s="237"/>
      <c r="AJ98" s="238"/>
      <c r="AK98" s="238"/>
      <c r="AL98" s="238"/>
      <c r="AM98" s="237"/>
      <c r="AN98" s="237"/>
      <c r="AO98" s="237"/>
      <c r="AP98" s="237"/>
      <c r="AQ98" s="237"/>
      <c r="AR98" s="237"/>
      <c r="AS98" s="237"/>
      <c r="AT98" s="237"/>
      <c r="AU98" s="237"/>
      <c r="AV98" s="237"/>
      <c r="AW98" s="237"/>
      <c r="AX98" s="237"/>
      <c r="AY98" s="239"/>
      <c r="AZ98" s="237"/>
      <c r="BA98" s="237"/>
      <c r="BB98" s="239"/>
      <c r="BC98" s="239"/>
      <c r="BD98" s="239"/>
      <c r="BE98" s="257"/>
      <c r="BF98" s="255"/>
      <c r="BG98" s="255"/>
      <c r="BH98" s="257"/>
      <c r="BI98" s="257"/>
      <c r="BJ98" s="257"/>
      <c r="BK98" s="258"/>
      <c r="BL98" s="235"/>
      <c r="BM98" s="235"/>
      <c r="BN98" s="235"/>
      <c r="BO98" s="235"/>
      <c r="BP98" s="235"/>
      <c r="BQ98" s="235"/>
      <c r="BR98" s="235"/>
      <c r="BS98" s="235"/>
      <c r="BT98" s="235"/>
      <c r="BU98" s="235"/>
      <c r="BV98" s="235"/>
      <c r="BW98" s="235"/>
      <c r="BX98" s="235"/>
      <c r="BY98" s="235"/>
      <c r="BZ98" s="235"/>
      <c r="CA98" s="235"/>
      <c r="CB98" s="235"/>
      <c r="CC98" s="235"/>
      <c r="CD98" s="235"/>
      <c r="CE98" s="235"/>
      <c r="CF98" s="235"/>
      <c r="CG98" s="235"/>
      <c r="CH98" s="235"/>
      <c r="CI98" s="235"/>
      <c r="CJ98" s="235"/>
      <c r="CK98" s="235"/>
      <c r="CL98" s="235"/>
      <c r="CM98" s="235"/>
      <c r="CN98" s="235"/>
      <c r="CO98" s="235"/>
      <c r="CP98" s="235"/>
      <c r="CQ98" s="235"/>
      <c r="CR98" s="235"/>
      <c r="CS98" s="235"/>
      <c r="CT98" s="260"/>
      <c r="CU98" s="260"/>
      <c r="CV98" s="260"/>
      <c r="CW98" s="260"/>
      <c r="CX98" s="260"/>
      <c r="CY98" s="260"/>
      <c r="CZ98" s="260"/>
      <c r="DA98" s="260"/>
    </row>
    <row r="99" spans="26:105" s="247" customFormat="1" x14ac:dyDescent="0.25">
      <c r="Z99" s="251"/>
      <c r="AB99" s="251"/>
      <c r="AE99" s="242"/>
      <c r="AF99" s="236"/>
      <c r="AG99" s="237"/>
      <c r="AH99" s="237"/>
      <c r="AI99" s="237"/>
      <c r="AJ99" s="238"/>
      <c r="AK99" s="238"/>
      <c r="AL99" s="238"/>
      <c r="AM99" s="237"/>
      <c r="AN99" s="237"/>
      <c r="AO99" s="237"/>
      <c r="AP99" s="237"/>
      <c r="AQ99" s="237"/>
      <c r="AR99" s="237"/>
      <c r="AS99" s="237"/>
      <c r="AT99" s="237"/>
      <c r="AU99" s="237"/>
      <c r="AV99" s="237"/>
      <c r="AW99" s="237"/>
      <c r="AX99" s="237"/>
      <c r="AY99" s="239"/>
      <c r="AZ99" s="237"/>
      <c r="BA99" s="237"/>
      <c r="BB99" s="239"/>
      <c r="BC99" s="239"/>
      <c r="BD99" s="239"/>
      <c r="BE99" s="257"/>
      <c r="BF99" s="255"/>
      <c r="BG99" s="255"/>
      <c r="BH99" s="257"/>
      <c r="BI99" s="257"/>
      <c r="BJ99" s="257"/>
      <c r="BK99" s="258"/>
      <c r="BL99" s="235"/>
      <c r="BM99" s="235"/>
      <c r="BN99" s="235"/>
      <c r="BO99" s="235"/>
      <c r="BP99" s="235"/>
      <c r="BQ99" s="235"/>
      <c r="BR99" s="235"/>
      <c r="BS99" s="235"/>
      <c r="BT99" s="235"/>
      <c r="BU99" s="235"/>
      <c r="BV99" s="235"/>
      <c r="BW99" s="235"/>
      <c r="BX99" s="235"/>
      <c r="BY99" s="235"/>
      <c r="BZ99" s="235"/>
      <c r="CA99" s="235"/>
      <c r="CB99" s="235"/>
      <c r="CC99" s="235"/>
      <c r="CD99" s="235"/>
      <c r="CE99" s="235"/>
      <c r="CF99" s="235"/>
      <c r="CG99" s="235"/>
      <c r="CH99" s="235"/>
      <c r="CI99" s="235"/>
      <c r="CJ99" s="235"/>
      <c r="CK99" s="235"/>
      <c r="CL99" s="235"/>
      <c r="CM99" s="235"/>
      <c r="CN99" s="235"/>
      <c r="CO99" s="235"/>
      <c r="CP99" s="235"/>
      <c r="CQ99" s="235"/>
      <c r="CR99" s="235"/>
      <c r="CS99" s="235"/>
      <c r="CT99" s="260"/>
      <c r="CU99" s="260"/>
      <c r="CV99" s="260"/>
      <c r="CW99" s="260"/>
      <c r="CX99" s="260"/>
      <c r="CY99" s="260"/>
      <c r="CZ99" s="260"/>
      <c r="DA99" s="260"/>
    </row>
    <row r="100" spans="26:105" s="247" customFormat="1" x14ac:dyDescent="0.25">
      <c r="Z100" s="251"/>
      <c r="AB100" s="251"/>
      <c r="AE100" s="242"/>
      <c r="AF100" s="236"/>
      <c r="AG100" s="237"/>
      <c r="AH100" s="237"/>
      <c r="AI100" s="237"/>
      <c r="AJ100" s="238"/>
      <c r="AK100" s="238"/>
      <c r="AL100" s="238"/>
      <c r="AM100" s="237"/>
      <c r="AN100" s="237"/>
      <c r="AO100" s="237"/>
      <c r="AP100" s="237"/>
      <c r="AQ100" s="237"/>
      <c r="AR100" s="237"/>
      <c r="AS100" s="237"/>
      <c r="AT100" s="237"/>
      <c r="AU100" s="237"/>
      <c r="AV100" s="237"/>
      <c r="AW100" s="237"/>
      <c r="AX100" s="237"/>
      <c r="AY100" s="239"/>
      <c r="AZ100" s="237"/>
      <c r="BA100" s="237"/>
      <c r="BB100" s="239"/>
      <c r="BC100" s="239"/>
      <c r="BD100" s="239"/>
      <c r="BE100" s="257"/>
      <c r="BF100" s="255"/>
      <c r="BG100" s="255"/>
      <c r="BH100" s="257"/>
      <c r="BI100" s="257"/>
      <c r="BJ100" s="257"/>
      <c r="BK100" s="258"/>
      <c r="BL100" s="235"/>
      <c r="BM100" s="235"/>
      <c r="BN100" s="235"/>
      <c r="BO100" s="235"/>
      <c r="BP100" s="235"/>
      <c r="BQ100" s="235"/>
      <c r="BR100" s="235"/>
      <c r="BS100" s="235"/>
      <c r="BT100" s="235"/>
      <c r="BU100" s="235"/>
      <c r="BV100" s="235"/>
      <c r="BW100" s="235"/>
      <c r="BX100" s="235"/>
      <c r="BY100" s="235"/>
      <c r="BZ100" s="235"/>
      <c r="CA100" s="235"/>
      <c r="CB100" s="235"/>
      <c r="CC100" s="235"/>
      <c r="CD100" s="235"/>
      <c r="CE100" s="235"/>
      <c r="CF100" s="235"/>
      <c r="CG100" s="235"/>
      <c r="CH100" s="235"/>
      <c r="CI100" s="235"/>
      <c r="CJ100" s="235"/>
      <c r="CK100" s="235"/>
      <c r="CL100" s="235"/>
      <c r="CM100" s="235"/>
      <c r="CN100" s="235"/>
      <c r="CO100" s="235"/>
      <c r="CP100" s="235"/>
      <c r="CQ100" s="235"/>
      <c r="CR100" s="235"/>
      <c r="CS100" s="235"/>
      <c r="CT100" s="260"/>
      <c r="CU100" s="260"/>
      <c r="CV100" s="260"/>
      <c r="CW100" s="260"/>
      <c r="CX100" s="260"/>
      <c r="CY100" s="260"/>
      <c r="CZ100" s="260"/>
      <c r="DA100" s="260"/>
    </row>
    <row r="101" spans="26:105" s="247" customFormat="1" x14ac:dyDescent="0.25">
      <c r="Z101" s="251"/>
      <c r="AB101" s="251"/>
      <c r="AE101" s="242"/>
      <c r="AF101" s="236"/>
      <c r="AG101" s="237"/>
      <c r="AH101" s="237"/>
      <c r="AI101" s="237"/>
      <c r="AJ101" s="238"/>
      <c r="AK101" s="238"/>
      <c r="AL101" s="238"/>
      <c r="AM101" s="237"/>
      <c r="AN101" s="237"/>
      <c r="AO101" s="237"/>
      <c r="AP101" s="237"/>
      <c r="AQ101" s="237"/>
      <c r="AR101" s="237"/>
      <c r="AS101" s="237"/>
      <c r="AT101" s="237"/>
      <c r="AU101" s="237"/>
      <c r="AV101" s="237"/>
      <c r="AW101" s="237"/>
      <c r="AX101" s="237"/>
      <c r="AY101" s="239"/>
      <c r="AZ101" s="237"/>
      <c r="BA101" s="237"/>
      <c r="BB101" s="239"/>
      <c r="BC101" s="239"/>
      <c r="BD101" s="239"/>
      <c r="BE101" s="257"/>
      <c r="BF101" s="255"/>
      <c r="BG101" s="255"/>
      <c r="BH101" s="257"/>
      <c r="BI101" s="257"/>
      <c r="BJ101" s="257"/>
      <c r="BK101" s="258"/>
      <c r="BL101" s="235"/>
      <c r="BM101" s="235"/>
      <c r="BN101" s="235"/>
      <c r="BO101" s="235"/>
      <c r="BP101" s="235"/>
      <c r="BQ101" s="235"/>
      <c r="BR101" s="235"/>
      <c r="BS101" s="235"/>
      <c r="BT101" s="235"/>
      <c r="BU101" s="235"/>
      <c r="BV101" s="235"/>
      <c r="BW101" s="235"/>
      <c r="BX101" s="235"/>
      <c r="BY101" s="235"/>
      <c r="BZ101" s="235"/>
      <c r="CA101" s="235"/>
      <c r="CB101" s="235"/>
      <c r="CC101" s="235"/>
      <c r="CD101" s="235"/>
      <c r="CE101" s="235"/>
      <c r="CF101" s="235"/>
      <c r="CG101" s="235"/>
      <c r="CH101" s="235"/>
      <c r="CI101" s="235"/>
      <c r="CJ101" s="235"/>
      <c r="CK101" s="235"/>
      <c r="CL101" s="235"/>
      <c r="CM101" s="235"/>
      <c r="CN101" s="235"/>
      <c r="CO101" s="235"/>
      <c r="CP101" s="235"/>
      <c r="CQ101" s="235"/>
      <c r="CR101" s="235"/>
      <c r="CS101" s="235"/>
      <c r="CT101" s="260"/>
      <c r="CU101" s="260"/>
      <c r="CV101" s="260"/>
      <c r="CW101" s="260"/>
      <c r="CX101" s="260"/>
      <c r="CY101" s="260"/>
      <c r="CZ101" s="260"/>
      <c r="DA101" s="260"/>
    </row>
    <row r="102" spans="26:105" s="247" customFormat="1" x14ac:dyDescent="0.25">
      <c r="Z102" s="251"/>
      <c r="AB102" s="251"/>
      <c r="AE102" s="242"/>
      <c r="AF102" s="236"/>
      <c r="AG102" s="237"/>
      <c r="AH102" s="237"/>
      <c r="AI102" s="237"/>
      <c r="AJ102" s="238"/>
      <c r="AK102" s="238"/>
      <c r="AL102" s="238"/>
      <c r="AM102" s="237"/>
      <c r="AN102" s="237"/>
      <c r="AO102" s="237"/>
      <c r="AP102" s="237"/>
      <c r="AQ102" s="237"/>
      <c r="AR102" s="237"/>
      <c r="AS102" s="237"/>
      <c r="AT102" s="237"/>
      <c r="AU102" s="237"/>
      <c r="AV102" s="237"/>
      <c r="AW102" s="237"/>
      <c r="AX102" s="237"/>
      <c r="AY102" s="239"/>
      <c r="AZ102" s="237"/>
      <c r="BA102" s="237"/>
      <c r="BB102" s="239"/>
      <c r="BC102" s="239"/>
      <c r="BD102" s="239"/>
      <c r="BE102" s="257"/>
      <c r="BF102" s="255"/>
      <c r="BG102" s="255"/>
      <c r="BH102" s="257"/>
      <c r="BI102" s="257"/>
      <c r="BJ102" s="257"/>
      <c r="BK102" s="258"/>
      <c r="BL102" s="235"/>
      <c r="BM102" s="235"/>
      <c r="BN102" s="235"/>
      <c r="BO102" s="235"/>
      <c r="BP102" s="235"/>
      <c r="BQ102" s="235"/>
      <c r="BR102" s="235"/>
      <c r="BS102" s="235"/>
      <c r="BT102" s="235"/>
      <c r="BU102" s="235"/>
      <c r="BV102" s="235"/>
      <c r="BW102" s="235"/>
      <c r="BX102" s="235"/>
      <c r="BY102" s="235"/>
      <c r="BZ102" s="235"/>
      <c r="CA102" s="235"/>
      <c r="CB102" s="235"/>
      <c r="CC102" s="235"/>
      <c r="CD102" s="235"/>
      <c r="CE102" s="235"/>
      <c r="CF102" s="235"/>
      <c r="CG102" s="235"/>
      <c r="CH102" s="235"/>
      <c r="CI102" s="235"/>
      <c r="CJ102" s="235"/>
      <c r="CK102" s="235"/>
      <c r="CL102" s="235"/>
      <c r="CM102" s="235"/>
      <c r="CN102" s="235"/>
      <c r="CO102" s="235"/>
      <c r="CP102" s="235"/>
      <c r="CQ102" s="235"/>
      <c r="CR102" s="235"/>
      <c r="CS102" s="235"/>
      <c r="CT102" s="260"/>
      <c r="CU102" s="260"/>
      <c r="CV102" s="260"/>
      <c r="CW102" s="260"/>
      <c r="CX102" s="260"/>
      <c r="CY102" s="260"/>
      <c r="CZ102" s="260"/>
      <c r="DA102" s="260"/>
    </row>
  </sheetData>
  <sheetProtection algorithmName="SHA-512" hashValue="cHhHKnw46uGY8I0Bes2C1NkXxE3IV7gtR5AYw0LcO4GkHLeilOu6vHaDaydoO/2nGn62bmzV3mn6Tosx/Ha6gA==" saltValue="S4PWLNmHhaRkvls/cIjRsg==" spinCount="100000" sheet="1" objects="1" scenarios="1" selectLockedCells="1" selectUnlockedCells="1"/>
  <protectedRanges>
    <protectedRange sqref="AM70:AN71 AT66:AU67 AT72:AU73 AZ66:BA67 AZ72:BA73 BF66:BG67 BF72:BG73 AT70:AT71 AZ70:AZ71 BF70:BF71 AM72:AR73 AM66:AR67 AP70:AQ71 AP51:AQ63 AM51:AM63" name="Rango1_10_1"/>
  </protectedRanges>
  <mergeCells count="59">
    <mergeCell ref="C2:V3"/>
    <mergeCell ref="B13:AD13"/>
    <mergeCell ref="AH68:AH69"/>
    <mergeCell ref="AJ68:AJ69"/>
    <mergeCell ref="AL68:AL69"/>
    <mergeCell ref="AH49:AH50"/>
    <mergeCell ref="AJ49:AJ50"/>
    <mergeCell ref="AL49:AL50"/>
    <mergeCell ref="B14:B15"/>
    <mergeCell ref="C14:C15"/>
    <mergeCell ref="D14:R14"/>
    <mergeCell ref="S14:V14"/>
    <mergeCell ref="B30:C30"/>
    <mergeCell ref="B32:D32"/>
    <mergeCell ref="B33:D33"/>
    <mergeCell ref="B34:C34"/>
    <mergeCell ref="E8:G8"/>
    <mergeCell ref="E9:G9"/>
    <mergeCell ref="E10:G10"/>
    <mergeCell ref="B5:G5"/>
    <mergeCell ref="E6:G6"/>
    <mergeCell ref="E7:G7"/>
    <mergeCell ref="W14:AB14"/>
    <mergeCell ref="AC14:AC15"/>
    <mergeCell ref="AD14:AD15"/>
    <mergeCell ref="B16:AD16"/>
    <mergeCell ref="B19:D19"/>
    <mergeCell ref="B20:AD20"/>
    <mergeCell ref="B25:D25"/>
    <mergeCell ref="B28:B29"/>
    <mergeCell ref="C28:C29"/>
    <mergeCell ref="D28:R28"/>
    <mergeCell ref="S28:V28"/>
    <mergeCell ref="W28:AB28"/>
    <mergeCell ref="AC28:AC29"/>
    <mergeCell ref="AD28:AD29"/>
    <mergeCell ref="AI28:AO28"/>
    <mergeCell ref="AP28:AU28"/>
    <mergeCell ref="AV28:BB28"/>
    <mergeCell ref="BC28:BC29"/>
    <mergeCell ref="BD28:BD29"/>
    <mergeCell ref="AI29:AJ29"/>
    <mergeCell ref="AP29:AQ29"/>
    <mergeCell ref="AV29:AW29"/>
    <mergeCell ref="AF74:AF75"/>
    <mergeCell ref="AK74:AK75"/>
    <mergeCell ref="AM74:AX74"/>
    <mergeCell ref="AY74:BJ74"/>
    <mergeCell ref="AF49:AF50"/>
    <mergeCell ref="AK49:AK50"/>
    <mergeCell ref="AM49:AX49"/>
    <mergeCell ref="AY49:BJ49"/>
    <mergeCell ref="AF68:AF69"/>
    <mergeCell ref="AK68:AK69"/>
    <mergeCell ref="AM68:AX68"/>
    <mergeCell ref="AY68:BJ68"/>
    <mergeCell ref="AH74:AH75"/>
    <mergeCell ref="AJ74:AJ75"/>
    <mergeCell ref="AL74:AL75"/>
  </mergeCells>
  <dataValidations count="2">
    <dataValidation type="list" allowBlank="1" showInputMessage="1" showErrorMessage="1" sqref="C23" xr:uid="{5F572E13-11D7-2640-A373-C5F88E07B4EC}">
      <formula1>$AF$76:$AF$76</formula1>
    </dataValidation>
    <dataValidation type="list" allowBlank="1" showInputMessage="1" showErrorMessage="1" sqref="C21:C22 C17:C18 C31" xr:uid="{4F760826-FC2A-9647-8A63-64EFAB15CAA8}">
      <formula1>$AF$70:$AF$71</formula1>
    </dataValidation>
  </dataValidations>
  <hyperlinks>
    <hyperlink ref="Q15" location="'INSTRUCCIONES INCERTIDUMBRE'!C21" display="TOTAL" xr:uid="{6C410698-E691-044D-BAC6-29D84A42A4A8}"/>
    <hyperlink ref="R15" location="'INSTRUCCIONES INCERTIDUMBRE'!C22" display="No. DATOS" xr:uid="{4F04A1A1-9D53-184E-A81E-389346D8ACEB}"/>
    <hyperlink ref="S15" location="'INSTRUCCIONES INCERTIDUMBRE'!C23" display="PROMEDIO" xr:uid="{317B5EAE-CB73-BC4C-91C5-E9CA6A5F2ED7}"/>
    <hyperlink ref="T15" location="'INSTRUCCIONES INCERTIDUMBRE'!C24" display="DESVIACION ESTÁNDAR" xr:uid="{F588242F-3AC7-2144-8CB3-9B7F07137F17}"/>
    <hyperlink ref="U15" location="'INSTRUCCIONES INCERTIDUMBRE'!C25" display="FACTOR T" xr:uid="{EF8A27BD-870A-474A-8A59-E339D3380A45}"/>
    <hyperlink ref="V15" location="'INSTRUCCIONES INCERTIDUMBRE'!C26" display="INCERTIDUMBRE" xr:uid="{A85B6290-A13B-134C-A2DD-F87FA824B784}"/>
    <hyperlink ref="D15" location="'INSTRUCCIONES INCERTIDUMBRE'!C19" display="UNIDAD" xr:uid="{228DE5F2-D252-BF47-B6E7-EA741B3AD1BD}"/>
    <hyperlink ref="E15" location="'HC CORPORATIVA-INCERTIDUMBRE'!C20" display="DATO 1" xr:uid="{A6F3E05D-5DE0-EC46-9F4A-741A42C6206E}"/>
    <hyperlink ref="C10" r:id="rId1" xr:uid="{7803B5A0-369F-8B44-946D-216B7A99B3AC}"/>
    <hyperlink ref="Q29" location="'INSTRUCCIONES INCERTIDUMBRE'!C21" display="TOTAL" xr:uid="{C2D53FBD-DC9C-B24F-A055-603BCE05A582}"/>
    <hyperlink ref="R29" location="'INSTRUCCIONES INCERTIDUMBRE'!C22" display="No. DATOS" xr:uid="{F3926E35-03E2-804A-825F-F01F68A78710}"/>
    <hyperlink ref="S29" location="'INSTRUCCIONES INCERTIDUMBRE'!C23" display="PROMEDIO" xr:uid="{A73BB2B7-218C-8B40-A0A0-4230C0280251}"/>
    <hyperlink ref="T29" location="'INSTRUCCIONES INCERTIDUMBRE'!C24" display="DESVIACION ESTÁNDAR" xr:uid="{F607D11B-C0CE-B54C-A2E2-DF3FF151BE39}"/>
    <hyperlink ref="U29" location="'INSTRUCCIONES INCERTIDUMBRE'!C25" display="FACTOR T" xr:uid="{78112F9E-4C7D-5B4A-9AFC-AAC547B11E1C}"/>
    <hyperlink ref="V29" location="'INSTRUCCIONES INCERTIDUMBRE'!C26" display="INCERTIDUMBRE" xr:uid="{63642ED9-9890-4B43-95F9-D4893C9C5431}"/>
  </hyperlinks>
  <pageMargins left="0.7" right="0.7" top="0.75" bottom="0.75" header="0.3" footer="0.3"/>
  <pageSetup orientation="portrait" r:id="rId2"/>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9B21B7-DF4C-B049-926C-47AE5A8DB8FF}">
  <dimension ref="A2:AB43"/>
  <sheetViews>
    <sheetView topLeftCell="B1" zoomScale="115" workbookViewId="0">
      <selection activeCell="D6" sqref="D6"/>
    </sheetView>
  </sheetViews>
  <sheetFormatPr baseColWidth="10" defaultColWidth="11.453125" defaultRowHeight="13.5" x14ac:dyDescent="0.25"/>
  <cols>
    <col min="1" max="1" width="14.26953125" style="231" customWidth="1"/>
    <col min="2" max="2" width="49.1796875" style="231" customWidth="1"/>
    <col min="3" max="3" width="14.7265625" style="231" customWidth="1"/>
    <col min="4" max="4" width="14.81640625" style="253" customWidth="1"/>
    <col min="5" max="9" width="14.81640625" style="231" customWidth="1"/>
    <col min="10" max="10" width="17.26953125" style="231" customWidth="1"/>
    <col min="11" max="24" width="11.453125" style="231"/>
    <col min="25" max="25" width="24.7265625" style="231" customWidth="1"/>
    <col min="26" max="26" width="49.26953125" style="231" customWidth="1"/>
    <col min="27" max="28" width="16.1796875" style="231" customWidth="1"/>
    <col min="29" max="16384" width="11.453125" style="231"/>
  </cols>
  <sheetData>
    <row r="2" spans="1:28" ht="14.5" thickBot="1" x14ac:dyDescent="0.35">
      <c r="Y2" s="668"/>
      <c r="Z2" s="668"/>
      <c r="AA2" s="668"/>
      <c r="AB2" s="668"/>
    </row>
    <row r="3" spans="1:28" ht="58.5" thickBot="1" x14ac:dyDescent="0.3">
      <c r="A3" s="385" t="s">
        <v>833</v>
      </c>
      <c r="B3" s="386" t="s">
        <v>834</v>
      </c>
      <c r="C3" s="387" t="s">
        <v>1024</v>
      </c>
      <c r="D3" s="387" t="s">
        <v>1025</v>
      </c>
      <c r="E3" s="387" t="s">
        <v>869</v>
      </c>
      <c r="F3" s="387" t="s">
        <v>870</v>
      </c>
      <c r="G3" s="387" t="s">
        <v>871</v>
      </c>
      <c r="H3" s="387" t="s">
        <v>872</v>
      </c>
      <c r="I3" s="388" t="s">
        <v>835</v>
      </c>
      <c r="J3" s="389" t="s">
        <v>836</v>
      </c>
      <c r="Y3" s="385" t="s">
        <v>833</v>
      </c>
      <c r="Z3" s="386" t="s">
        <v>834</v>
      </c>
      <c r="AA3" s="387" t="s">
        <v>873</v>
      </c>
      <c r="AB3" s="387" t="s">
        <v>874</v>
      </c>
    </row>
    <row r="4" spans="1:28" x14ac:dyDescent="0.25">
      <c r="A4" s="669">
        <v>1</v>
      </c>
      <c r="B4" s="390" t="s">
        <v>837</v>
      </c>
      <c r="C4" s="391">
        <f>'HC CORPORATIVA-INCERTIDUMBRE'!AA20</f>
        <v>2644.0391971035001</v>
      </c>
      <c r="D4" s="391">
        <f>'HC CORPORATIVA-INCERTIDUMBRE'!AH20</f>
        <v>0.89945776793880006</v>
      </c>
      <c r="E4" s="391">
        <f>'HC CORPORATIVA-INCERTIDUMBRE'!AO20</f>
        <v>3.1411118699145004</v>
      </c>
      <c r="F4" s="391">
        <f>'HC CORPORATIVA-INCERTIDUMBRE'!AU20</f>
        <v>0</v>
      </c>
      <c r="G4" s="391">
        <f>'HC CORPORATIVA-INCERTIDUMBRE'!BA20</f>
        <v>0</v>
      </c>
      <c r="H4" s="391">
        <f>'HC CORPORATIVA-INCERTIDUMBRE'!BE20</f>
        <v>2648.0797667413535</v>
      </c>
      <c r="I4" s="392">
        <f t="shared" ref="I4:I18" si="0">+H4/$H$21</f>
        <v>6.4015817620617487E-3</v>
      </c>
      <c r="J4" s="393">
        <f>'HC CORPORATIVA-INCERTIDUMBRE'!BF20</f>
        <v>5.7393815004844237E-2</v>
      </c>
      <c r="Q4" s="343"/>
      <c r="Y4" s="669">
        <v>1</v>
      </c>
      <c r="Z4" s="390" t="s">
        <v>837</v>
      </c>
      <c r="AA4" s="520">
        <v>3197.1000055901336</v>
      </c>
      <c r="AB4" s="520">
        <v>2648.0797667413535</v>
      </c>
    </row>
    <row r="5" spans="1:28" ht="27" x14ac:dyDescent="0.25">
      <c r="A5" s="670"/>
      <c r="B5" s="399" t="s">
        <v>838</v>
      </c>
      <c r="C5" s="395">
        <f>'HC CORPORATIVA-INCERTIDUMBRE'!AA29</f>
        <v>153.70410714530001</v>
      </c>
      <c r="D5" s="395">
        <f>'HC CORPORATIVA-INCERTIDUMBRE'!AH29</f>
        <v>3.9414627666994821</v>
      </c>
      <c r="E5" s="395">
        <f>'HC CORPORATIVA-INCERTIDUMBRE'!AO29</f>
        <v>3.8595803172028162</v>
      </c>
      <c r="F5" s="395">
        <f>'HC CORPORATIVA-INCERTIDUMBRE'!AU29</f>
        <v>0</v>
      </c>
      <c r="G5" s="395">
        <f>'HC CORPORATIVA-INCERTIDUMBRE'!BA29</f>
        <v>0</v>
      </c>
      <c r="H5" s="395">
        <f>'HC CORPORATIVA-INCERTIDUMBRE'!BE29</f>
        <v>161.50515022920229</v>
      </c>
      <c r="I5" s="392">
        <f t="shared" si="0"/>
        <v>3.9042948674411569E-4</v>
      </c>
      <c r="J5" s="396">
        <f>'HC CORPORATIVA-INCERTIDUMBRE'!BF29</f>
        <v>0.37287464596692732</v>
      </c>
      <c r="Q5" s="343"/>
      <c r="Y5" s="670"/>
      <c r="Z5" s="399" t="s">
        <v>838</v>
      </c>
      <c r="AA5" s="520">
        <v>241.48398834114923</v>
      </c>
      <c r="AB5" s="520">
        <v>161.50515022920229</v>
      </c>
    </row>
    <row r="6" spans="1:28" ht="43.5" customHeight="1" x14ac:dyDescent="0.25">
      <c r="A6" s="670"/>
      <c r="B6" s="399" t="s">
        <v>839</v>
      </c>
      <c r="C6" s="395">
        <f>'HC CORPORATIVA-INCERTIDUMBRE'!AA36</f>
        <v>1.6828299999999998</v>
      </c>
      <c r="D6" s="395">
        <f>'HC CORPORATIVA-INCERTIDUMBRE'!AH36</f>
        <v>575.13886404799996</v>
      </c>
      <c r="E6" s="395">
        <f>'HC CORPORATIVA-INCERTIDUMBRE'!AO36</f>
        <v>0</v>
      </c>
      <c r="F6" s="395">
        <f>'HC CORPORATIVA-INCERTIDUMBRE'!AU36</f>
        <v>86.404008000000005</v>
      </c>
      <c r="G6" s="395">
        <f>'HC CORPORATIVA-INCERTIDUMBRE'!BB36</f>
        <v>0</v>
      </c>
      <c r="H6" s="395">
        <f>'HC CORPORATIVA-INCERTIDUMBRE'!BE36</f>
        <v>663.2257020479999</v>
      </c>
      <c r="I6" s="392">
        <f t="shared" si="0"/>
        <v>1.6033102974030487E-3</v>
      </c>
      <c r="J6" s="396">
        <f>'HC CORPORATIVA-INCERTIDUMBRE'!BF36</f>
        <v>0.28265213520672561</v>
      </c>
      <c r="Q6" s="343"/>
      <c r="Y6" s="670"/>
      <c r="Z6" s="399" t="s">
        <v>839</v>
      </c>
      <c r="AA6" s="520">
        <v>675.23406404799994</v>
      </c>
      <c r="AB6" s="520">
        <v>663.2257020479999</v>
      </c>
    </row>
    <row r="7" spans="1:28" ht="14" x14ac:dyDescent="0.25">
      <c r="A7" s="671"/>
      <c r="B7" s="397" t="s">
        <v>233</v>
      </c>
      <c r="C7" s="398">
        <f>SUM(C4:C6)</f>
        <v>2799.4261342488003</v>
      </c>
      <c r="D7" s="398">
        <f t="shared" ref="D7:H7" si="1">SUM(D4:D6)</f>
        <v>579.97978458263822</v>
      </c>
      <c r="E7" s="398">
        <f t="shared" si="1"/>
        <v>7.0006921871173162</v>
      </c>
      <c r="F7" s="398">
        <f t="shared" si="1"/>
        <v>86.404008000000005</v>
      </c>
      <c r="G7" s="398">
        <f t="shared" si="1"/>
        <v>0</v>
      </c>
      <c r="H7" s="398">
        <f t="shared" si="1"/>
        <v>3472.8106190185554</v>
      </c>
      <c r="I7" s="502">
        <f t="shared" si="0"/>
        <v>8.3953215462089122E-3</v>
      </c>
      <c r="J7" s="398">
        <f>'HC CORPORATIVA-INCERTIDUMBRE'!BF37</f>
        <v>7.1622677709400506E-2</v>
      </c>
      <c r="Q7" s="343"/>
      <c r="Y7" s="671"/>
      <c r="Z7" s="397" t="s">
        <v>233</v>
      </c>
      <c r="AA7" s="521">
        <v>4113.8180579792825</v>
      </c>
      <c r="AB7" s="521">
        <v>3472.8106190185554</v>
      </c>
    </row>
    <row r="8" spans="1:28" x14ac:dyDescent="0.25">
      <c r="A8" s="672">
        <v>2</v>
      </c>
      <c r="B8" s="399" t="s">
        <v>840</v>
      </c>
      <c r="C8" s="395">
        <f>'HC CORPORATIVA-INCERTIDUMBRE'!AA41</f>
        <v>34186.574569839999</v>
      </c>
      <c r="D8" s="395">
        <f>'HC CORPORATIVA-INCERTIDUMBRE'!AH41</f>
        <v>0</v>
      </c>
      <c r="E8" s="395">
        <f>'HC CORPORATIVA-INCERTIDUMBRE'!AO41</f>
        <v>0</v>
      </c>
      <c r="F8" s="395">
        <f>'HC CORPORATIVA-INCERTIDUMBRE'!AU41</f>
        <v>0</v>
      </c>
      <c r="G8" s="395">
        <f>'HC CORPORATIVA-INCERTIDUMBRE'!BA41</f>
        <v>0</v>
      </c>
      <c r="H8" s="395">
        <f>'HC CORPORATIVA-INCERTIDUMBRE'!BE41</f>
        <v>34186.574569839999</v>
      </c>
      <c r="I8" s="392">
        <f t="shared" si="0"/>
        <v>8.2644093664504523E-2</v>
      </c>
      <c r="J8" s="396">
        <f>'HC CORPORATIVA-INCERTIDUMBRE'!BF40</f>
        <v>0.17423505044859613</v>
      </c>
      <c r="Q8" s="343"/>
      <c r="Y8" s="672">
        <v>2</v>
      </c>
      <c r="Z8" s="399" t="s">
        <v>840</v>
      </c>
      <c r="AA8" s="520">
        <v>29641.627818000001</v>
      </c>
      <c r="AB8" s="520">
        <v>34186.574569839999</v>
      </c>
    </row>
    <row r="9" spans="1:28" ht="14" x14ac:dyDescent="0.25">
      <c r="A9" s="672"/>
      <c r="B9" s="397" t="s">
        <v>233</v>
      </c>
      <c r="C9" s="398">
        <f>C8</f>
        <v>34186.574569839999</v>
      </c>
      <c r="D9" s="398">
        <f t="shared" ref="D9:H9" si="2">D8</f>
        <v>0</v>
      </c>
      <c r="E9" s="398">
        <f t="shared" si="2"/>
        <v>0</v>
      </c>
      <c r="F9" s="398">
        <f t="shared" si="2"/>
        <v>0</v>
      </c>
      <c r="G9" s="398">
        <f t="shared" si="2"/>
        <v>0</v>
      </c>
      <c r="H9" s="398">
        <f t="shared" si="2"/>
        <v>34186.574569839999</v>
      </c>
      <c r="I9" s="502">
        <f t="shared" si="0"/>
        <v>8.2644093664504523E-2</v>
      </c>
      <c r="J9" s="398">
        <f>J8</f>
        <v>0.17423505044859613</v>
      </c>
      <c r="Q9" s="343"/>
      <c r="Y9" s="672"/>
      <c r="Z9" s="397" t="s">
        <v>233</v>
      </c>
      <c r="AA9" s="521">
        <v>29641.627818000001</v>
      </c>
      <c r="AB9" s="521">
        <v>34186.574569839999</v>
      </c>
    </row>
    <row r="10" spans="1:28" ht="27" x14ac:dyDescent="0.25">
      <c r="A10" s="665">
        <v>3</v>
      </c>
      <c r="B10" s="399" t="s">
        <v>841</v>
      </c>
      <c r="C10" s="395">
        <f>'HC CORPORATIVA-INCERTIDUMBRE'!AA49</f>
        <v>739.57746723539992</v>
      </c>
      <c r="D10" s="395">
        <f>'HC CORPORATIVA-INCERTIDUMBRE'!AH49</f>
        <v>8.3248916679039997E-2</v>
      </c>
      <c r="E10" s="395">
        <f>'HC CORPORATIVA-INCERTIDUMBRE'!AO49</f>
        <v>0.78789153285519997</v>
      </c>
      <c r="F10" s="395">
        <f>'HC CORPORATIVA-INCERTIDUMBRE'!AU49</f>
        <v>0</v>
      </c>
      <c r="G10" s="395">
        <f>'HC CORPORATIVA-INCERTIDUMBRE'!BB49</f>
        <v>0</v>
      </c>
      <c r="H10" s="395">
        <f>'HC CORPORATIVA-INCERTIDUMBRE'!BE49</f>
        <v>740.44860768493413</v>
      </c>
      <c r="I10" s="392">
        <f t="shared" si="0"/>
        <v>1.7899922661819365E-3</v>
      </c>
      <c r="J10" s="396">
        <f>'HC CORPORATIVA-INCERTIDUMBRE'!BF49</f>
        <v>0.13951731714553614</v>
      </c>
      <c r="Q10" s="343"/>
      <c r="Y10" s="665">
        <v>3</v>
      </c>
      <c r="Z10" s="399" t="s">
        <v>841</v>
      </c>
      <c r="AA10" s="520">
        <v>1053.2290871128585</v>
      </c>
      <c r="AB10" s="520">
        <v>740.44860768493413</v>
      </c>
    </row>
    <row r="11" spans="1:28" x14ac:dyDescent="0.25">
      <c r="A11" s="665"/>
      <c r="B11" s="394" t="s">
        <v>842</v>
      </c>
      <c r="C11" s="395"/>
      <c r="D11" s="395"/>
      <c r="E11" s="395"/>
      <c r="F11" s="395"/>
      <c r="G11" s="395"/>
      <c r="H11" s="395">
        <f>'HC CORPORATIVA-INCERTIDUMBRE'!BE51</f>
        <v>0.71</v>
      </c>
      <c r="I11" s="392">
        <f t="shared" si="0"/>
        <v>1.7163844942091499E-6</v>
      </c>
      <c r="J11" s="396">
        <f>'HC CORPORATIVA-INCERTIDUMBRE'!BF51</f>
        <v>7.0999999999999994E-2</v>
      </c>
      <c r="Q11" s="343"/>
      <c r="Y11" s="665"/>
      <c r="Z11" s="394" t="s">
        <v>842</v>
      </c>
      <c r="AA11" s="520">
        <v>13.91</v>
      </c>
      <c r="AB11" s="520">
        <v>0.71</v>
      </c>
    </row>
    <row r="12" spans="1:28" ht="14" x14ac:dyDescent="0.25">
      <c r="A12" s="665"/>
      <c r="B12" s="400" t="s">
        <v>233</v>
      </c>
      <c r="C12" s="401">
        <f>SUM(C10:C11)</f>
        <v>739.57746723539992</v>
      </c>
      <c r="D12" s="401">
        <f t="shared" ref="D12:H12" si="3">SUM(D10:D11)</f>
        <v>8.3248916679039997E-2</v>
      </c>
      <c r="E12" s="401">
        <f t="shared" si="3"/>
        <v>0.78789153285519997</v>
      </c>
      <c r="F12" s="401">
        <f t="shared" si="3"/>
        <v>0</v>
      </c>
      <c r="G12" s="401">
        <f t="shared" si="3"/>
        <v>0</v>
      </c>
      <c r="H12" s="401">
        <f t="shared" si="3"/>
        <v>741.15860768493417</v>
      </c>
      <c r="I12" s="502">
        <f t="shared" si="0"/>
        <v>1.7917086506761457E-3</v>
      </c>
      <c r="J12" s="401">
        <f>'HC CORPORATIVA-INCERTIDUMBRE'!BF53</f>
        <v>0.1393836817875331</v>
      </c>
      <c r="Q12" s="343"/>
      <c r="Y12" s="665"/>
      <c r="Z12" s="400" t="s">
        <v>233</v>
      </c>
      <c r="AA12" s="521">
        <v>1067.1390871128585</v>
      </c>
      <c r="AB12" s="521">
        <v>741.15860768493417</v>
      </c>
    </row>
    <row r="13" spans="1:28" ht="40.5" x14ac:dyDescent="0.25">
      <c r="A13" s="665">
        <v>4</v>
      </c>
      <c r="B13" s="402" t="s">
        <v>843</v>
      </c>
      <c r="C13" s="391">
        <f>'HC CORPORATIVA-INCERTIDUMBRE'!AA69</f>
        <v>9420.5379100000009</v>
      </c>
      <c r="D13" s="391"/>
      <c r="E13" s="391"/>
      <c r="F13" s="391"/>
      <c r="G13" s="391"/>
      <c r="H13" s="391">
        <f>'HC CORPORATIVA-INCERTIDUMBRE'!BE69</f>
        <v>9420.5379100000009</v>
      </c>
      <c r="I13" s="392">
        <f t="shared" si="0"/>
        <v>2.2773612951878131E-2</v>
      </c>
      <c r="J13" s="393">
        <f>'HC CORPORATIVA-INCERTIDUMBRE'!BF69</f>
        <v>0.10584562516199295</v>
      </c>
      <c r="Q13" s="343"/>
      <c r="Y13" s="665">
        <v>4</v>
      </c>
      <c r="Z13" s="402" t="s">
        <v>843</v>
      </c>
      <c r="AA13" s="520">
        <v>9659.4844200000007</v>
      </c>
      <c r="AB13" s="520">
        <v>9420.5379100000009</v>
      </c>
    </row>
    <row r="14" spans="1:28" ht="27" x14ac:dyDescent="0.25">
      <c r="A14" s="665"/>
      <c r="B14" s="399" t="s">
        <v>844</v>
      </c>
      <c r="C14" s="395">
        <f>'HC CORPORATIVA-INCERTIDUMBRE'!AA74</f>
        <v>28.333390000000001</v>
      </c>
      <c r="D14" s="395">
        <f>'HC CORPORATIVA-INCERTIDUMBRE'!AH74</f>
        <v>799.58129971999983</v>
      </c>
      <c r="E14" s="395">
        <f>'HC CORPORATIVA-INCERTIDUMBRE'!AO74</f>
        <v>0</v>
      </c>
      <c r="F14" s="395">
        <f>'HC CORPORATIVA-INCERTIDUMBRE'!AU74</f>
        <v>0</v>
      </c>
      <c r="G14" s="395">
        <f>'HC CORPORATIVA-INCERTIDUMBRE'!BB74</f>
        <v>0</v>
      </c>
      <c r="H14" s="395">
        <f>'HC CORPORATIVA-INCERTIDUMBRE'!BE74</f>
        <v>827.91468971999984</v>
      </c>
      <c r="I14" s="392">
        <f t="shared" si="0"/>
        <v>2.0014365295258976E-3</v>
      </c>
      <c r="J14" s="396">
        <f>'HC CORPORATIVA-INCERTIDUMBRE'!BF71</f>
        <v>5.3852283610823282E-2</v>
      </c>
      <c r="Q14" s="343"/>
      <c r="Y14" s="665"/>
      <c r="Z14" s="399" t="s">
        <v>844</v>
      </c>
      <c r="AA14" s="520">
        <v>972.20837330266659</v>
      </c>
      <c r="AB14" s="520">
        <v>827.91468971999984</v>
      </c>
    </row>
    <row r="15" spans="1:28" ht="32.25" customHeight="1" x14ac:dyDescent="0.25">
      <c r="A15" s="665"/>
      <c r="B15" s="399" t="s">
        <v>845</v>
      </c>
      <c r="C15" s="395">
        <f>'HC CORPORATIVA-INCERTIDUMBRE'!AA78</f>
        <v>91.911794100000009</v>
      </c>
      <c r="D15" s="395">
        <f>'HC CORPORATIVA-INCERTIDUMBRE'!AH78</f>
        <v>0</v>
      </c>
      <c r="E15" s="395">
        <f>'HC CORPORATIVA-INCERTIDUMBRE'!AO78</f>
        <v>0</v>
      </c>
      <c r="F15" s="395">
        <f>'HC CORPORATIVA-INCERTIDUMBRE'!AU78</f>
        <v>0</v>
      </c>
      <c r="G15" s="395">
        <f>'HC CORPORATIVA-INCERTIDUMBRE'!BB78</f>
        <v>0</v>
      </c>
      <c r="H15" s="395">
        <f>'HC CORPORATIVA-INCERTIDUMBRE'!BE78</f>
        <v>91.911794100000009</v>
      </c>
      <c r="I15" s="392">
        <f t="shared" si="0"/>
        <v>2.2219151863124513E-4</v>
      </c>
      <c r="J15" s="396">
        <f>'HC CORPORATIVA-INCERTIDUMBRE'!BF76</f>
        <v>0.50239868394315457</v>
      </c>
      <c r="Q15" s="343"/>
      <c r="Y15" s="665"/>
      <c r="Z15" s="399" t="s">
        <v>845</v>
      </c>
      <c r="AA15" s="520">
        <v>199.40820690000001</v>
      </c>
      <c r="AB15" s="520">
        <v>91.911794100000009</v>
      </c>
    </row>
    <row r="16" spans="1:28" ht="14" x14ac:dyDescent="0.25">
      <c r="A16" s="665"/>
      <c r="B16" s="397" t="s">
        <v>233</v>
      </c>
      <c r="C16" s="398">
        <f t="shared" ref="C16:H16" si="4">SUM(C13:C15)</f>
        <v>9540.7830941000011</v>
      </c>
      <c r="D16" s="398">
        <f t="shared" si="4"/>
        <v>799.58129971999983</v>
      </c>
      <c r="E16" s="398">
        <f t="shared" si="4"/>
        <v>0</v>
      </c>
      <c r="F16" s="398">
        <f t="shared" si="4"/>
        <v>0</v>
      </c>
      <c r="G16" s="398">
        <f t="shared" si="4"/>
        <v>0</v>
      </c>
      <c r="H16" s="398">
        <f t="shared" si="4"/>
        <v>10340.36439382</v>
      </c>
      <c r="I16" s="502">
        <f t="shared" si="0"/>
        <v>2.4997241000035274E-2</v>
      </c>
      <c r="J16" s="398">
        <f>'HC CORPORATIVA-INCERTIDUMBRE'!BF79</f>
        <v>9.6617791703828504E-2</v>
      </c>
      <c r="Q16" s="343"/>
      <c r="Y16" s="665"/>
      <c r="Z16" s="397" t="s">
        <v>233</v>
      </c>
      <c r="AA16" s="521">
        <v>10831.101000202667</v>
      </c>
      <c r="AB16" s="521">
        <v>10340.36439382</v>
      </c>
    </row>
    <row r="17" spans="1:28" ht="34" customHeight="1" x14ac:dyDescent="0.25">
      <c r="A17" s="665">
        <v>5</v>
      </c>
      <c r="B17" s="399" t="s">
        <v>846</v>
      </c>
      <c r="C17" s="395"/>
      <c r="D17" s="395"/>
      <c r="E17" s="395"/>
      <c r="F17" s="395"/>
      <c r="G17" s="395"/>
      <c r="H17" s="395">
        <f>'HC CORPORATIVA-INCERTIDUMBRE'!BE84</f>
        <v>364919.31910453713</v>
      </c>
      <c r="I17" s="392">
        <f t="shared" si="0"/>
        <v>0.88217163513857511</v>
      </c>
      <c r="J17" s="396">
        <f>'HC CORPORATIVA-INCERTIDUMBRE'!BF84</f>
        <v>7.0999999999999994E-2</v>
      </c>
      <c r="Q17" s="343"/>
      <c r="Y17" s="665">
        <v>5</v>
      </c>
      <c r="Z17" s="399" t="s">
        <v>846</v>
      </c>
      <c r="AA17" s="520">
        <v>346810.03342648258</v>
      </c>
      <c r="AB17" s="520">
        <v>364919.31910453713</v>
      </c>
    </row>
    <row r="18" spans="1:28" ht="14" x14ac:dyDescent="0.25">
      <c r="A18" s="665"/>
      <c r="B18" s="397" t="s">
        <v>233</v>
      </c>
      <c r="C18" s="398">
        <f>C17</f>
        <v>0</v>
      </c>
      <c r="D18" s="398">
        <f t="shared" ref="D18:H18" si="5">D17</f>
        <v>0</v>
      </c>
      <c r="E18" s="398">
        <f t="shared" si="5"/>
        <v>0</v>
      </c>
      <c r="F18" s="398">
        <f t="shared" si="5"/>
        <v>0</v>
      </c>
      <c r="G18" s="398">
        <f t="shared" si="5"/>
        <v>0</v>
      </c>
      <c r="H18" s="398">
        <f t="shared" si="5"/>
        <v>364919.31910453713</v>
      </c>
      <c r="I18" s="502">
        <f t="shared" si="0"/>
        <v>0.88217163513857511</v>
      </c>
      <c r="J18" s="398">
        <f>J17</f>
        <v>7.0999999999999994E-2</v>
      </c>
      <c r="Q18" s="343"/>
      <c r="Y18" s="665"/>
      <c r="Z18" s="397" t="s">
        <v>233</v>
      </c>
      <c r="AA18" s="521">
        <v>346810.03342648258</v>
      </c>
      <c r="AB18" s="521">
        <v>364919.31910453713</v>
      </c>
    </row>
    <row r="19" spans="1:28" ht="12" customHeight="1" x14ac:dyDescent="0.25">
      <c r="A19" s="665">
        <v>6</v>
      </c>
      <c r="B19" s="394"/>
      <c r="C19" s="395"/>
      <c r="D19" s="395"/>
      <c r="E19" s="395"/>
      <c r="F19" s="395"/>
      <c r="G19" s="395"/>
      <c r="H19" s="395"/>
      <c r="I19" s="392"/>
      <c r="J19" s="396"/>
      <c r="Q19" s="343"/>
      <c r="Y19" s="665">
        <v>6</v>
      </c>
      <c r="Z19" s="394"/>
    </row>
    <row r="20" spans="1:28" ht="14.5" thickBot="1" x14ac:dyDescent="0.3">
      <c r="A20" s="665"/>
      <c r="B20" s="397" t="s">
        <v>233</v>
      </c>
      <c r="C20" s="398"/>
      <c r="D20" s="398"/>
      <c r="E20" s="398"/>
      <c r="F20" s="398"/>
      <c r="G20" s="398"/>
      <c r="H20" s="398"/>
      <c r="I20" s="403"/>
      <c r="J20" s="404"/>
      <c r="Q20" s="343"/>
      <c r="Y20" s="665"/>
      <c r="Z20" s="397" t="s">
        <v>233</v>
      </c>
    </row>
    <row r="21" spans="1:28" ht="14.5" thickBot="1" x14ac:dyDescent="0.3">
      <c r="A21" s="666" t="s">
        <v>875</v>
      </c>
      <c r="B21" s="667"/>
      <c r="C21" s="405">
        <f t="shared" ref="C21:J21" si="6">C7+C9+C12+C16+C18+C20</f>
        <v>47266.361265424202</v>
      </c>
      <c r="D21" s="405">
        <f t="shared" si="6"/>
        <v>1379.6443332193171</v>
      </c>
      <c r="E21" s="405">
        <f t="shared" si="6"/>
        <v>7.7885837199725163</v>
      </c>
      <c r="F21" s="405">
        <f t="shared" si="6"/>
        <v>86.404008000000005</v>
      </c>
      <c r="G21" s="405">
        <f t="shared" si="6"/>
        <v>0</v>
      </c>
      <c r="H21" s="405">
        <f t="shared" si="6"/>
        <v>413660.22729490063</v>
      </c>
      <c r="I21" s="405">
        <f t="shared" si="6"/>
        <v>1</v>
      </c>
      <c r="J21" s="405">
        <f t="shared" si="6"/>
        <v>0.5528592016493582</v>
      </c>
      <c r="Q21" s="343"/>
      <c r="Y21" s="666" t="s">
        <v>875</v>
      </c>
      <c r="Z21" s="667"/>
    </row>
    <row r="22" spans="1:28" x14ac:dyDescent="0.25">
      <c r="H22" s="242" t="str">
        <f>IF((H7+H9+H12)=H21,"Correcto","Error")</f>
        <v>Error</v>
      </c>
      <c r="Q22" s="343"/>
    </row>
    <row r="23" spans="1:28" ht="14" thickBot="1" x14ac:dyDescent="0.3">
      <c r="H23" s="242"/>
      <c r="Q23" s="343"/>
    </row>
    <row r="24" spans="1:28" ht="44.5" thickBot="1" x14ac:dyDescent="0.3">
      <c r="A24" s="674" t="s">
        <v>876</v>
      </c>
      <c r="B24" s="675" t="s">
        <v>877</v>
      </c>
      <c r="C24" s="387" t="s">
        <v>878</v>
      </c>
      <c r="D24" s="387" t="s">
        <v>835</v>
      </c>
      <c r="E24" s="389" t="s">
        <v>836</v>
      </c>
      <c r="H24" s="242"/>
      <c r="Q24" s="343"/>
    </row>
    <row r="25" spans="1:28" ht="27" x14ac:dyDescent="0.25">
      <c r="A25" s="676" t="s">
        <v>879</v>
      </c>
      <c r="B25" s="407" t="s">
        <v>227</v>
      </c>
      <c r="C25" s="391">
        <f>'HC CORPORATIVA-BIOMASA'!AC19</f>
        <v>198.74555062649998</v>
      </c>
      <c r="D25" s="392">
        <f>+C25/$C$28</f>
        <v>1.6471969972369473E-2</v>
      </c>
      <c r="E25" s="408">
        <f>'HC CORPORATIVA-BIOMASA'!AD19</f>
        <v>5.754085280439937E-2</v>
      </c>
      <c r="H25" s="242"/>
      <c r="Q25" s="343"/>
    </row>
    <row r="26" spans="1:28" ht="27" x14ac:dyDescent="0.25">
      <c r="A26" s="677"/>
      <c r="B26" s="409" t="s">
        <v>234</v>
      </c>
      <c r="C26" s="395">
        <f>'HC CORPORATIVA-BIOMASA'!AC24</f>
        <v>11811.211237168838</v>
      </c>
      <c r="D26" s="392">
        <f t="shared" ref="D26:D27" si="7">+C26/$C$28</f>
        <v>0.97890954651649387</v>
      </c>
      <c r="E26" s="410">
        <f>'HC CORPORATIVA-BIOMASA'!AD24</f>
        <v>0.1203582898306199</v>
      </c>
      <c r="H26" s="242"/>
      <c r="Q26" s="343"/>
    </row>
    <row r="27" spans="1:28" ht="27.5" thickBot="1" x14ac:dyDescent="0.3">
      <c r="A27" s="678"/>
      <c r="B27" s="411" t="s">
        <v>263</v>
      </c>
      <c r="C27" s="412">
        <f>'HC CORPORATIVA-BIOMASA'!AC32</f>
        <v>55.725153094619998</v>
      </c>
      <c r="D27" s="392">
        <f t="shared" si="7"/>
        <v>4.6184835111366899E-3</v>
      </c>
      <c r="E27" s="413">
        <f>'HC CORPORATIVA-BIOMASA'!AD32</f>
        <v>0.13969899515391962</v>
      </c>
      <c r="H27" s="242"/>
      <c r="Q27" s="343"/>
    </row>
    <row r="28" spans="1:28" ht="16.5" thickBot="1" x14ac:dyDescent="0.3">
      <c r="A28" s="673" t="s">
        <v>880</v>
      </c>
      <c r="B28" s="667"/>
      <c r="C28" s="405">
        <f>SUM(C25:C27)</f>
        <v>12065.681940889957</v>
      </c>
      <c r="D28" s="414">
        <f>SUM(D25:D27)</f>
        <v>1</v>
      </c>
      <c r="E28" s="405">
        <f>SUM(E25:E27)</f>
        <v>0.31759813778893886</v>
      </c>
      <c r="H28" s="242"/>
      <c r="Q28" s="343"/>
    </row>
    <row r="29" spans="1:28" x14ac:dyDescent="0.25">
      <c r="H29" s="242"/>
      <c r="Q29" s="343"/>
    </row>
    <row r="30" spans="1:28" x14ac:dyDescent="0.25">
      <c r="H30" s="242"/>
      <c r="Q30" s="343"/>
    </row>
    <row r="31" spans="1:28" x14ac:dyDescent="0.25">
      <c r="H31" s="242"/>
      <c r="Q31" s="343"/>
    </row>
    <row r="32" spans="1:28" x14ac:dyDescent="0.25">
      <c r="H32" s="242"/>
      <c r="Q32" s="343"/>
    </row>
    <row r="33" spans="1:17" x14ac:dyDescent="0.25">
      <c r="H33" s="242"/>
      <c r="Q33" s="343"/>
    </row>
    <row r="34" spans="1:17" ht="14" x14ac:dyDescent="0.3">
      <c r="A34" s="311" t="s">
        <v>881</v>
      </c>
    </row>
    <row r="35" spans="1:17" ht="14" thickBot="1" x14ac:dyDescent="0.3"/>
    <row r="36" spans="1:17" ht="28.5" thickBot="1" x14ac:dyDescent="0.3">
      <c r="B36" s="406" t="s">
        <v>833</v>
      </c>
      <c r="C36" s="389" t="s">
        <v>882</v>
      </c>
    </row>
    <row r="37" spans="1:17" ht="14" x14ac:dyDescent="0.25">
      <c r="B37" s="415">
        <v>1</v>
      </c>
      <c r="C37" s="416">
        <f>+H7</f>
        <v>3472.8106190185554</v>
      </c>
    </row>
    <row r="38" spans="1:17" ht="14" x14ac:dyDescent="0.25">
      <c r="B38" s="417">
        <v>2</v>
      </c>
      <c r="C38" s="418">
        <f>+H9</f>
        <v>34186.574569839999</v>
      </c>
    </row>
    <row r="39" spans="1:17" ht="14" x14ac:dyDescent="0.25">
      <c r="B39" s="417">
        <v>3</v>
      </c>
      <c r="C39" s="418">
        <f>H12</f>
        <v>741.15860768493417</v>
      </c>
    </row>
    <row r="40" spans="1:17" ht="14" x14ac:dyDescent="0.25">
      <c r="B40" s="415">
        <v>4</v>
      </c>
      <c r="C40" s="416">
        <f>H16</f>
        <v>10340.36439382</v>
      </c>
    </row>
    <row r="41" spans="1:17" ht="14" x14ac:dyDescent="0.25">
      <c r="B41" s="417">
        <v>5</v>
      </c>
      <c r="C41" s="418">
        <f>H18</f>
        <v>364919.31910453713</v>
      </c>
    </row>
    <row r="42" spans="1:17" ht="14.5" thickBot="1" x14ac:dyDescent="0.3">
      <c r="B42" s="419">
        <v>6</v>
      </c>
      <c r="C42" s="420">
        <f>H20</f>
        <v>0</v>
      </c>
    </row>
    <row r="43" spans="1:17" ht="14.5" thickBot="1" x14ac:dyDescent="0.3">
      <c r="B43" s="406" t="s">
        <v>875</v>
      </c>
      <c r="C43" s="421">
        <f>SUM(C37:C42)</f>
        <v>413660.22729490063</v>
      </c>
    </row>
  </sheetData>
  <sheetProtection algorithmName="SHA-512" hashValue="P6/pjxKzL7HkyHIL7APo5dEVyFJPG/+lSfXbrijgbdXZy60B9dxAf4jr2MsDzrjgTRiNrhQQHX/hG2VLwdljuQ==" saltValue="MUvj8xf7IywhwT83mocV6g==" spinCount="100000" sheet="1" objects="1" scenarios="1" selectLockedCells="1" selectUnlockedCells="1"/>
  <mergeCells count="18">
    <mergeCell ref="A4:A7"/>
    <mergeCell ref="A8:A9"/>
    <mergeCell ref="A21:B21"/>
    <mergeCell ref="A28:B28"/>
    <mergeCell ref="A10:A12"/>
    <mergeCell ref="A13:A16"/>
    <mergeCell ref="A19:A20"/>
    <mergeCell ref="A17:A18"/>
    <mergeCell ref="A24:B24"/>
    <mergeCell ref="A25:A27"/>
    <mergeCell ref="Y19:Y20"/>
    <mergeCell ref="Y21:Z21"/>
    <mergeCell ref="Y2:AB2"/>
    <mergeCell ref="Y4:Y7"/>
    <mergeCell ref="Y8:Y9"/>
    <mergeCell ref="Y10:Y12"/>
    <mergeCell ref="Y13:Y16"/>
    <mergeCell ref="Y17:Y18"/>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83012B-A102-0940-BCEF-B72B7DECE31E}">
  <dimension ref="A1:AA980"/>
  <sheetViews>
    <sheetView workbookViewId="0">
      <selection activeCell="B2" sqref="B2"/>
    </sheetView>
  </sheetViews>
  <sheetFormatPr baseColWidth="10" defaultColWidth="12.7265625" defaultRowHeight="14.5" x14ac:dyDescent="0.35"/>
  <cols>
    <col min="1" max="1" width="2.7265625" customWidth="1"/>
    <col min="2" max="2" width="9.26953125" customWidth="1"/>
    <col min="3" max="3" width="37.1796875" customWidth="1"/>
    <col min="4" max="4" width="7.7265625" customWidth="1"/>
    <col min="5" max="5" width="16" customWidth="1"/>
    <col min="6" max="6" width="14.7265625" customWidth="1"/>
    <col min="7" max="7" width="36.26953125" customWidth="1"/>
    <col min="8" max="8" width="17.81640625" customWidth="1"/>
    <col min="9" max="10" width="17.1796875" customWidth="1"/>
    <col min="11" max="11" width="15.1796875" customWidth="1"/>
    <col min="12" max="12" width="16.81640625" customWidth="1"/>
    <col min="13" max="13" width="20.81640625" customWidth="1"/>
    <col min="14" max="14" width="17.26953125" customWidth="1"/>
    <col min="15" max="15" width="16" customWidth="1"/>
    <col min="16" max="16" width="13.7265625" customWidth="1"/>
    <col min="17" max="17" width="23" customWidth="1"/>
    <col min="18" max="18" width="19.81640625" customWidth="1"/>
    <col min="19" max="19" width="12.26953125" customWidth="1"/>
    <col min="20" max="20" width="18.1796875" customWidth="1"/>
    <col min="21" max="21" width="42.7265625" customWidth="1"/>
    <col min="22" max="22" width="13.81640625" customWidth="1"/>
    <col min="23" max="23" width="19.1796875" customWidth="1"/>
    <col min="24" max="24" width="53.1796875" customWidth="1"/>
    <col min="25" max="27" width="9.26953125" customWidth="1"/>
  </cols>
  <sheetData>
    <row r="1" spans="1:27" x14ac:dyDescent="0.35">
      <c r="A1" s="433" t="s">
        <v>883</v>
      </c>
      <c r="B1" s="685" t="s">
        <v>1026</v>
      </c>
      <c r="C1" s="433"/>
      <c r="D1" s="433"/>
      <c r="E1" s="433"/>
      <c r="F1" s="433"/>
      <c r="G1" s="433"/>
      <c r="H1" s="433"/>
      <c r="I1" s="433"/>
      <c r="J1" s="433"/>
      <c r="K1" s="433"/>
      <c r="L1" s="433"/>
      <c r="M1" s="433"/>
      <c r="N1" s="433"/>
      <c r="O1" s="433"/>
      <c r="P1" s="433"/>
      <c r="Q1" s="433"/>
      <c r="R1" s="433"/>
      <c r="S1" s="433"/>
      <c r="T1" s="434"/>
      <c r="U1" s="434"/>
      <c r="V1" s="434"/>
      <c r="W1" s="434"/>
      <c r="X1" s="434"/>
      <c r="Y1" s="434"/>
      <c r="Z1" s="434"/>
      <c r="AA1" s="434"/>
    </row>
    <row r="2" spans="1:27" x14ac:dyDescent="0.35">
      <c r="A2" s="433"/>
      <c r="C2" s="433"/>
      <c r="D2" s="435"/>
      <c r="E2" s="435"/>
      <c r="F2" s="433"/>
      <c r="G2" s="433"/>
      <c r="H2" s="433"/>
      <c r="I2" s="433"/>
      <c r="J2" s="433"/>
      <c r="K2" s="433"/>
      <c r="L2" s="433"/>
      <c r="M2" s="433"/>
      <c r="N2" s="433"/>
      <c r="O2" s="433"/>
      <c r="P2" s="433"/>
      <c r="Q2" s="433"/>
      <c r="R2" s="433"/>
      <c r="S2" s="433"/>
      <c r="T2" s="434"/>
      <c r="U2" s="434"/>
      <c r="V2" s="434"/>
      <c r="W2" s="434"/>
      <c r="X2" s="434"/>
      <c r="Y2" s="434"/>
      <c r="Z2" s="434"/>
      <c r="AA2" s="434"/>
    </row>
    <row r="3" spans="1:27" x14ac:dyDescent="0.35">
      <c r="A3" s="433"/>
      <c r="F3" s="433"/>
      <c r="G3" s="679" t="s">
        <v>884</v>
      </c>
      <c r="H3" s="680"/>
      <c r="I3" s="680"/>
      <c r="J3" s="680"/>
      <c r="K3" s="680"/>
      <c r="L3" s="680"/>
      <c r="M3" s="680"/>
      <c r="N3" s="680"/>
      <c r="O3" s="680"/>
      <c r="P3" s="681"/>
      <c r="Q3" s="433"/>
      <c r="R3" s="433"/>
      <c r="S3" s="433"/>
      <c r="T3" s="434"/>
      <c r="U3" s="434"/>
      <c r="V3" s="434"/>
      <c r="W3" s="434"/>
      <c r="X3" s="434"/>
      <c r="Y3" s="434"/>
      <c r="Z3" s="434"/>
      <c r="AA3" s="434"/>
    </row>
    <row r="4" spans="1:27" x14ac:dyDescent="0.35">
      <c r="A4" s="433"/>
      <c r="B4" s="436" t="s">
        <v>885</v>
      </c>
      <c r="C4" s="436" t="s">
        <v>886</v>
      </c>
      <c r="D4" s="436" t="s">
        <v>887</v>
      </c>
      <c r="E4" s="437" t="s">
        <v>888</v>
      </c>
      <c r="F4" s="437" t="s">
        <v>889</v>
      </c>
      <c r="G4" s="436" t="s">
        <v>890</v>
      </c>
      <c r="H4" s="436" t="s">
        <v>891</v>
      </c>
      <c r="I4" s="436" t="s">
        <v>892</v>
      </c>
      <c r="J4" s="436" t="s">
        <v>893</v>
      </c>
      <c r="K4" s="436" t="s">
        <v>894</v>
      </c>
      <c r="L4" s="436" t="s">
        <v>895</v>
      </c>
      <c r="M4" s="436" t="s">
        <v>896</v>
      </c>
      <c r="N4" s="436" t="s">
        <v>897</v>
      </c>
      <c r="O4" s="436" t="s">
        <v>898</v>
      </c>
      <c r="P4" s="436" t="s">
        <v>899</v>
      </c>
      <c r="Q4" s="436" t="s">
        <v>900</v>
      </c>
      <c r="R4" s="436" t="s">
        <v>901</v>
      </c>
      <c r="S4" s="436" t="s">
        <v>902</v>
      </c>
      <c r="T4" s="436" t="s">
        <v>903</v>
      </c>
      <c r="U4" s="436" t="s">
        <v>60</v>
      </c>
      <c r="V4" s="434"/>
      <c r="W4" s="434"/>
      <c r="X4" s="434"/>
      <c r="Y4" s="434"/>
      <c r="Z4" s="434"/>
      <c r="AA4" s="434"/>
    </row>
    <row r="5" spans="1:27" x14ac:dyDescent="0.35">
      <c r="A5" s="433"/>
      <c r="B5" s="438" t="s">
        <v>904</v>
      </c>
      <c r="C5" s="438" t="s">
        <v>905</v>
      </c>
      <c r="D5" s="438" t="s">
        <v>906</v>
      </c>
      <c r="E5" s="439">
        <v>2020</v>
      </c>
      <c r="F5" s="440">
        <v>7715778</v>
      </c>
      <c r="G5" s="441">
        <v>0.7</v>
      </c>
      <c r="H5" s="441"/>
      <c r="I5" s="441"/>
      <c r="J5" s="441">
        <v>0.3</v>
      </c>
      <c r="K5" s="441"/>
      <c r="L5" s="441"/>
      <c r="M5" s="441"/>
      <c r="N5" s="441"/>
      <c r="O5" s="441"/>
      <c r="P5" s="441"/>
      <c r="Q5" s="441"/>
      <c r="R5" s="439">
        <v>4171061.00116653</v>
      </c>
      <c r="S5" s="442" t="s">
        <v>907</v>
      </c>
      <c r="T5" s="442">
        <v>15</v>
      </c>
      <c r="U5" s="442" t="s">
        <v>908</v>
      </c>
      <c r="V5" s="434"/>
      <c r="W5" s="434"/>
      <c r="X5" s="434"/>
      <c r="Y5" s="434"/>
      <c r="Z5" s="434"/>
      <c r="AA5" s="434"/>
    </row>
    <row r="6" spans="1:27" x14ac:dyDescent="0.35">
      <c r="A6" s="433"/>
      <c r="B6" s="433"/>
      <c r="C6" s="434"/>
      <c r="D6" s="435"/>
      <c r="E6" s="435"/>
      <c r="F6" s="433" t="s">
        <v>909</v>
      </c>
      <c r="G6" s="433"/>
      <c r="H6" s="433"/>
      <c r="I6" s="433"/>
      <c r="J6" s="433"/>
      <c r="K6" s="433"/>
      <c r="L6" s="433"/>
      <c r="M6" s="433"/>
      <c r="N6" s="433"/>
      <c r="O6" s="433"/>
      <c r="P6" s="433"/>
      <c r="Q6" s="433"/>
      <c r="R6" s="433"/>
      <c r="S6" s="433"/>
      <c r="T6" s="433"/>
      <c r="U6" s="434"/>
      <c r="V6" s="434"/>
      <c r="W6" s="434"/>
      <c r="X6" s="434"/>
      <c r="Y6" s="434"/>
      <c r="Z6" s="434"/>
      <c r="AA6" s="434"/>
    </row>
    <row r="7" spans="1:27" x14ac:dyDescent="0.35">
      <c r="A7" s="433"/>
      <c r="B7" s="433"/>
      <c r="C7" s="434"/>
      <c r="D7" s="435"/>
      <c r="E7" s="435"/>
      <c r="F7" s="433"/>
      <c r="G7" s="433"/>
      <c r="H7" s="433"/>
      <c r="I7" s="433"/>
      <c r="J7" s="433"/>
      <c r="K7" s="433"/>
      <c r="L7" s="433"/>
      <c r="M7" s="433"/>
      <c r="N7" s="433"/>
      <c r="O7" s="433"/>
      <c r="P7" s="433"/>
      <c r="Q7" s="433"/>
      <c r="R7" s="433"/>
      <c r="S7" s="433"/>
      <c r="T7" s="433"/>
      <c r="U7" s="434"/>
      <c r="V7" s="434"/>
      <c r="W7" s="434"/>
      <c r="X7" s="434"/>
      <c r="Y7" s="434"/>
      <c r="Z7" s="434"/>
      <c r="AA7" s="434"/>
    </row>
    <row r="8" spans="1:27" x14ac:dyDescent="0.35">
      <c r="A8" s="433"/>
      <c r="B8" s="433"/>
      <c r="C8" s="434"/>
      <c r="D8" s="433"/>
      <c r="E8" s="433"/>
      <c r="F8" s="433"/>
      <c r="G8" s="433"/>
      <c r="H8" s="433"/>
      <c r="I8" s="433"/>
      <c r="J8" s="433"/>
      <c r="K8" s="433"/>
      <c r="L8" s="433"/>
      <c r="M8" s="433"/>
      <c r="N8" s="433"/>
      <c r="O8" s="433"/>
      <c r="P8" s="433"/>
      <c r="Q8" s="433"/>
      <c r="R8" s="433"/>
      <c r="S8" s="433"/>
      <c r="T8" s="433"/>
      <c r="U8" s="434"/>
      <c r="V8" s="434"/>
      <c r="W8" s="434"/>
      <c r="X8" s="434"/>
      <c r="Y8" s="434"/>
      <c r="Z8" s="434"/>
      <c r="AA8" s="434"/>
    </row>
    <row r="9" spans="1:27" x14ac:dyDescent="0.35">
      <c r="A9" s="433"/>
      <c r="B9" s="433" t="s">
        <v>910</v>
      </c>
      <c r="C9" s="434"/>
      <c r="D9" s="433"/>
      <c r="E9" s="433"/>
      <c r="F9" s="435"/>
      <c r="G9" s="433"/>
      <c r="H9" s="433"/>
      <c r="I9" s="433"/>
      <c r="J9" s="433"/>
      <c r="K9" s="433"/>
      <c r="L9" s="433"/>
      <c r="M9" s="433"/>
      <c r="N9" s="433"/>
      <c r="O9" s="433"/>
      <c r="P9" s="433"/>
      <c r="Q9" s="433"/>
      <c r="R9" s="433"/>
      <c r="S9" s="433"/>
      <c r="T9" s="433"/>
      <c r="U9" s="434"/>
      <c r="V9" s="434"/>
      <c r="W9" s="434"/>
      <c r="X9" s="434"/>
      <c r="Y9" s="434"/>
      <c r="Z9" s="434"/>
      <c r="AA9" s="434"/>
    </row>
    <row r="10" spans="1:27" x14ac:dyDescent="0.35">
      <c r="A10" s="433"/>
      <c r="B10" s="436" t="s">
        <v>885</v>
      </c>
      <c r="C10" s="436" t="s">
        <v>886</v>
      </c>
      <c r="D10" s="436" t="s">
        <v>887</v>
      </c>
      <c r="E10" s="436" t="s">
        <v>888</v>
      </c>
      <c r="F10" s="436" t="s">
        <v>911</v>
      </c>
      <c r="G10" s="436" t="s">
        <v>912</v>
      </c>
      <c r="H10" s="436" t="s">
        <v>913</v>
      </c>
      <c r="I10" s="436" t="s">
        <v>914</v>
      </c>
      <c r="J10" s="436" t="s">
        <v>915</v>
      </c>
      <c r="K10" s="436" t="s">
        <v>916</v>
      </c>
      <c r="L10" s="436" t="s">
        <v>60</v>
      </c>
      <c r="M10" s="434"/>
      <c r="N10" s="434"/>
      <c r="O10" s="434"/>
      <c r="P10" s="433"/>
      <c r="Q10" s="433"/>
      <c r="R10" s="433"/>
      <c r="S10" s="433"/>
      <c r="T10" s="433"/>
      <c r="U10" s="434"/>
      <c r="V10" s="434"/>
      <c r="W10" s="434"/>
      <c r="X10" s="434"/>
      <c r="Y10" s="434"/>
      <c r="Z10" s="434"/>
      <c r="AA10" s="434"/>
    </row>
    <row r="11" spans="1:27" x14ac:dyDescent="0.35">
      <c r="A11" s="433"/>
      <c r="B11" s="438" t="s">
        <v>904</v>
      </c>
      <c r="C11" s="438" t="s">
        <v>905</v>
      </c>
      <c r="D11" s="443" t="s">
        <v>906</v>
      </c>
      <c r="E11" s="443">
        <f>E5</f>
        <v>2020</v>
      </c>
      <c r="F11" s="444"/>
      <c r="G11" s="444">
        <f>(SUM(I19:I28)-R5)/1000</f>
        <v>9346.9820548334683</v>
      </c>
      <c r="H11" s="444">
        <f>(H30*D22*(44/28))/1000</f>
        <v>389.44838328000003</v>
      </c>
      <c r="I11" s="444">
        <f>(F11*$L$17)+(H11*$L$19)</f>
        <v>103203.82156920001</v>
      </c>
      <c r="J11" s="445"/>
      <c r="K11" s="445"/>
      <c r="L11" s="445"/>
      <c r="M11" s="434"/>
      <c r="N11" s="434"/>
      <c r="O11" s="434"/>
      <c r="P11" s="433"/>
      <c r="Q11" s="433"/>
      <c r="R11" s="433"/>
      <c r="S11" s="433"/>
      <c r="T11" s="433"/>
      <c r="U11" s="434"/>
      <c r="V11" s="434"/>
      <c r="W11" s="434"/>
      <c r="X11" s="434"/>
      <c r="Y11" s="434"/>
      <c r="Z11" s="434"/>
      <c r="AA11" s="434"/>
    </row>
    <row r="12" spans="1:27" x14ac:dyDescent="0.35">
      <c r="A12" s="433"/>
      <c r="B12" s="433"/>
      <c r="C12" s="435"/>
      <c r="D12" s="433"/>
      <c r="E12" s="433"/>
      <c r="F12" s="433"/>
      <c r="G12" s="433"/>
      <c r="H12" s="433"/>
      <c r="I12" s="433"/>
      <c r="J12" s="433"/>
      <c r="K12" s="433"/>
      <c r="L12" s="433"/>
      <c r="M12" s="433"/>
      <c r="N12" s="433"/>
      <c r="O12" s="433"/>
      <c r="P12" s="433"/>
      <c r="Q12" s="433"/>
      <c r="R12" s="433"/>
      <c r="S12" s="433"/>
      <c r="T12" s="434"/>
      <c r="U12" s="434"/>
      <c r="V12" s="434"/>
      <c r="W12" s="434"/>
      <c r="X12" s="434"/>
      <c r="Y12" s="434"/>
      <c r="Z12" s="434"/>
      <c r="AA12" s="434"/>
    </row>
    <row r="13" spans="1:27" x14ac:dyDescent="0.35">
      <c r="A13" s="433"/>
      <c r="B13" s="433"/>
      <c r="C13" s="435"/>
      <c r="D13" s="433"/>
      <c r="E13" s="433"/>
      <c r="F13" s="433"/>
      <c r="G13" s="433"/>
      <c r="H13" s="433"/>
      <c r="I13" s="433"/>
      <c r="J13" s="433"/>
      <c r="K13" s="433"/>
      <c r="L13" s="433"/>
      <c r="M13" s="433"/>
      <c r="N13" s="433"/>
      <c r="O13" s="433"/>
      <c r="P13" s="433"/>
      <c r="Q13" s="433"/>
      <c r="R13" s="433"/>
      <c r="S13" s="433"/>
      <c r="T13" s="434"/>
      <c r="U13" s="434"/>
      <c r="V13" s="434"/>
      <c r="W13" s="434"/>
      <c r="X13" s="434"/>
      <c r="Y13" s="434"/>
      <c r="Z13" s="434"/>
      <c r="AA13" s="434"/>
    </row>
    <row r="14" spans="1:27" x14ac:dyDescent="0.35">
      <c r="A14" s="433"/>
      <c r="B14" s="433"/>
      <c r="C14" s="433"/>
      <c r="D14" s="433"/>
      <c r="E14" s="433"/>
      <c r="F14" s="433"/>
      <c r="G14" s="433"/>
      <c r="H14" s="433"/>
      <c r="I14" s="433"/>
      <c r="J14" s="433"/>
      <c r="K14" s="433"/>
      <c r="L14" s="434"/>
      <c r="M14" s="434"/>
      <c r="N14" s="433"/>
      <c r="O14" s="433"/>
      <c r="P14" s="433"/>
      <c r="Q14" s="433"/>
      <c r="R14" s="433"/>
      <c r="S14" s="433"/>
      <c r="T14" s="434"/>
      <c r="U14" s="434"/>
      <c r="V14" s="434"/>
      <c r="W14" s="434"/>
      <c r="X14" s="434"/>
      <c r="Y14" s="434"/>
      <c r="Z14" s="434"/>
      <c r="AA14" s="434"/>
    </row>
    <row r="15" spans="1:27" x14ac:dyDescent="0.35">
      <c r="A15" s="433"/>
      <c r="B15" s="433" t="s">
        <v>917</v>
      </c>
      <c r="C15" s="433"/>
      <c r="D15" s="433"/>
      <c r="E15" s="433"/>
      <c r="F15" s="434"/>
      <c r="G15" s="433" t="s">
        <v>918</v>
      </c>
      <c r="H15" s="433"/>
      <c r="I15" s="433"/>
      <c r="K15" s="433" t="s">
        <v>919</v>
      </c>
      <c r="M15" s="433"/>
      <c r="N15" s="433"/>
      <c r="O15" s="433"/>
      <c r="P15" s="433"/>
      <c r="Q15" s="433"/>
      <c r="R15" s="433"/>
      <c r="S15" s="433"/>
      <c r="T15" s="434"/>
      <c r="U15" s="434"/>
      <c r="V15" s="434"/>
      <c r="W15" s="434"/>
      <c r="X15" s="434"/>
      <c r="Y15" s="434"/>
      <c r="Z15" s="434"/>
      <c r="AA15" s="434"/>
    </row>
    <row r="16" spans="1:27" x14ac:dyDescent="0.35">
      <c r="A16" s="433"/>
      <c r="B16" s="446" t="s">
        <v>920</v>
      </c>
      <c r="C16" s="446" t="s">
        <v>921</v>
      </c>
      <c r="D16" s="446" t="s">
        <v>922</v>
      </c>
      <c r="E16" s="446" t="s">
        <v>118</v>
      </c>
      <c r="F16" s="434"/>
      <c r="G16" s="447" t="s">
        <v>923</v>
      </c>
      <c r="H16" s="448">
        <f>(F5*D25*D24*365/1000)-Q5</f>
        <v>140812948.5</v>
      </c>
      <c r="I16" s="434"/>
      <c r="K16" s="449" t="s">
        <v>924</v>
      </c>
      <c r="L16" s="449" t="s">
        <v>800</v>
      </c>
      <c r="M16" s="434"/>
      <c r="N16" s="433"/>
      <c r="O16" s="433"/>
      <c r="P16" s="433"/>
      <c r="Q16" s="433"/>
      <c r="R16" s="433"/>
      <c r="S16" s="433"/>
      <c r="T16" s="434"/>
      <c r="U16" s="434"/>
      <c r="V16" s="434"/>
      <c r="W16" s="434"/>
      <c r="X16" s="434"/>
      <c r="Y16" s="434"/>
      <c r="Z16" s="434"/>
      <c r="AA16" s="434"/>
    </row>
    <row r="17" spans="1:27" x14ac:dyDescent="0.35">
      <c r="A17" s="433"/>
      <c r="B17" s="450">
        <v>51</v>
      </c>
      <c r="C17" s="451" t="str">
        <f>VLOOKUP(B17,[2]Constantes!$A$6:$H$447,5,FALSE)</f>
        <v>Cte_4D1_N/Lodo</v>
      </c>
      <c r="D17" s="451">
        <f>VLOOKUP(B17,[2]Constantes!$A$6:$H$447,7,FALSE)</f>
        <v>0</v>
      </c>
      <c r="E17" s="451" t="str">
        <f>VLOOKUP(B17,[2]Constantes!$A$6:$H$447,8,FALSE)</f>
        <v>kg N /año</v>
      </c>
      <c r="F17" s="434"/>
      <c r="G17" s="434"/>
      <c r="H17" s="434"/>
      <c r="I17" s="434"/>
      <c r="K17" s="452" t="s">
        <v>247</v>
      </c>
      <c r="L17" s="452">
        <v>1</v>
      </c>
      <c r="M17" s="434"/>
      <c r="N17" s="433"/>
      <c r="O17" s="433"/>
      <c r="P17" s="433"/>
      <c r="Q17" s="433"/>
      <c r="R17" s="433"/>
      <c r="S17" s="433"/>
      <c r="T17" s="434"/>
      <c r="U17" s="434"/>
      <c r="V17" s="434"/>
      <c r="W17" s="434"/>
      <c r="X17" s="434"/>
      <c r="Y17" s="434"/>
      <c r="Z17" s="434"/>
      <c r="AA17" s="434"/>
    </row>
    <row r="18" spans="1:27" ht="58" x14ac:dyDescent="0.35">
      <c r="A18" s="433"/>
      <c r="B18" s="450">
        <v>52</v>
      </c>
      <c r="C18" s="451" t="str">
        <f>VLOOKUP(B18,[2]Constantes!$A$6:$H$447,5,FALSE)</f>
        <v>Cte_4D1_Proteinas co-eliminadas</v>
      </c>
      <c r="D18" s="451">
        <f>VLOOKUP(B18,[2]Constantes!$A$6:$H$447,7,FALSE)</f>
        <v>1.25</v>
      </c>
      <c r="E18" s="451" t="str">
        <f>VLOOKUP(B18,[2]Constantes!$A$6:$H$447,8,FALSE)</f>
        <v>adimensional</v>
      </c>
      <c r="F18" s="434"/>
      <c r="G18" s="447" t="s">
        <v>925</v>
      </c>
      <c r="H18" s="469" t="s">
        <v>926</v>
      </c>
      <c r="I18" s="469" t="s">
        <v>927</v>
      </c>
      <c r="K18" s="451" t="s">
        <v>582</v>
      </c>
      <c r="L18" s="451">
        <v>28</v>
      </c>
      <c r="M18" s="434"/>
      <c r="N18" s="433"/>
      <c r="O18" s="433"/>
      <c r="P18" s="433"/>
      <c r="Q18" s="433"/>
      <c r="R18" s="433"/>
      <c r="S18" s="433"/>
      <c r="T18" s="434"/>
      <c r="U18" s="434"/>
      <c r="V18" s="434"/>
      <c r="W18" s="434"/>
      <c r="X18" s="434"/>
      <c r="Y18" s="434"/>
      <c r="Z18" s="434"/>
      <c r="AA18" s="434"/>
    </row>
    <row r="19" spans="1:27" x14ac:dyDescent="0.35">
      <c r="A19" s="433"/>
      <c r="B19" s="450">
        <v>53</v>
      </c>
      <c r="C19" s="451" t="str">
        <f>VLOOKUP(B19,[2]Constantes!$A$6:$H$447,5,FALSE)</f>
        <v>Cte_4D1_Proteinas no consumidas</v>
      </c>
      <c r="D19" s="451">
        <f>VLOOKUP(B19,[2]Constantes!$A$6:$H$447,7,FALSE)</f>
        <v>1.1000000000000001</v>
      </c>
      <c r="E19" s="451" t="str">
        <f>VLOOKUP(B19,[2]Constantes!$A$6:$H$447,8,FALSE)</f>
        <v>adimensional</v>
      </c>
      <c r="F19" s="434"/>
      <c r="G19" s="447" t="s">
        <v>890</v>
      </c>
      <c r="H19" s="451">
        <f>D23*D35</f>
        <v>0.06</v>
      </c>
      <c r="I19" s="451">
        <f>$G$5*$H$16*H19</f>
        <v>5914143.8369999994</v>
      </c>
      <c r="K19" s="451" t="s">
        <v>583</v>
      </c>
      <c r="L19" s="451">
        <v>265</v>
      </c>
      <c r="M19" s="434"/>
      <c r="N19" s="433"/>
      <c r="O19" s="433"/>
      <c r="P19" s="433"/>
      <c r="Q19" s="433"/>
      <c r="R19" s="433"/>
      <c r="S19" s="433"/>
      <c r="T19" s="434"/>
      <c r="U19" s="434"/>
      <c r="V19" s="434"/>
      <c r="W19" s="434"/>
      <c r="X19" s="434"/>
      <c r="Y19" s="434"/>
      <c r="Z19" s="434"/>
      <c r="AA19" s="434"/>
    </row>
    <row r="20" spans="1:27" x14ac:dyDescent="0.35">
      <c r="A20" s="433"/>
      <c r="B20" s="450">
        <v>54</v>
      </c>
      <c r="C20" s="451" t="str">
        <f>VLOOKUP(B20,[2]Constantes!$A$6:$H$447,5,FALSE)</f>
        <v>Cte_4D1_N/Proteinas</v>
      </c>
      <c r="D20" s="451">
        <f>VLOOKUP(B20,[2]Constantes!$A$6:$H$447,7,FALSE)</f>
        <v>0.16</v>
      </c>
      <c r="E20" s="451" t="str">
        <f>VLOOKUP(B20,[2]Constantes!$A$6:$H$447,8,FALSE)</f>
        <v>kg N / kg proteina</v>
      </c>
      <c r="F20" s="434"/>
      <c r="G20" s="447" t="s">
        <v>891</v>
      </c>
      <c r="H20" s="451">
        <f>D23*D34</f>
        <v>0.3</v>
      </c>
      <c r="I20" s="451">
        <f>$H$5*$H$16*H20</f>
        <v>0</v>
      </c>
      <c r="M20" s="434"/>
      <c r="N20" s="433"/>
      <c r="O20" s="433"/>
      <c r="P20" s="433"/>
      <c r="Q20" s="433"/>
      <c r="R20" s="433"/>
      <c r="S20" s="433"/>
      <c r="T20" s="434"/>
      <c r="U20" s="434"/>
      <c r="V20" s="434"/>
      <c r="W20" s="434"/>
      <c r="X20" s="434"/>
      <c r="Y20" s="434"/>
      <c r="Z20" s="434"/>
      <c r="AA20" s="434"/>
    </row>
    <row r="21" spans="1:27" ht="15.75" customHeight="1" x14ac:dyDescent="0.35">
      <c r="A21" s="433"/>
      <c r="B21" s="450">
        <v>55</v>
      </c>
      <c r="C21" s="451" t="str">
        <f>VLOOKUP(B21,[2]Constantes!$A$6:$H$447,5,FALSE)</f>
        <v>Cte_4D1_Proteina percapita</v>
      </c>
      <c r="D21" s="451">
        <f>VLOOKUP(B21,[2]Constantes!$A$6:$H$447,7,FALSE)</f>
        <v>29.2</v>
      </c>
      <c r="E21" s="451" t="str">
        <f>VLOOKUP(B21,[2]Constantes!$A$6:$H$447,8,FALSE)</f>
        <v>kg / persona / año</v>
      </c>
      <c r="F21" s="434"/>
      <c r="G21" s="447" t="s">
        <v>892</v>
      </c>
      <c r="H21" s="451">
        <f>D23*D33</f>
        <v>0</v>
      </c>
      <c r="I21" s="451">
        <f>$I$5*$H$16*H21</f>
        <v>0</v>
      </c>
      <c r="M21" s="434"/>
      <c r="N21" s="433"/>
      <c r="O21" s="433"/>
      <c r="P21" s="433"/>
      <c r="Q21" s="433"/>
      <c r="R21" s="433"/>
      <c r="S21" s="433"/>
      <c r="T21" s="434"/>
      <c r="U21" s="434"/>
      <c r="V21" s="434"/>
      <c r="W21" s="434"/>
      <c r="X21" s="434"/>
      <c r="Y21" s="434"/>
      <c r="Z21" s="434"/>
      <c r="AA21" s="434"/>
    </row>
    <row r="22" spans="1:27" ht="15.75" customHeight="1" x14ac:dyDescent="0.35">
      <c r="A22" s="433"/>
      <c r="B22" s="450">
        <v>56</v>
      </c>
      <c r="C22" s="451" t="str">
        <f>VLOOKUP(B22,[2]Constantes!$A$6:$H$447,5,FALSE)</f>
        <v>FE_N2O_Eliminacion aguas residuales_IPCC</v>
      </c>
      <c r="D22" s="451">
        <f>VLOOKUP(B22,[2]Constantes!$A$6:$H$447,7,FALSE)</f>
        <v>5.0000000000000001E-3</v>
      </c>
      <c r="E22" s="451" t="str">
        <f>VLOOKUP(B22,[2]Constantes!$A$6:$H$447,8,FALSE)</f>
        <v>kg N2O-N / kg N</v>
      </c>
      <c r="F22" s="434"/>
      <c r="G22" s="447" t="s">
        <v>893</v>
      </c>
      <c r="H22" s="451">
        <f>D23*D32</f>
        <v>0.18</v>
      </c>
      <c r="I22" s="451">
        <f>$J$5*$H$16*H22</f>
        <v>7603899.2189999996</v>
      </c>
      <c r="M22" s="434"/>
      <c r="N22" s="433"/>
      <c r="O22" s="433"/>
      <c r="P22" s="433"/>
      <c r="Q22" s="433"/>
      <c r="R22" s="433"/>
      <c r="S22" s="433"/>
      <c r="T22" s="434"/>
      <c r="U22" s="434"/>
      <c r="V22" s="434"/>
      <c r="W22" s="434"/>
      <c r="X22" s="434"/>
      <c r="Y22" s="434"/>
      <c r="Z22" s="434"/>
      <c r="AA22" s="434"/>
    </row>
    <row r="23" spans="1:27" ht="15.75" customHeight="1" x14ac:dyDescent="0.35">
      <c r="A23" s="433"/>
      <c r="B23" s="450">
        <v>57</v>
      </c>
      <c r="C23" s="451" t="str">
        <f>VLOOKUP(B23,[2]Constantes!$A$6:$H$447,5,FALSE)</f>
        <v>Cte_4D1_CH4/DBO</v>
      </c>
      <c r="D23" s="451">
        <f>VLOOKUP(B23,[2]Constantes!$A$6:$H$447,7,FALSE)</f>
        <v>0.6</v>
      </c>
      <c r="E23" s="451" t="str">
        <f>VLOOKUP(B23,[2]Constantes!$A$6:$H$447,8,FALSE)</f>
        <v>kg CH4 / kg COD</v>
      </c>
      <c r="F23" s="434"/>
      <c r="G23" s="447" t="s">
        <v>894</v>
      </c>
      <c r="H23" s="451">
        <f>D23*D31</f>
        <v>0.48</v>
      </c>
      <c r="I23" s="451">
        <f>$K$5*$H$16*H23</f>
        <v>0</v>
      </c>
      <c r="M23" s="434"/>
      <c r="N23" s="433"/>
      <c r="O23" s="433"/>
      <c r="P23" s="433"/>
      <c r="Q23" s="433"/>
      <c r="R23" s="433"/>
      <c r="S23" s="433"/>
      <c r="T23" s="434"/>
      <c r="U23" s="434"/>
      <c r="V23" s="434"/>
      <c r="W23" s="434"/>
      <c r="X23" s="434"/>
      <c r="Y23" s="434"/>
      <c r="Z23" s="434"/>
      <c r="AA23" s="434"/>
    </row>
    <row r="24" spans="1:27" ht="15.75" customHeight="1" x14ac:dyDescent="0.35">
      <c r="A24" s="433"/>
      <c r="B24" s="450">
        <v>58</v>
      </c>
      <c r="C24" s="451" t="str">
        <f>VLOOKUP(B24,[2]Constantes!$A$6:$H$447,5,FALSE)</f>
        <v>Cte_4D1_DBO_Industrial</v>
      </c>
      <c r="D24" s="451">
        <f>VLOOKUP(B24,[2]Constantes!$A$6:$H$447,7,FALSE)</f>
        <v>1.25</v>
      </c>
      <c r="E24" s="451" t="str">
        <f>VLOOKUP(B24,[2]Constantes!$A$6:$H$447,8,FALSE)</f>
        <v>adimensional</v>
      </c>
      <c r="F24" s="434"/>
      <c r="G24" s="447" t="s">
        <v>895</v>
      </c>
      <c r="H24" s="451">
        <f>D23*D30</f>
        <v>0.48</v>
      </c>
      <c r="I24" s="451">
        <f>$L$5*$H$16*H24</f>
        <v>0</v>
      </c>
      <c r="M24" s="434"/>
      <c r="N24" s="433"/>
      <c r="O24" s="433"/>
      <c r="P24" s="433"/>
      <c r="Q24" s="433"/>
      <c r="R24" s="433"/>
      <c r="S24" s="433"/>
      <c r="T24" s="434"/>
      <c r="U24" s="434"/>
      <c r="V24" s="434"/>
      <c r="W24" s="434"/>
      <c r="X24" s="434"/>
      <c r="Y24" s="434"/>
      <c r="Z24" s="434"/>
      <c r="AA24" s="434"/>
    </row>
    <row r="25" spans="1:27" ht="15.75" customHeight="1" x14ac:dyDescent="0.35">
      <c r="A25" s="433"/>
      <c r="B25" s="450">
        <v>59</v>
      </c>
      <c r="C25" s="451" t="str">
        <f>VLOOKUP(B25,[2]Constantes!$A$6:$H$447,5,FALSE)</f>
        <v>Cte_4D1_DBO percapita</v>
      </c>
      <c r="D25" s="451">
        <f>VLOOKUP(B25,[2]Constantes!$A$6:$H$447,7,FALSE)</f>
        <v>40</v>
      </c>
      <c r="E25" s="451" t="str">
        <f>VLOOKUP(B25,[2]Constantes!$A$6:$H$447,8,FALSE)</f>
        <v>g DBO / persona</v>
      </c>
      <c r="F25" s="434"/>
      <c r="G25" s="447" t="s">
        <v>896</v>
      </c>
      <c r="H25" s="451">
        <f>D23*D29</f>
        <v>0.12</v>
      </c>
      <c r="I25" s="451">
        <f>$M$5*$H$16*H25</f>
        <v>0</v>
      </c>
      <c r="M25" s="434"/>
      <c r="N25" s="433"/>
      <c r="O25" s="433"/>
      <c r="P25" s="433"/>
      <c r="Q25" s="433"/>
      <c r="R25" s="433"/>
      <c r="S25" s="433"/>
      <c r="T25" s="434"/>
      <c r="U25" s="434"/>
      <c r="V25" s="434"/>
      <c r="W25" s="434"/>
      <c r="X25" s="434"/>
      <c r="Y25" s="434"/>
      <c r="Z25" s="434"/>
      <c r="AA25" s="434"/>
    </row>
    <row r="26" spans="1:27" ht="15.75" customHeight="1" x14ac:dyDescent="0.35">
      <c r="A26" s="433"/>
      <c r="B26" s="450">
        <v>60</v>
      </c>
      <c r="C26" s="451" t="str">
        <f>VLOOKUP(B26,[2]Constantes!$A$6:$H$447,5,FALSE)</f>
        <v>Cte_4D_CH4_Letrina</v>
      </c>
      <c r="D26" s="451">
        <f>VLOOKUP(B26,[2]Constantes!$A$6:$H$447,7,FALSE)</f>
        <v>0.5</v>
      </c>
      <c r="E26" s="451" t="str">
        <f>VLOOKUP(B26,[2]Constantes!$A$6:$H$447,8,FALSE)</f>
        <v>adimensional</v>
      </c>
      <c r="F26" s="434"/>
      <c r="G26" s="447" t="s">
        <v>897</v>
      </c>
      <c r="H26" s="451">
        <f>D23*D28</f>
        <v>0.48</v>
      </c>
      <c r="I26" s="451">
        <f>$N$5*$H$16*H26</f>
        <v>0</v>
      </c>
      <c r="M26" s="434"/>
      <c r="N26" s="433"/>
      <c r="O26" s="433"/>
      <c r="P26" s="433"/>
      <c r="Q26" s="433"/>
      <c r="R26" s="433"/>
      <c r="S26" s="433"/>
      <c r="T26" s="434"/>
      <c r="U26" s="434"/>
      <c r="V26" s="434"/>
      <c r="W26" s="434"/>
      <c r="X26" s="434"/>
      <c r="Y26" s="434"/>
      <c r="Z26" s="434"/>
      <c r="AA26" s="434"/>
    </row>
    <row r="27" spans="1:27" ht="15.75" customHeight="1" x14ac:dyDescent="0.35">
      <c r="A27" s="433"/>
      <c r="B27" s="450">
        <v>61</v>
      </c>
      <c r="C27" s="451" t="str">
        <f>VLOOKUP(B27,[2]Constantes!$A$6:$H$447,5,FALSE)</f>
        <v>Cte_4D_CH4_Sistema septico</v>
      </c>
      <c r="D27" s="451">
        <f>VLOOKUP(B27,[2]Constantes!$A$6:$H$447,7,FALSE)</f>
        <v>0.5</v>
      </c>
      <c r="E27" s="451" t="str">
        <f>VLOOKUP(B27,[2]Constantes!$A$6:$H$447,8,FALSE)</f>
        <v>adimensional</v>
      </c>
      <c r="F27" s="434"/>
      <c r="G27" s="447" t="s">
        <v>898</v>
      </c>
      <c r="H27" s="451">
        <f>D23*D27</f>
        <v>0.3</v>
      </c>
      <c r="I27" s="451">
        <f>$O$5*$H$16*H27</f>
        <v>0</v>
      </c>
      <c r="M27" s="434"/>
      <c r="N27" s="433"/>
      <c r="O27" s="433"/>
      <c r="P27" s="433"/>
      <c r="Q27" s="433"/>
      <c r="R27" s="433"/>
      <c r="S27" s="433"/>
      <c r="T27" s="434"/>
      <c r="U27" s="434"/>
      <c r="V27" s="434"/>
      <c r="W27" s="434"/>
      <c r="X27" s="434"/>
      <c r="Y27" s="434"/>
      <c r="Z27" s="434"/>
      <c r="AA27" s="434"/>
    </row>
    <row r="28" spans="1:27" ht="15.75" customHeight="1" x14ac:dyDescent="0.35">
      <c r="A28" s="433"/>
      <c r="B28" s="450">
        <v>62</v>
      </c>
      <c r="C28" s="451" t="str">
        <f>VLOOKUP(B28,[2]Constantes!$A$6:$H$447,5,FALSE)</f>
        <v>Cte_4D_CH4_Laguna anaerobia profunda</v>
      </c>
      <c r="D28" s="451">
        <f>VLOOKUP(B28,[2]Constantes!$A$6:$H$447,7,FALSE)</f>
        <v>0.8</v>
      </c>
      <c r="E28" s="451" t="str">
        <f>VLOOKUP(B28,[2]Constantes!$A$6:$H$447,8,FALSE)</f>
        <v>adimensional</v>
      </c>
      <c r="F28" s="434"/>
      <c r="G28" s="447" t="s">
        <v>899</v>
      </c>
      <c r="H28" s="451">
        <f>D23*D26</f>
        <v>0.3</v>
      </c>
      <c r="I28" s="451">
        <f>$P$5*$H$16*H28</f>
        <v>0</v>
      </c>
      <c r="M28" s="434"/>
      <c r="N28" s="433"/>
      <c r="O28" s="433"/>
      <c r="P28" s="433"/>
      <c r="Q28" s="433"/>
      <c r="R28" s="433"/>
      <c r="S28" s="433"/>
      <c r="T28" s="434"/>
      <c r="U28" s="434"/>
      <c r="V28" s="434"/>
      <c r="W28" s="434"/>
      <c r="X28" s="434"/>
      <c r="Y28" s="434"/>
      <c r="Z28" s="434"/>
      <c r="AA28" s="434"/>
    </row>
    <row r="29" spans="1:27" ht="15.75" customHeight="1" x14ac:dyDescent="0.35">
      <c r="A29" s="433"/>
      <c r="B29" s="450">
        <v>63</v>
      </c>
      <c r="C29" s="451" t="str">
        <f>VLOOKUP(B29,[2]Constantes!$A$6:$H$447,5,FALSE)</f>
        <v>Cte_4D_CH4_Laguna anaerobia</v>
      </c>
      <c r="D29" s="451">
        <f>VLOOKUP(B29,[2]Constantes!$A$6:$H$447,7,FALSE)</f>
        <v>0.2</v>
      </c>
      <c r="E29" s="451" t="str">
        <f>VLOOKUP(B29,[2]Constantes!$A$6:$H$447,8,FALSE)</f>
        <v>adimensional</v>
      </c>
      <c r="F29" s="434"/>
      <c r="G29" s="433"/>
      <c r="H29" s="433"/>
      <c r="I29" s="434"/>
      <c r="M29" s="434"/>
      <c r="N29" s="433"/>
      <c r="O29" s="433"/>
      <c r="P29" s="433"/>
      <c r="Q29" s="433"/>
      <c r="R29" s="433"/>
      <c r="S29" s="433"/>
      <c r="T29" s="434"/>
      <c r="U29" s="434"/>
      <c r="V29" s="434"/>
      <c r="W29" s="434"/>
      <c r="X29" s="434"/>
      <c r="Y29" s="434"/>
      <c r="Z29" s="434"/>
      <c r="AA29" s="434"/>
    </row>
    <row r="30" spans="1:27" ht="15.75" customHeight="1" x14ac:dyDescent="0.35">
      <c r="A30" s="433"/>
      <c r="B30" s="450">
        <v>64</v>
      </c>
      <c r="C30" s="451" t="str">
        <f>VLOOKUP(B30,[2]Constantes!$A$6:$H$447,5,FALSE)</f>
        <v>Cte_4D_CH4_Reactor anaerobico</v>
      </c>
      <c r="D30" s="451">
        <f>VLOOKUP(B30,[2]Constantes!$A$6:$H$447,7,FALSE)</f>
        <v>0.8</v>
      </c>
      <c r="E30" s="451" t="str">
        <f>VLOOKUP(B30,[2]Constantes!$A$6:$H$447,8,FALSE)</f>
        <v>adimensional</v>
      </c>
      <c r="F30" s="434"/>
      <c r="G30" s="447" t="s">
        <v>928</v>
      </c>
      <c r="H30" s="451">
        <f>(F5*D21*D20*D19*D18)-D17</f>
        <v>49566157.872000001</v>
      </c>
      <c r="I30" s="434"/>
      <c r="M30" s="434"/>
      <c r="N30" s="433"/>
      <c r="O30" s="433"/>
      <c r="P30" s="433"/>
      <c r="Q30" s="433"/>
      <c r="R30" s="433"/>
      <c r="S30" s="433"/>
      <c r="T30" s="434"/>
      <c r="U30" s="434"/>
      <c r="V30" s="434"/>
      <c r="W30" s="434"/>
      <c r="X30" s="434"/>
      <c r="Y30" s="434"/>
      <c r="Z30" s="434"/>
      <c r="AA30" s="434"/>
    </row>
    <row r="31" spans="1:27" ht="15.75" customHeight="1" x14ac:dyDescent="0.35">
      <c r="A31" s="433"/>
      <c r="B31" s="450">
        <v>65</v>
      </c>
      <c r="C31" s="451" t="str">
        <f>VLOOKUP(B31,[2]Constantes!$A$6:$H$447,5,FALSE)</f>
        <v>Cte_4D_CH4_Digestor anaerobio lodos</v>
      </c>
      <c r="D31" s="451">
        <f>VLOOKUP(B31,[2]Constantes!$A$6:$H$447,7,FALSE)</f>
        <v>0.8</v>
      </c>
      <c r="E31" s="451" t="str">
        <f>VLOOKUP(B31,[2]Constantes!$A$6:$H$447,8,FALSE)</f>
        <v>adimensional</v>
      </c>
      <c r="F31" s="434"/>
      <c r="G31" s="433"/>
      <c r="H31" s="433"/>
      <c r="I31" s="433"/>
      <c r="K31" s="433"/>
      <c r="L31" s="434"/>
      <c r="M31" s="434"/>
      <c r="N31" s="433"/>
      <c r="O31" s="433"/>
      <c r="P31" s="433"/>
      <c r="Q31" s="433"/>
      <c r="R31" s="433"/>
      <c r="S31" s="433"/>
      <c r="T31" s="434"/>
      <c r="U31" s="434"/>
      <c r="V31" s="434"/>
      <c r="W31" s="434"/>
      <c r="X31" s="434"/>
      <c r="Y31" s="434"/>
      <c r="Z31" s="434"/>
      <c r="AA31" s="434"/>
    </row>
    <row r="32" spans="1:27" ht="15.75" customHeight="1" x14ac:dyDescent="0.35">
      <c r="A32" s="433"/>
      <c r="B32" s="450">
        <v>66</v>
      </c>
      <c r="C32" s="451" t="str">
        <f>VLOOKUP(B32,[2]Constantes!$A$6:$H$447,5,FALSE)</f>
        <v>Cte_4D_CH4_Planta tratamiento centralizado</v>
      </c>
      <c r="D32" s="451">
        <f>VLOOKUP(B32,[2]Constantes!$A$6:$H$447,7,FALSE)</f>
        <v>0.3</v>
      </c>
      <c r="E32" s="451" t="str">
        <f>VLOOKUP(B32,[2]Constantes!$A$6:$H$447,8,FALSE)</f>
        <v>adimensional</v>
      </c>
      <c r="F32" s="434"/>
      <c r="I32" s="433"/>
      <c r="K32" s="433"/>
      <c r="L32" s="434"/>
      <c r="M32" s="434"/>
      <c r="N32" s="433"/>
      <c r="O32" s="433"/>
      <c r="P32" s="433"/>
      <c r="Q32" s="433"/>
      <c r="R32" s="433"/>
      <c r="S32" s="433"/>
      <c r="T32" s="434"/>
      <c r="U32" s="434"/>
      <c r="V32" s="434"/>
      <c r="W32" s="434"/>
      <c r="X32" s="434"/>
      <c r="Y32" s="434"/>
      <c r="Z32" s="434"/>
      <c r="AA32" s="434"/>
    </row>
    <row r="33" spans="1:27" ht="15.75" customHeight="1" x14ac:dyDescent="0.35">
      <c r="A33" s="433"/>
      <c r="B33" s="450">
        <v>67</v>
      </c>
      <c r="C33" s="451" t="str">
        <f>VLOOKUP(B33,[2]Constantes!$A$6:$H$447,5,FALSE)</f>
        <v>Cte_4D_CH4_Cloaca en movimiento</v>
      </c>
      <c r="D33" s="451">
        <f>VLOOKUP(B33,[2]Constantes!$A$6:$H$447,7,FALSE)</f>
        <v>0</v>
      </c>
      <c r="E33" s="451" t="str">
        <f>VLOOKUP(B33,[2]Constantes!$A$6:$H$447,8,FALSE)</f>
        <v>adimensional</v>
      </c>
      <c r="F33" s="434"/>
      <c r="I33" s="433"/>
      <c r="K33" s="433"/>
      <c r="L33" s="434"/>
      <c r="M33" s="434"/>
      <c r="N33" s="433"/>
      <c r="O33" s="433"/>
      <c r="P33" s="433"/>
      <c r="Q33" s="433"/>
      <c r="R33" s="433"/>
      <c r="S33" s="433"/>
      <c r="T33" s="434"/>
      <c r="U33" s="434"/>
      <c r="V33" s="434"/>
      <c r="W33" s="434"/>
      <c r="X33" s="434"/>
      <c r="Y33" s="434"/>
      <c r="Z33" s="434"/>
      <c r="AA33" s="434"/>
    </row>
    <row r="34" spans="1:27" ht="15.75" customHeight="1" x14ac:dyDescent="0.35">
      <c r="A34" s="433"/>
      <c r="B34" s="450">
        <v>68</v>
      </c>
      <c r="C34" s="451" t="str">
        <f>VLOOKUP(B34,[2]Constantes!$A$6:$H$447,5,FALSE)</f>
        <v>Cte_4D_CH4_Cloaca estancada</v>
      </c>
      <c r="D34" s="451">
        <f>VLOOKUP(B34,[2]Constantes!$A$6:$H$447,7,FALSE)</f>
        <v>0.5</v>
      </c>
      <c r="E34" s="451" t="str">
        <f>VLOOKUP(B34,[2]Constantes!$A$6:$H$447,8,FALSE)</f>
        <v>adimensional</v>
      </c>
      <c r="F34" s="434"/>
      <c r="I34" s="433"/>
      <c r="K34" s="433"/>
      <c r="L34" s="434"/>
      <c r="M34" s="434"/>
      <c r="N34" s="433"/>
      <c r="O34" s="433"/>
      <c r="P34" s="433"/>
      <c r="Q34" s="433"/>
      <c r="R34" s="433"/>
      <c r="S34" s="433"/>
      <c r="T34" s="434"/>
      <c r="U34" s="434"/>
      <c r="V34" s="434"/>
      <c r="W34" s="434"/>
      <c r="X34" s="434"/>
      <c r="Y34" s="434"/>
      <c r="Z34" s="434"/>
      <c r="AA34" s="434"/>
    </row>
    <row r="35" spans="1:27" ht="15.75" customHeight="1" x14ac:dyDescent="0.35">
      <c r="A35" s="433"/>
      <c r="B35" s="450">
        <v>69</v>
      </c>
      <c r="C35" s="451" t="str">
        <f>VLOOKUP(B35,[2]Constantes!$A$6:$H$447,5,FALSE)</f>
        <v>Cte_4D_CH4_Eliminacion en cuerpo de agua</v>
      </c>
      <c r="D35" s="451">
        <f>VLOOKUP(B35,[2]Constantes!$A$6:$H$447,7,FALSE)</f>
        <v>0.1</v>
      </c>
      <c r="E35" s="451" t="str">
        <f>VLOOKUP(B35,[2]Constantes!$A$6:$H$447,8,FALSE)</f>
        <v>adimensional</v>
      </c>
      <c r="F35" s="434"/>
      <c r="I35" s="433"/>
      <c r="K35" s="433"/>
      <c r="L35" s="434"/>
      <c r="M35" s="434"/>
      <c r="N35" s="433"/>
      <c r="O35" s="433"/>
      <c r="P35" s="433"/>
      <c r="Q35" s="433"/>
      <c r="R35" s="433"/>
      <c r="S35" s="433"/>
      <c r="T35" s="434"/>
      <c r="U35" s="434"/>
      <c r="V35" s="434"/>
      <c r="W35" s="434"/>
      <c r="X35" s="434"/>
      <c r="Y35" s="434"/>
      <c r="Z35" s="434"/>
      <c r="AA35" s="434"/>
    </row>
    <row r="36" spans="1:27" ht="15.75" customHeight="1" x14ac:dyDescent="0.35">
      <c r="A36" s="433"/>
      <c r="B36" s="433"/>
      <c r="C36" s="433"/>
      <c r="D36" s="433"/>
      <c r="E36" s="433"/>
      <c r="F36" s="433"/>
      <c r="G36" s="433"/>
      <c r="H36" s="433"/>
      <c r="I36" s="433"/>
      <c r="J36" s="433"/>
      <c r="K36" s="433"/>
      <c r="L36" s="434"/>
      <c r="M36" s="434"/>
      <c r="N36" s="433"/>
      <c r="O36" s="433"/>
      <c r="P36" s="433"/>
      <c r="Q36" s="433"/>
      <c r="R36" s="433"/>
      <c r="S36" s="433"/>
      <c r="T36" s="434"/>
      <c r="U36" s="434"/>
      <c r="V36" s="434"/>
      <c r="W36" s="434"/>
      <c r="X36" s="434"/>
      <c r="Y36" s="434"/>
      <c r="Z36" s="434"/>
      <c r="AA36" s="434"/>
    </row>
    <row r="37" spans="1:27" ht="15.75" customHeight="1" x14ac:dyDescent="0.35">
      <c r="A37" s="433"/>
      <c r="B37" s="433"/>
      <c r="C37" s="433"/>
      <c r="D37" s="433"/>
      <c r="E37" s="433"/>
      <c r="F37" s="433"/>
      <c r="G37" s="433"/>
      <c r="H37" s="433"/>
      <c r="I37" s="433"/>
      <c r="J37" s="433"/>
      <c r="K37" s="433"/>
      <c r="L37" s="433"/>
      <c r="M37" s="433"/>
      <c r="N37" s="433"/>
      <c r="O37" s="433"/>
      <c r="P37" s="433"/>
      <c r="Q37" s="433"/>
      <c r="R37" s="433"/>
      <c r="S37" s="433"/>
      <c r="T37" s="434"/>
      <c r="U37" s="434"/>
      <c r="V37" s="434"/>
      <c r="W37" s="434"/>
      <c r="X37" s="434"/>
      <c r="Y37" s="434"/>
      <c r="Z37" s="434"/>
      <c r="AA37" s="434"/>
    </row>
    <row r="38" spans="1:27" ht="15.75" customHeight="1" x14ac:dyDescent="0.35">
      <c r="A38" s="434"/>
      <c r="B38" s="434"/>
      <c r="C38" s="434"/>
      <c r="D38" s="434"/>
      <c r="E38" s="434"/>
      <c r="F38" s="434"/>
      <c r="G38" s="434"/>
      <c r="H38" s="434"/>
      <c r="I38" s="434"/>
      <c r="J38" s="434"/>
      <c r="K38" s="434"/>
      <c r="L38" s="434"/>
      <c r="M38" s="434"/>
      <c r="N38" s="434"/>
      <c r="O38" s="434"/>
      <c r="P38" s="434"/>
      <c r="Q38" s="434"/>
      <c r="R38" s="434"/>
      <c r="S38" s="434"/>
      <c r="T38" s="434"/>
      <c r="U38" s="434"/>
      <c r="V38" s="434"/>
      <c r="W38" s="434"/>
      <c r="X38" s="434"/>
      <c r="Y38" s="434"/>
      <c r="Z38" s="434"/>
      <c r="AA38" s="434"/>
    </row>
    <row r="39" spans="1:27" ht="15.75" customHeight="1" x14ac:dyDescent="0.35">
      <c r="A39" s="434"/>
      <c r="B39" s="453" t="s">
        <v>885</v>
      </c>
      <c r="C39" s="454" t="s">
        <v>929</v>
      </c>
      <c r="D39" s="454" t="s">
        <v>886</v>
      </c>
      <c r="E39" s="454" t="s">
        <v>921</v>
      </c>
      <c r="F39" s="454" t="s">
        <v>930</v>
      </c>
      <c r="G39" s="454" t="s">
        <v>931</v>
      </c>
      <c r="H39" s="454" t="s">
        <v>932</v>
      </c>
      <c r="I39" s="454" t="s">
        <v>933</v>
      </c>
      <c r="J39" s="434"/>
      <c r="K39" s="434"/>
      <c r="L39" s="434"/>
      <c r="M39" s="434"/>
      <c r="N39" s="434"/>
      <c r="O39" s="434"/>
      <c r="P39" s="434"/>
      <c r="Q39" s="434"/>
      <c r="R39" s="434"/>
      <c r="S39" s="434"/>
      <c r="T39" s="434"/>
      <c r="U39" s="434"/>
      <c r="V39" s="434"/>
      <c r="W39" s="434"/>
      <c r="X39" s="434"/>
      <c r="Y39" s="434"/>
      <c r="Z39" s="434"/>
      <c r="AA39" s="434"/>
    </row>
    <row r="40" spans="1:27" ht="382" customHeight="1" x14ac:dyDescent="0.35">
      <c r="A40" s="434"/>
      <c r="B40" s="455" t="s">
        <v>904</v>
      </c>
      <c r="C40" s="456" t="s">
        <v>934</v>
      </c>
      <c r="D40" s="456" t="s">
        <v>935</v>
      </c>
      <c r="E40" s="456" t="s">
        <v>936</v>
      </c>
      <c r="F40" s="456" t="s">
        <v>937</v>
      </c>
      <c r="G40" s="456" t="s">
        <v>938</v>
      </c>
      <c r="H40" s="456" t="s">
        <v>939</v>
      </c>
      <c r="I40" s="456" t="s">
        <v>940</v>
      </c>
      <c r="J40" s="434"/>
      <c r="K40" s="434"/>
      <c r="L40" s="434"/>
      <c r="M40" s="434"/>
      <c r="N40" s="434"/>
      <c r="O40" s="434"/>
      <c r="P40" s="434"/>
      <c r="Q40" s="434"/>
      <c r="R40" s="434"/>
      <c r="S40" s="434"/>
      <c r="T40" s="434"/>
      <c r="U40" s="434"/>
      <c r="V40" s="434"/>
      <c r="W40" s="434"/>
      <c r="X40" s="434"/>
      <c r="Y40" s="434"/>
      <c r="Z40" s="434"/>
      <c r="AA40" s="434"/>
    </row>
    <row r="41" spans="1:27" ht="15.75" customHeight="1" x14ac:dyDescent="0.35">
      <c r="A41" s="434"/>
      <c r="B41" s="434"/>
      <c r="C41" s="434"/>
      <c r="D41" s="434"/>
      <c r="E41" s="434"/>
      <c r="F41" s="434"/>
      <c r="G41" s="434"/>
      <c r="H41" s="434"/>
      <c r="I41" s="434"/>
      <c r="J41" s="434"/>
      <c r="K41" s="434"/>
      <c r="L41" s="434"/>
      <c r="M41" s="434"/>
      <c r="N41" s="434"/>
      <c r="O41" s="434"/>
      <c r="P41" s="434"/>
      <c r="Q41" s="434"/>
      <c r="R41" s="434"/>
      <c r="S41" s="434"/>
      <c r="T41" s="434"/>
      <c r="U41" s="434"/>
      <c r="V41" s="434"/>
      <c r="W41" s="434"/>
      <c r="X41" s="434"/>
      <c r="Y41" s="434"/>
      <c r="Z41" s="434"/>
      <c r="AA41" s="434"/>
    </row>
    <row r="42" spans="1:27" ht="15.75" customHeight="1" x14ac:dyDescent="0.35">
      <c r="A42" s="434"/>
      <c r="B42" s="434"/>
      <c r="C42" s="434"/>
      <c r="D42" s="434"/>
      <c r="E42" s="434"/>
      <c r="F42" s="434"/>
      <c r="G42" s="434"/>
      <c r="H42" s="434"/>
      <c r="I42" s="434"/>
      <c r="J42" s="434"/>
      <c r="K42" s="434"/>
      <c r="L42" s="434"/>
      <c r="M42" s="434"/>
      <c r="N42" s="434"/>
      <c r="O42" s="434"/>
      <c r="P42" s="434"/>
      <c r="Q42" s="434"/>
      <c r="R42" s="434"/>
      <c r="S42" s="434"/>
      <c r="T42" s="434"/>
      <c r="U42" s="434"/>
      <c r="V42" s="434"/>
      <c r="W42" s="434"/>
      <c r="X42" s="434"/>
      <c r="Y42" s="434"/>
      <c r="Z42" s="434"/>
      <c r="AA42" s="434"/>
    </row>
    <row r="43" spans="1:27" ht="15.75" customHeight="1" x14ac:dyDescent="0.35">
      <c r="A43" s="434"/>
      <c r="B43" s="433"/>
      <c r="C43" s="435" t="s">
        <v>941</v>
      </c>
      <c r="D43" s="433" t="s">
        <v>942</v>
      </c>
      <c r="E43" s="433"/>
      <c r="F43" s="433"/>
      <c r="G43" s="433"/>
      <c r="H43" s="433"/>
      <c r="I43" s="433"/>
      <c r="J43" s="433"/>
      <c r="K43" s="433"/>
      <c r="L43" s="433"/>
      <c r="M43" s="433"/>
      <c r="N43" s="433"/>
      <c r="O43" s="433"/>
      <c r="P43" s="434"/>
      <c r="Q43" s="434"/>
      <c r="R43" s="434"/>
      <c r="S43" s="434"/>
      <c r="T43" s="434"/>
      <c r="U43" s="434"/>
      <c r="V43" s="434"/>
      <c r="W43" s="434"/>
      <c r="X43" s="434"/>
      <c r="Y43" s="434"/>
      <c r="Z43" s="434"/>
      <c r="AA43" s="434"/>
    </row>
    <row r="44" spans="1:27" ht="15.75" customHeight="1" x14ac:dyDescent="0.35">
      <c r="A44" s="434"/>
      <c r="B44" s="433"/>
      <c r="C44" s="433"/>
      <c r="D44" s="433" t="s">
        <v>943</v>
      </c>
      <c r="E44" s="433"/>
      <c r="F44" s="433"/>
      <c r="G44" s="433"/>
      <c r="H44" s="433"/>
      <c r="I44" s="433"/>
      <c r="J44" s="433"/>
      <c r="K44" s="433"/>
      <c r="L44" s="433"/>
      <c r="M44" s="433"/>
      <c r="N44" s="433"/>
      <c r="O44" s="433"/>
      <c r="P44" s="434"/>
      <c r="Q44" s="434"/>
      <c r="R44" s="434"/>
      <c r="S44" s="434"/>
      <c r="T44" s="434"/>
      <c r="U44" s="434"/>
      <c r="V44" s="434"/>
      <c r="W44" s="434"/>
      <c r="X44" s="434"/>
      <c r="Y44" s="434"/>
      <c r="Z44" s="434"/>
      <c r="AA44" s="434"/>
    </row>
    <row r="45" spans="1:27" ht="15.75" customHeight="1" x14ac:dyDescent="0.35">
      <c r="A45" s="434"/>
      <c r="B45" s="433"/>
      <c r="C45" s="433"/>
      <c r="D45" s="433" t="s">
        <v>944</v>
      </c>
      <c r="E45" s="433"/>
      <c r="F45" s="433"/>
      <c r="G45" s="433"/>
      <c r="H45" s="433"/>
      <c r="I45" s="433"/>
      <c r="J45" s="433"/>
      <c r="K45" s="433"/>
      <c r="L45" s="433"/>
      <c r="M45" s="433"/>
      <c r="N45" s="433"/>
      <c r="O45" s="433"/>
      <c r="P45" s="434"/>
      <c r="Q45" s="434"/>
      <c r="R45" s="434"/>
      <c r="S45" s="434"/>
      <c r="T45" s="434"/>
      <c r="U45" s="434"/>
      <c r="V45" s="434"/>
      <c r="W45" s="434"/>
      <c r="X45" s="434"/>
      <c r="Y45" s="434"/>
      <c r="Z45" s="434"/>
      <c r="AA45" s="434"/>
    </row>
    <row r="46" spans="1:27" ht="15.75" customHeight="1" x14ac:dyDescent="0.35">
      <c r="A46" s="434"/>
      <c r="B46" s="433"/>
      <c r="C46" s="433"/>
      <c r="D46" s="433"/>
      <c r="E46" s="433"/>
      <c r="F46" s="433"/>
      <c r="G46" s="433"/>
      <c r="H46" s="433"/>
      <c r="I46" s="433"/>
      <c r="J46" s="433"/>
      <c r="K46" s="433"/>
      <c r="L46" s="433"/>
      <c r="M46" s="433"/>
      <c r="N46" s="433"/>
      <c r="O46" s="433"/>
      <c r="P46" s="434"/>
      <c r="Q46" s="434"/>
      <c r="R46" s="434"/>
      <c r="S46" s="434"/>
      <c r="T46" s="434"/>
      <c r="U46" s="434"/>
      <c r="V46" s="434"/>
      <c r="W46" s="434"/>
      <c r="X46" s="434"/>
      <c r="Y46" s="434"/>
      <c r="Z46" s="434"/>
      <c r="AA46" s="434"/>
    </row>
    <row r="47" spans="1:27" ht="15.75" customHeight="1" x14ac:dyDescent="0.35">
      <c r="A47" s="434"/>
      <c r="B47" s="457" t="s">
        <v>920</v>
      </c>
      <c r="C47" s="457" t="s">
        <v>885</v>
      </c>
      <c r="D47" s="457" t="s">
        <v>945</v>
      </c>
      <c r="E47" s="457" t="s">
        <v>924</v>
      </c>
      <c r="F47" s="457" t="s">
        <v>946</v>
      </c>
      <c r="G47" s="457" t="s">
        <v>947</v>
      </c>
      <c r="H47" s="457" t="s">
        <v>922</v>
      </c>
      <c r="I47" s="457" t="s">
        <v>118</v>
      </c>
      <c r="J47" s="457" t="s">
        <v>136</v>
      </c>
      <c r="K47" s="457" t="s">
        <v>948</v>
      </c>
      <c r="L47" s="457" t="s">
        <v>949</v>
      </c>
      <c r="M47" s="457" t="s">
        <v>60</v>
      </c>
      <c r="N47" s="433"/>
      <c r="O47" s="433"/>
      <c r="P47" s="434"/>
      <c r="Q47" s="434"/>
      <c r="R47" s="434"/>
      <c r="S47" s="434"/>
      <c r="T47" s="434"/>
      <c r="U47" s="434"/>
      <c r="V47" s="434"/>
      <c r="W47" s="434"/>
      <c r="X47" s="434"/>
      <c r="Y47" s="434"/>
      <c r="Z47" s="434"/>
      <c r="AA47" s="434"/>
    </row>
    <row r="48" spans="1:27" ht="15.75" customHeight="1" x14ac:dyDescent="0.35">
      <c r="A48" s="434"/>
      <c r="B48" s="458">
        <v>51</v>
      </c>
      <c r="C48" s="458" t="s">
        <v>904</v>
      </c>
      <c r="D48" s="458" t="s">
        <v>950</v>
      </c>
      <c r="E48" s="458" t="s">
        <v>951</v>
      </c>
      <c r="F48" s="458" t="s">
        <v>952</v>
      </c>
      <c r="G48" s="458" t="s">
        <v>953</v>
      </c>
      <c r="H48" s="458">
        <v>0</v>
      </c>
      <c r="I48" s="458" t="s">
        <v>954</v>
      </c>
      <c r="J48" s="458"/>
      <c r="K48" s="458" t="s">
        <v>955</v>
      </c>
      <c r="L48" s="458" t="s">
        <v>956</v>
      </c>
      <c r="M48" s="458"/>
      <c r="N48" s="433"/>
      <c r="O48" s="433"/>
      <c r="P48" s="434"/>
      <c r="Q48" s="434"/>
      <c r="R48" s="434"/>
      <c r="S48" s="434"/>
      <c r="T48" s="434"/>
      <c r="U48" s="434"/>
      <c r="V48" s="434"/>
      <c r="W48" s="434"/>
      <c r="X48" s="434"/>
      <c r="Y48" s="434"/>
      <c r="Z48" s="434"/>
      <c r="AA48" s="434"/>
    </row>
    <row r="49" spans="1:27" ht="15.75" customHeight="1" x14ac:dyDescent="0.35">
      <c r="A49" s="434"/>
      <c r="B49" s="458">
        <v>52</v>
      </c>
      <c r="C49" s="458" t="s">
        <v>904</v>
      </c>
      <c r="D49" s="458" t="s">
        <v>950</v>
      </c>
      <c r="E49" s="458" t="s">
        <v>951</v>
      </c>
      <c r="F49" s="458" t="s">
        <v>957</v>
      </c>
      <c r="G49" s="458" t="s">
        <v>958</v>
      </c>
      <c r="H49" s="458">
        <v>1.25</v>
      </c>
      <c r="I49" s="458" t="s">
        <v>959</v>
      </c>
      <c r="J49" s="458">
        <v>20</v>
      </c>
      <c r="K49" s="458" t="s">
        <v>960</v>
      </c>
      <c r="L49" s="458" t="s">
        <v>956</v>
      </c>
      <c r="M49" s="458"/>
      <c r="N49" s="433"/>
      <c r="O49" s="433"/>
      <c r="P49" s="434"/>
      <c r="Q49" s="434"/>
      <c r="R49" s="434"/>
      <c r="S49" s="434"/>
      <c r="T49" s="434"/>
      <c r="U49" s="434"/>
      <c r="V49" s="434"/>
      <c r="W49" s="434"/>
      <c r="X49" s="434"/>
      <c r="Y49" s="434"/>
      <c r="Z49" s="434"/>
      <c r="AA49" s="434"/>
    </row>
    <row r="50" spans="1:27" ht="15.75" customHeight="1" x14ac:dyDescent="0.35">
      <c r="A50" s="434"/>
      <c r="B50" s="458">
        <v>53</v>
      </c>
      <c r="C50" s="458" t="s">
        <v>904</v>
      </c>
      <c r="D50" s="458" t="s">
        <v>950</v>
      </c>
      <c r="E50" s="458" t="s">
        <v>951</v>
      </c>
      <c r="F50" s="458" t="s">
        <v>961</v>
      </c>
      <c r="G50" s="458" t="s">
        <v>962</v>
      </c>
      <c r="H50" s="458">
        <v>1.1000000000000001</v>
      </c>
      <c r="I50" s="458" t="s">
        <v>959</v>
      </c>
      <c r="J50" s="458">
        <v>10</v>
      </c>
      <c r="K50" s="458" t="s">
        <v>960</v>
      </c>
      <c r="L50" s="458" t="s">
        <v>956</v>
      </c>
      <c r="M50" s="458"/>
      <c r="N50" s="433"/>
      <c r="O50" s="433"/>
      <c r="P50" s="434"/>
      <c r="Q50" s="434"/>
      <c r="R50" s="434"/>
      <c r="S50" s="434"/>
      <c r="T50" s="434"/>
      <c r="U50" s="434"/>
      <c r="V50" s="434"/>
      <c r="W50" s="434"/>
      <c r="X50" s="434"/>
      <c r="Y50" s="434"/>
      <c r="Z50" s="434"/>
      <c r="AA50" s="434"/>
    </row>
    <row r="51" spans="1:27" ht="15.75" customHeight="1" x14ac:dyDescent="0.35">
      <c r="A51" s="434"/>
      <c r="B51" s="458">
        <v>54</v>
      </c>
      <c r="C51" s="458" t="s">
        <v>904</v>
      </c>
      <c r="D51" s="458" t="s">
        <v>950</v>
      </c>
      <c r="E51" s="458" t="s">
        <v>951</v>
      </c>
      <c r="F51" s="458" t="s">
        <v>963</v>
      </c>
      <c r="G51" s="458" t="s">
        <v>964</v>
      </c>
      <c r="H51" s="458">
        <v>0.16</v>
      </c>
      <c r="I51" s="458" t="s">
        <v>965</v>
      </c>
      <c r="J51" s="458">
        <v>6.25</v>
      </c>
      <c r="K51" s="458" t="s">
        <v>955</v>
      </c>
      <c r="L51" s="458" t="s">
        <v>956</v>
      </c>
      <c r="M51" s="458"/>
      <c r="N51" s="433"/>
      <c r="O51" s="433"/>
      <c r="P51" s="434"/>
      <c r="Q51" s="434"/>
      <c r="R51" s="434"/>
      <c r="S51" s="434"/>
      <c r="T51" s="434"/>
      <c r="U51" s="434"/>
      <c r="V51" s="434"/>
      <c r="W51" s="434"/>
      <c r="X51" s="434"/>
      <c r="Y51" s="434"/>
      <c r="Z51" s="434"/>
      <c r="AA51" s="434"/>
    </row>
    <row r="52" spans="1:27" ht="15.75" customHeight="1" x14ac:dyDescent="0.35">
      <c r="A52" s="434"/>
      <c r="B52" s="458">
        <v>55</v>
      </c>
      <c r="C52" s="458" t="s">
        <v>904</v>
      </c>
      <c r="D52" s="458" t="s">
        <v>950</v>
      </c>
      <c r="E52" s="458" t="s">
        <v>951</v>
      </c>
      <c r="F52" s="458" t="s">
        <v>966</v>
      </c>
      <c r="G52" s="458" t="s">
        <v>967</v>
      </c>
      <c r="H52" s="458">
        <f>80*365/1000</f>
        <v>29.2</v>
      </c>
      <c r="I52" s="458" t="s">
        <v>968</v>
      </c>
      <c r="J52" s="458">
        <v>10</v>
      </c>
      <c r="K52" s="458" t="s">
        <v>969</v>
      </c>
      <c r="L52" s="458" t="s">
        <v>956</v>
      </c>
      <c r="M52" s="458"/>
      <c r="N52" s="433"/>
      <c r="O52" s="433"/>
      <c r="P52" s="434"/>
      <c r="Q52" s="434"/>
      <c r="R52" s="434"/>
      <c r="S52" s="434"/>
      <c r="T52" s="434"/>
      <c r="U52" s="434"/>
      <c r="V52" s="434"/>
      <c r="W52" s="434"/>
      <c r="X52" s="434"/>
      <c r="Y52" s="434"/>
      <c r="Z52" s="434"/>
      <c r="AA52" s="434"/>
    </row>
    <row r="53" spans="1:27" ht="15.75" customHeight="1" x14ac:dyDescent="0.35">
      <c r="A53" s="434"/>
      <c r="B53" s="458">
        <v>56</v>
      </c>
      <c r="C53" s="458" t="s">
        <v>904</v>
      </c>
      <c r="D53" s="458" t="s">
        <v>970</v>
      </c>
      <c r="E53" s="458" t="s">
        <v>583</v>
      </c>
      <c r="F53" s="458" t="s">
        <v>971</v>
      </c>
      <c r="G53" s="458" t="s">
        <v>972</v>
      </c>
      <c r="H53" s="458">
        <v>5.0000000000000001E-3</v>
      </c>
      <c r="I53" s="458" t="s">
        <v>973</v>
      </c>
      <c r="J53" s="458"/>
      <c r="K53" s="458" t="s">
        <v>974</v>
      </c>
      <c r="L53" s="458" t="s">
        <v>956</v>
      </c>
      <c r="M53" s="458"/>
      <c r="N53" s="433"/>
      <c r="O53" s="433"/>
      <c r="P53" s="434"/>
      <c r="Q53" s="434"/>
      <c r="R53" s="434"/>
      <c r="S53" s="434"/>
      <c r="T53" s="434"/>
      <c r="U53" s="434"/>
      <c r="V53" s="434"/>
      <c r="W53" s="434"/>
      <c r="X53" s="434"/>
      <c r="Y53" s="434"/>
      <c r="Z53" s="434"/>
      <c r="AA53" s="434"/>
    </row>
    <row r="54" spans="1:27" ht="15.75" customHeight="1" x14ac:dyDescent="0.35">
      <c r="A54" s="434"/>
      <c r="B54" s="458">
        <v>57</v>
      </c>
      <c r="C54" s="458" t="s">
        <v>904</v>
      </c>
      <c r="D54" s="458" t="s">
        <v>950</v>
      </c>
      <c r="E54" s="458" t="s">
        <v>582</v>
      </c>
      <c r="F54" s="458" t="s">
        <v>975</v>
      </c>
      <c r="G54" s="458" t="s">
        <v>976</v>
      </c>
      <c r="H54" s="458">
        <v>0.6</v>
      </c>
      <c r="I54" s="458" t="s">
        <v>977</v>
      </c>
      <c r="J54" s="458">
        <v>30</v>
      </c>
      <c r="K54" s="458" t="s">
        <v>978</v>
      </c>
      <c r="L54" s="458" t="s">
        <v>956</v>
      </c>
      <c r="M54" s="458"/>
      <c r="N54" s="433"/>
      <c r="O54" s="433"/>
      <c r="P54" s="434"/>
      <c r="Q54" s="434"/>
      <c r="R54" s="434"/>
      <c r="S54" s="434"/>
      <c r="T54" s="434"/>
      <c r="U54" s="434"/>
      <c r="V54" s="434"/>
      <c r="W54" s="434"/>
      <c r="X54" s="434"/>
      <c r="Y54" s="434"/>
      <c r="Z54" s="434"/>
      <c r="AA54" s="434"/>
    </row>
    <row r="55" spans="1:27" ht="15.75" customHeight="1" x14ac:dyDescent="0.35">
      <c r="A55" s="434"/>
      <c r="B55" s="458">
        <v>58</v>
      </c>
      <c r="C55" s="458" t="s">
        <v>904</v>
      </c>
      <c r="D55" s="458" t="s">
        <v>950</v>
      </c>
      <c r="E55" s="458" t="s">
        <v>951</v>
      </c>
      <c r="F55" s="458" t="s">
        <v>979</v>
      </c>
      <c r="G55" s="458" t="s">
        <v>980</v>
      </c>
      <c r="H55" s="458">
        <v>1.25</v>
      </c>
      <c r="I55" s="458" t="s">
        <v>959</v>
      </c>
      <c r="J55" s="458">
        <v>20</v>
      </c>
      <c r="K55" s="458" t="s">
        <v>981</v>
      </c>
      <c r="L55" s="458" t="s">
        <v>956</v>
      </c>
      <c r="M55" s="458" t="s">
        <v>982</v>
      </c>
      <c r="N55" s="433"/>
      <c r="O55" s="433"/>
      <c r="P55" s="434"/>
      <c r="Q55" s="434"/>
      <c r="R55" s="434"/>
      <c r="S55" s="434"/>
      <c r="T55" s="434"/>
      <c r="U55" s="434"/>
      <c r="V55" s="434"/>
      <c r="W55" s="434"/>
      <c r="X55" s="434"/>
      <c r="Y55" s="434"/>
      <c r="Z55" s="434"/>
      <c r="AA55" s="434"/>
    </row>
    <row r="56" spans="1:27" ht="15.75" customHeight="1" x14ac:dyDescent="0.35">
      <c r="A56" s="434"/>
      <c r="B56" s="458">
        <v>59</v>
      </c>
      <c r="C56" s="458" t="s">
        <v>904</v>
      </c>
      <c r="D56" s="458" t="s">
        <v>950</v>
      </c>
      <c r="E56" s="458" t="s">
        <v>951</v>
      </c>
      <c r="F56" s="458" t="s">
        <v>983</v>
      </c>
      <c r="G56" s="458" t="s">
        <v>984</v>
      </c>
      <c r="H56" s="458">
        <v>40</v>
      </c>
      <c r="I56" s="458" t="s">
        <v>985</v>
      </c>
      <c r="J56" s="458">
        <v>30</v>
      </c>
      <c r="K56" s="458" t="s">
        <v>986</v>
      </c>
      <c r="L56" s="458" t="s">
        <v>956</v>
      </c>
      <c r="M56" s="458"/>
      <c r="N56" s="433"/>
      <c r="O56" s="433"/>
      <c r="P56" s="434"/>
      <c r="Q56" s="434"/>
      <c r="R56" s="434"/>
      <c r="S56" s="434"/>
      <c r="T56" s="434"/>
      <c r="U56" s="434"/>
      <c r="V56" s="434"/>
      <c r="W56" s="434"/>
      <c r="X56" s="434"/>
      <c r="Y56" s="434"/>
      <c r="Z56" s="434"/>
      <c r="AA56" s="434"/>
    </row>
    <row r="57" spans="1:27" ht="15.75" customHeight="1" x14ac:dyDescent="0.35">
      <c r="A57" s="434"/>
      <c r="B57" s="458">
        <v>60</v>
      </c>
      <c r="C57" s="458" t="s">
        <v>987</v>
      </c>
      <c r="D57" s="458" t="s">
        <v>950</v>
      </c>
      <c r="E57" s="458" t="s">
        <v>582</v>
      </c>
      <c r="F57" s="458" t="s">
        <v>988</v>
      </c>
      <c r="G57" s="458" t="s">
        <v>989</v>
      </c>
      <c r="H57" s="458">
        <v>0.5</v>
      </c>
      <c r="I57" s="458" t="s">
        <v>959</v>
      </c>
      <c r="J57" s="458"/>
      <c r="K57" s="458" t="s">
        <v>990</v>
      </c>
      <c r="L57" s="458" t="s">
        <v>956</v>
      </c>
      <c r="M57" s="458"/>
      <c r="N57" s="433"/>
      <c r="O57" s="433"/>
      <c r="P57" s="434"/>
      <c r="Q57" s="434"/>
      <c r="R57" s="434"/>
      <c r="S57" s="434"/>
      <c r="T57" s="434"/>
      <c r="U57" s="434"/>
      <c r="V57" s="434"/>
      <c r="W57" s="434"/>
      <c r="X57" s="434"/>
      <c r="Y57" s="434"/>
      <c r="Z57" s="434"/>
      <c r="AA57" s="434"/>
    </row>
    <row r="58" spans="1:27" ht="15.75" customHeight="1" x14ac:dyDescent="0.35">
      <c r="A58" s="434"/>
      <c r="B58" s="458">
        <v>61</v>
      </c>
      <c r="C58" s="458" t="s">
        <v>987</v>
      </c>
      <c r="D58" s="458" t="s">
        <v>950</v>
      </c>
      <c r="E58" s="458" t="s">
        <v>582</v>
      </c>
      <c r="F58" s="458" t="s">
        <v>991</v>
      </c>
      <c r="G58" s="458" t="s">
        <v>992</v>
      </c>
      <c r="H58" s="458">
        <v>0.5</v>
      </c>
      <c r="I58" s="458" t="s">
        <v>959</v>
      </c>
      <c r="J58" s="458"/>
      <c r="K58" s="458" t="s">
        <v>990</v>
      </c>
      <c r="L58" s="458" t="s">
        <v>956</v>
      </c>
      <c r="M58" s="458"/>
      <c r="N58" s="433"/>
      <c r="O58" s="433"/>
      <c r="P58" s="434"/>
      <c r="Q58" s="434"/>
      <c r="R58" s="434"/>
      <c r="S58" s="434"/>
      <c r="T58" s="434"/>
      <c r="U58" s="434"/>
      <c r="V58" s="434"/>
      <c r="W58" s="434"/>
      <c r="X58" s="434"/>
      <c r="Y58" s="434"/>
      <c r="Z58" s="434"/>
      <c r="AA58" s="434"/>
    </row>
    <row r="59" spans="1:27" ht="15.75" customHeight="1" x14ac:dyDescent="0.35">
      <c r="A59" s="434"/>
      <c r="B59" s="458">
        <v>62</v>
      </c>
      <c r="C59" s="458" t="s">
        <v>987</v>
      </c>
      <c r="D59" s="458" t="s">
        <v>950</v>
      </c>
      <c r="E59" s="458" t="s">
        <v>582</v>
      </c>
      <c r="F59" s="458" t="s">
        <v>993</v>
      </c>
      <c r="G59" s="458" t="s">
        <v>994</v>
      </c>
      <c r="H59" s="458">
        <v>0.8</v>
      </c>
      <c r="I59" s="458" t="s">
        <v>959</v>
      </c>
      <c r="J59" s="458"/>
      <c r="K59" s="458" t="s">
        <v>990</v>
      </c>
      <c r="L59" s="458" t="s">
        <v>956</v>
      </c>
      <c r="M59" s="458"/>
      <c r="N59" s="433"/>
      <c r="O59" s="433"/>
      <c r="P59" s="434"/>
      <c r="Q59" s="434"/>
      <c r="R59" s="434"/>
      <c r="S59" s="434"/>
      <c r="T59" s="434"/>
      <c r="U59" s="434"/>
      <c r="V59" s="434"/>
      <c r="W59" s="434"/>
      <c r="X59" s="434"/>
      <c r="Y59" s="434"/>
      <c r="Z59" s="434"/>
      <c r="AA59" s="434"/>
    </row>
    <row r="60" spans="1:27" ht="15.75" customHeight="1" x14ac:dyDescent="0.35">
      <c r="A60" s="434"/>
      <c r="B60" s="458">
        <v>63</v>
      </c>
      <c r="C60" s="458" t="s">
        <v>987</v>
      </c>
      <c r="D60" s="458" t="s">
        <v>950</v>
      </c>
      <c r="E60" s="458" t="s">
        <v>582</v>
      </c>
      <c r="F60" s="458" t="s">
        <v>995</v>
      </c>
      <c r="G60" s="458" t="s">
        <v>996</v>
      </c>
      <c r="H60" s="458">
        <v>0.2</v>
      </c>
      <c r="I60" s="458" t="s">
        <v>959</v>
      </c>
      <c r="J60" s="458"/>
      <c r="K60" s="458" t="s">
        <v>990</v>
      </c>
      <c r="L60" s="458" t="s">
        <v>956</v>
      </c>
      <c r="M60" s="458"/>
      <c r="N60" s="433"/>
      <c r="O60" s="433"/>
      <c r="P60" s="434"/>
      <c r="Q60" s="434"/>
      <c r="R60" s="434"/>
      <c r="S60" s="434"/>
      <c r="T60" s="434"/>
      <c r="U60" s="434"/>
      <c r="V60" s="434"/>
      <c r="W60" s="434"/>
      <c r="X60" s="434"/>
      <c r="Y60" s="434"/>
      <c r="Z60" s="434"/>
      <c r="AA60" s="434"/>
    </row>
    <row r="61" spans="1:27" ht="15.75" customHeight="1" x14ac:dyDescent="0.35">
      <c r="A61" s="434"/>
      <c r="B61" s="458">
        <v>64</v>
      </c>
      <c r="C61" s="458" t="s">
        <v>987</v>
      </c>
      <c r="D61" s="458" t="s">
        <v>950</v>
      </c>
      <c r="E61" s="458" t="s">
        <v>582</v>
      </c>
      <c r="F61" s="458" t="s">
        <v>997</v>
      </c>
      <c r="G61" s="458" t="s">
        <v>998</v>
      </c>
      <c r="H61" s="458">
        <v>0.8</v>
      </c>
      <c r="I61" s="458" t="s">
        <v>959</v>
      </c>
      <c r="J61" s="458"/>
      <c r="K61" s="458" t="s">
        <v>990</v>
      </c>
      <c r="L61" s="458" t="s">
        <v>956</v>
      </c>
      <c r="M61" s="458"/>
      <c r="N61" s="433"/>
      <c r="O61" s="433"/>
      <c r="P61" s="434"/>
      <c r="Q61" s="434"/>
      <c r="R61" s="434"/>
      <c r="S61" s="434"/>
      <c r="T61" s="434"/>
      <c r="U61" s="434"/>
      <c r="V61" s="434"/>
      <c r="W61" s="434"/>
      <c r="X61" s="434"/>
      <c r="Y61" s="434"/>
      <c r="Z61" s="434"/>
      <c r="AA61" s="434"/>
    </row>
    <row r="62" spans="1:27" ht="15.75" customHeight="1" x14ac:dyDescent="0.35">
      <c r="A62" s="434"/>
      <c r="B62" s="458">
        <v>65</v>
      </c>
      <c r="C62" s="458" t="s">
        <v>987</v>
      </c>
      <c r="D62" s="458" t="s">
        <v>950</v>
      </c>
      <c r="E62" s="458" t="s">
        <v>582</v>
      </c>
      <c r="F62" s="458" t="s">
        <v>999</v>
      </c>
      <c r="G62" s="458" t="s">
        <v>1000</v>
      </c>
      <c r="H62" s="458">
        <v>0.8</v>
      </c>
      <c r="I62" s="458" t="s">
        <v>959</v>
      </c>
      <c r="J62" s="458"/>
      <c r="K62" s="458" t="s">
        <v>990</v>
      </c>
      <c r="L62" s="458" t="s">
        <v>956</v>
      </c>
      <c r="M62" s="458"/>
      <c r="N62" s="433"/>
      <c r="O62" s="433"/>
      <c r="P62" s="434"/>
      <c r="Q62" s="434"/>
      <c r="R62" s="434"/>
      <c r="S62" s="434"/>
      <c r="T62" s="434"/>
      <c r="U62" s="434"/>
      <c r="V62" s="434"/>
      <c r="W62" s="434"/>
      <c r="X62" s="434"/>
      <c r="Y62" s="434"/>
      <c r="Z62" s="434"/>
      <c r="AA62" s="434"/>
    </row>
    <row r="63" spans="1:27" ht="15.75" customHeight="1" x14ac:dyDescent="0.35">
      <c r="A63" s="434"/>
      <c r="B63" s="458">
        <v>66</v>
      </c>
      <c r="C63" s="458" t="s">
        <v>987</v>
      </c>
      <c r="D63" s="458" t="s">
        <v>950</v>
      </c>
      <c r="E63" s="458" t="s">
        <v>582</v>
      </c>
      <c r="F63" s="458" t="s">
        <v>1001</v>
      </c>
      <c r="G63" s="458" t="s">
        <v>1002</v>
      </c>
      <c r="H63" s="458">
        <v>0.3</v>
      </c>
      <c r="I63" s="458" t="s">
        <v>959</v>
      </c>
      <c r="J63" s="458"/>
      <c r="K63" s="458" t="s">
        <v>990</v>
      </c>
      <c r="L63" s="458" t="s">
        <v>956</v>
      </c>
      <c r="M63" s="458"/>
      <c r="N63" s="433"/>
      <c r="O63" s="433"/>
      <c r="P63" s="434"/>
      <c r="Q63" s="434"/>
      <c r="R63" s="434"/>
      <c r="S63" s="434"/>
      <c r="T63" s="434"/>
      <c r="U63" s="434"/>
      <c r="V63" s="434"/>
      <c r="W63" s="434"/>
      <c r="X63" s="434"/>
      <c r="Y63" s="434"/>
      <c r="Z63" s="434"/>
      <c r="AA63" s="434"/>
    </row>
    <row r="64" spans="1:27" ht="15.75" customHeight="1" x14ac:dyDescent="0.35">
      <c r="A64" s="434"/>
      <c r="B64" s="458">
        <v>67</v>
      </c>
      <c r="C64" s="458" t="s">
        <v>987</v>
      </c>
      <c r="D64" s="458" t="s">
        <v>950</v>
      </c>
      <c r="E64" s="458" t="s">
        <v>582</v>
      </c>
      <c r="F64" s="458" t="s">
        <v>1003</v>
      </c>
      <c r="G64" s="458" t="s">
        <v>1004</v>
      </c>
      <c r="H64" s="458">
        <v>0</v>
      </c>
      <c r="I64" s="458" t="s">
        <v>959</v>
      </c>
      <c r="J64" s="458"/>
      <c r="K64" s="458" t="s">
        <v>990</v>
      </c>
      <c r="L64" s="458" t="s">
        <v>956</v>
      </c>
      <c r="M64" s="458"/>
      <c r="N64" s="433"/>
      <c r="O64" s="433"/>
      <c r="P64" s="434"/>
      <c r="Q64" s="434"/>
      <c r="R64" s="434"/>
      <c r="S64" s="434"/>
      <c r="T64" s="434"/>
      <c r="U64" s="434"/>
      <c r="V64" s="434"/>
      <c r="W64" s="434"/>
      <c r="X64" s="434"/>
      <c r="Y64" s="434"/>
      <c r="Z64" s="434"/>
      <c r="AA64" s="434"/>
    </row>
    <row r="65" spans="1:27" ht="15.75" customHeight="1" x14ac:dyDescent="0.35">
      <c r="A65" s="434"/>
      <c r="B65" s="458">
        <v>68</v>
      </c>
      <c r="C65" s="458" t="s">
        <v>987</v>
      </c>
      <c r="D65" s="458" t="s">
        <v>950</v>
      </c>
      <c r="E65" s="458" t="s">
        <v>582</v>
      </c>
      <c r="F65" s="458" t="s">
        <v>1005</v>
      </c>
      <c r="G65" s="458" t="s">
        <v>1006</v>
      </c>
      <c r="H65" s="458">
        <v>0.5</v>
      </c>
      <c r="I65" s="458" t="s">
        <v>959</v>
      </c>
      <c r="J65" s="458"/>
      <c r="K65" s="458" t="s">
        <v>990</v>
      </c>
      <c r="L65" s="458" t="s">
        <v>956</v>
      </c>
      <c r="M65" s="458"/>
      <c r="N65" s="433"/>
      <c r="O65" s="433"/>
      <c r="P65" s="434"/>
      <c r="Q65" s="434"/>
      <c r="R65" s="434"/>
      <c r="S65" s="434"/>
      <c r="T65" s="434"/>
      <c r="U65" s="434"/>
      <c r="V65" s="434"/>
      <c r="W65" s="434"/>
      <c r="X65" s="434"/>
      <c r="Y65" s="434"/>
      <c r="Z65" s="434"/>
      <c r="AA65" s="434"/>
    </row>
    <row r="66" spans="1:27" ht="15.75" customHeight="1" x14ac:dyDescent="0.35">
      <c r="A66" s="434"/>
      <c r="B66" s="458">
        <v>69</v>
      </c>
      <c r="C66" s="458" t="s">
        <v>987</v>
      </c>
      <c r="D66" s="458" t="s">
        <v>950</v>
      </c>
      <c r="E66" s="458" t="s">
        <v>582</v>
      </c>
      <c r="F66" s="458" t="s">
        <v>1007</v>
      </c>
      <c r="G66" s="458" t="s">
        <v>1008</v>
      </c>
      <c r="H66" s="458">
        <v>0.1</v>
      </c>
      <c r="I66" s="458" t="s">
        <v>959</v>
      </c>
      <c r="J66" s="458"/>
      <c r="K66" s="458" t="s">
        <v>990</v>
      </c>
      <c r="L66" s="458" t="s">
        <v>956</v>
      </c>
      <c r="M66" s="458"/>
      <c r="N66" s="433"/>
      <c r="O66" s="433"/>
      <c r="P66" s="434"/>
      <c r="Q66" s="434"/>
      <c r="R66" s="434"/>
      <c r="S66" s="434"/>
      <c r="T66" s="434"/>
      <c r="U66" s="434"/>
      <c r="V66" s="434"/>
      <c r="W66" s="434"/>
      <c r="X66" s="434"/>
      <c r="Y66" s="434"/>
      <c r="Z66" s="434"/>
      <c r="AA66" s="434"/>
    </row>
    <row r="67" spans="1:27" ht="15.75" customHeight="1" x14ac:dyDescent="0.35">
      <c r="A67" s="434"/>
      <c r="B67" s="434"/>
      <c r="C67" s="434"/>
      <c r="D67" s="434"/>
      <c r="E67" s="434"/>
      <c r="F67" s="434"/>
      <c r="G67" s="434"/>
      <c r="H67" s="434"/>
      <c r="I67" s="434"/>
      <c r="J67" s="434"/>
      <c r="K67" s="434"/>
      <c r="L67" s="434"/>
      <c r="M67" s="434"/>
      <c r="N67" s="434"/>
      <c r="O67" s="434"/>
      <c r="P67" s="434"/>
      <c r="Q67" s="434"/>
      <c r="R67" s="434"/>
      <c r="S67" s="434"/>
      <c r="T67" s="434"/>
      <c r="U67" s="434"/>
      <c r="V67" s="434"/>
      <c r="W67" s="434"/>
      <c r="X67" s="434"/>
      <c r="Y67" s="434"/>
      <c r="Z67" s="434"/>
      <c r="AA67" s="434"/>
    </row>
    <row r="68" spans="1:27" ht="15.75" customHeight="1" x14ac:dyDescent="0.35">
      <c r="A68" s="434"/>
      <c r="B68" s="434"/>
      <c r="C68" s="434"/>
      <c r="D68" s="434"/>
      <c r="E68" s="434"/>
      <c r="F68" s="434"/>
      <c r="G68" s="434"/>
      <c r="H68" s="434"/>
      <c r="I68" s="434"/>
      <c r="J68" s="434"/>
      <c r="K68" s="434"/>
      <c r="L68" s="434"/>
      <c r="M68" s="434"/>
      <c r="N68" s="434"/>
      <c r="O68" s="434"/>
      <c r="P68" s="434"/>
      <c r="Q68" s="434"/>
      <c r="R68" s="434"/>
      <c r="S68" s="434"/>
      <c r="T68" s="434"/>
      <c r="U68" s="434"/>
      <c r="V68" s="434"/>
      <c r="W68" s="434"/>
      <c r="X68" s="434"/>
      <c r="Y68" s="434"/>
      <c r="Z68" s="434"/>
      <c r="AA68" s="434"/>
    </row>
    <row r="69" spans="1:27" ht="15.75" customHeight="1" x14ac:dyDescent="0.35">
      <c r="A69" s="434"/>
      <c r="B69" s="434"/>
      <c r="C69" s="434"/>
      <c r="D69" s="434"/>
      <c r="E69" s="434"/>
      <c r="F69" s="434"/>
      <c r="G69" s="434"/>
      <c r="H69" s="434"/>
      <c r="I69" s="434"/>
      <c r="J69" s="434"/>
      <c r="K69" s="434"/>
      <c r="L69" s="434"/>
      <c r="M69" s="434"/>
      <c r="N69" s="434"/>
      <c r="O69" s="434"/>
      <c r="P69" s="434"/>
      <c r="Q69" s="434"/>
      <c r="R69" s="434"/>
      <c r="S69" s="434"/>
      <c r="T69" s="434"/>
      <c r="U69" s="434"/>
      <c r="V69" s="434"/>
      <c r="W69" s="434"/>
      <c r="X69" s="434"/>
      <c r="Y69" s="434"/>
      <c r="Z69" s="434"/>
      <c r="AA69" s="434"/>
    </row>
    <row r="70" spans="1:27" ht="15.75" customHeight="1" x14ac:dyDescent="0.35">
      <c r="A70" s="434"/>
      <c r="B70" s="434"/>
      <c r="C70" s="434"/>
      <c r="D70" s="434"/>
      <c r="E70" s="434"/>
      <c r="F70" s="434"/>
      <c r="G70" s="434"/>
      <c r="H70" s="434"/>
      <c r="I70" s="434"/>
      <c r="J70" s="434"/>
      <c r="K70" s="434"/>
      <c r="L70" s="434"/>
      <c r="M70" s="434"/>
      <c r="N70" s="434"/>
      <c r="O70" s="434"/>
      <c r="P70" s="434"/>
      <c r="Q70" s="434"/>
      <c r="R70" s="434"/>
      <c r="S70" s="434"/>
      <c r="T70" s="434"/>
      <c r="U70" s="434"/>
      <c r="V70" s="434"/>
      <c r="W70" s="434"/>
      <c r="X70" s="434"/>
      <c r="Y70" s="434"/>
      <c r="Z70" s="434"/>
      <c r="AA70" s="434"/>
    </row>
    <row r="71" spans="1:27" ht="15.75" customHeight="1" x14ac:dyDescent="0.35">
      <c r="A71" s="434"/>
      <c r="B71" s="434"/>
      <c r="C71" s="434"/>
      <c r="D71" s="434"/>
      <c r="E71" s="434"/>
      <c r="F71" s="434"/>
      <c r="G71" s="434"/>
      <c r="H71" s="434"/>
      <c r="I71" s="434"/>
      <c r="J71" s="434"/>
      <c r="K71" s="434"/>
      <c r="L71" s="434"/>
      <c r="M71" s="434"/>
      <c r="N71" s="434"/>
      <c r="O71" s="434"/>
      <c r="P71" s="434"/>
      <c r="Q71" s="434"/>
      <c r="R71" s="434"/>
      <c r="S71" s="434"/>
      <c r="T71" s="434"/>
      <c r="U71" s="434"/>
      <c r="V71" s="434"/>
      <c r="W71" s="434"/>
      <c r="X71" s="434"/>
      <c r="Y71" s="434"/>
      <c r="Z71" s="434"/>
      <c r="AA71" s="434"/>
    </row>
    <row r="72" spans="1:27" ht="15.75" customHeight="1" x14ac:dyDescent="0.35">
      <c r="A72" s="434"/>
      <c r="B72" s="434"/>
      <c r="C72" s="434"/>
      <c r="D72" s="434"/>
      <c r="E72" s="434"/>
      <c r="F72" s="434"/>
      <c r="G72" s="434"/>
      <c r="H72" s="434"/>
      <c r="I72" s="434"/>
      <c r="J72" s="434"/>
      <c r="K72" s="434"/>
      <c r="L72" s="434"/>
      <c r="M72" s="434"/>
      <c r="N72" s="434"/>
      <c r="O72" s="434"/>
      <c r="P72" s="434"/>
      <c r="Q72" s="434"/>
      <c r="R72" s="434"/>
      <c r="S72" s="434"/>
      <c r="T72" s="434"/>
      <c r="U72" s="434"/>
      <c r="V72" s="434"/>
      <c r="W72" s="434"/>
      <c r="X72" s="434"/>
      <c r="Y72" s="434"/>
      <c r="Z72" s="434"/>
      <c r="AA72" s="434"/>
    </row>
    <row r="73" spans="1:27" ht="15.75" customHeight="1" x14ac:dyDescent="0.35">
      <c r="A73" s="434"/>
      <c r="B73" s="434"/>
      <c r="C73" s="434"/>
      <c r="D73" s="434"/>
      <c r="E73" s="434"/>
      <c r="F73" s="434"/>
      <c r="G73" s="434"/>
      <c r="H73" s="434"/>
      <c r="I73" s="434"/>
      <c r="J73" s="434"/>
      <c r="K73" s="434"/>
      <c r="L73" s="434"/>
      <c r="M73" s="434"/>
      <c r="N73" s="434"/>
      <c r="O73" s="434"/>
      <c r="P73" s="434"/>
      <c r="Q73" s="434"/>
      <c r="R73" s="434"/>
      <c r="S73" s="434"/>
      <c r="T73" s="434"/>
      <c r="U73" s="434"/>
      <c r="V73" s="434"/>
      <c r="W73" s="434"/>
      <c r="X73" s="434"/>
      <c r="Y73" s="434"/>
      <c r="Z73" s="434"/>
      <c r="AA73" s="434"/>
    </row>
    <row r="74" spans="1:27" ht="15.75" customHeight="1" x14ac:dyDescent="0.35">
      <c r="A74" s="434"/>
      <c r="B74" s="434"/>
      <c r="C74" s="434"/>
      <c r="D74" s="434"/>
      <c r="E74" s="434"/>
      <c r="F74" s="434"/>
      <c r="G74" s="434"/>
      <c r="H74" s="434"/>
      <c r="I74" s="434"/>
      <c r="J74" s="434"/>
      <c r="K74" s="434"/>
      <c r="L74" s="434"/>
      <c r="M74" s="434"/>
      <c r="N74" s="434"/>
      <c r="O74" s="434"/>
      <c r="P74" s="434"/>
      <c r="Q74" s="434"/>
      <c r="R74" s="434"/>
      <c r="S74" s="434"/>
      <c r="T74" s="434"/>
      <c r="U74" s="434"/>
      <c r="V74" s="434"/>
      <c r="W74" s="434"/>
      <c r="X74" s="434"/>
      <c r="Y74" s="434"/>
      <c r="Z74" s="434"/>
      <c r="AA74" s="434"/>
    </row>
    <row r="75" spans="1:27" ht="15.75" customHeight="1" x14ac:dyDescent="0.35">
      <c r="A75" s="434"/>
      <c r="B75" s="434"/>
      <c r="C75" s="434"/>
      <c r="D75" s="434"/>
      <c r="E75" s="434"/>
      <c r="F75" s="434"/>
      <c r="G75" s="434"/>
      <c r="H75" s="434"/>
      <c r="I75" s="434"/>
      <c r="J75" s="434"/>
      <c r="K75" s="434"/>
      <c r="L75" s="434"/>
      <c r="M75" s="434"/>
      <c r="N75" s="434"/>
      <c r="O75" s="434"/>
      <c r="P75" s="434"/>
      <c r="Q75" s="434"/>
      <c r="R75" s="434"/>
      <c r="S75" s="434"/>
      <c r="T75" s="434"/>
      <c r="U75" s="434"/>
      <c r="V75" s="434"/>
      <c r="W75" s="434"/>
      <c r="X75" s="434"/>
      <c r="Y75" s="434"/>
      <c r="Z75" s="434"/>
      <c r="AA75" s="434"/>
    </row>
    <row r="76" spans="1:27" ht="15.75" customHeight="1" x14ac:dyDescent="0.35">
      <c r="A76" s="434"/>
      <c r="B76" s="434"/>
      <c r="C76" s="434"/>
      <c r="D76" s="434"/>
      <c r="E76" s="434"/>
      <c r="F76" s="434"/>
      <c r="G76" s="434"/>
      <c r="H76" s="434"/>
      <c r="I76" s="434"/>
      <c r="J76" s="434"/>
      <c r="K76" s="434"/>
      <c r="L76" s="434"/>
      <c r="M76" s="434"/>
      <c r="N76" s="434"/>
      <c r="O76" s="434"/>
      <c r="P76" s="434"/>
      <c r="Q76" s="434"/>
      <c r="R76" s="434"/>
      <c r="S76" s="434"/>
      <c r="T76" s="434"/>
      <c r="U76" s="434"/>
      <c r="V76" s="434"/>
      <c r="W76" s="434"/>
      <c r="X76" s="434"/>
      <c r="Y76" s="434"/>
      <c r="Z76" s="434"/>
      <c r="AA76" s="434"/>
    </row>
    <row r="77" spans="1:27" ht="15.75" customHeight="1" x14ac:dyDescent="0.35">
      <c r="A77" s="434"/>
      <c r="B77" s="434"/>
      <c r="C77" s="434"/>
      <c r="D77" s="434"/>
      <c r="E77" s="434"/>
      <c r="F77" s="434"/>
      <c r="G77" s="434"/>
      <c r="H77" s="434"/>
      <c r="I77" s="434"/>
      <c r="J77" s="434"/>
      <c r="K77" s="434"/>
      <c r="L77" s="434"/>
      <c r="M77" s="434"/>
      <c r="N77" s="434"/>
      <c r="O77" s="434"/>
      <c r="P77" s="434"/>
      <c r="Q77" s="434"/>
      <c r="R77" s="434"/>
      <c r="S77" s="434"/>
      <c r="T77" s="434"/>
      <c r="U77" s="434"/>
      <c r="V77" s="434"/>
      <c r="W77" s="434"/>
      <c r="X77" s="434"/>
      <c r="Y77" s="434"/>
      <c r="Z77" s="434"/>
      <c r="AA77" s="434"/>
    </row>
    <row r="78" spans="1:27" ht="15.75" customHeight="1" x14ac:dyDescent="0.35">
      <c r="A78" s="434"/>
      <c r="B78" s="434"/>
      <c r="C78" s="434"/>
      <c r="D78" s="434"/>
      <c r="E78" s="434"/>
      <c r="F78" s="434"/>
      <c r="G78" s="434"/>
      <c r="H78" s="434"/>
      <c r="I78" s="434"/>
      <c r="J78" s="434"/>
      <c r="K78" s="434"/>
      <c r="L78" s="434"/>
      <c r="M78" s="434"/>
      <c r="N78" s="434"/>
      <c r="O78" s="434"/>
      <c r="P78" s="434"/>
      <c r="Q78" s="434"/>
      <c r="R78" s="434"/>
      <c r="S78" s="434"/>
      <c r="T78" s="434"/>
      <c r="U78" s="434"/>
      <c r="V78" s="434"/>
      <c r="W78" s="434"/>
      <c r="X78" s="434"/>
      <c r="Y78" s="434"/>
      <c r="Z78" s="434"/>
      <c r="AA78" s="434"/>
    </row>
    <row r="79" spans="1:27" ht="15.75" customHeight="1" x14ac:dyDescent="0.35">
      <c r="A79" s="434"/>
      <c r="B79" s="434"/>
      <c r="C79" s="434"/>
      <c r="D79" s="434"/>
      <c r="E79" s="434"/>
      <c r="F79" s="434"/>
      <c r="G79" s="434"/>
      <c r="H79" s="434"/>
      <c r="I79" s="434"/>
      <c r="J79" s="434"/>
      <c r="K79" s="434"/>
      <c r="L79" s="434"/>
      <c r="M79" s="434"/>
      <c r="N79" s="434"/>
      <c r="O79" s="434"/>
      <c r="P79" s="434"/>
      <c r="Q79" s="434"/>
      <c r="R79" s="434"/>
      <c r="S79" s="434"/>
      <c r="T79" s="434"/>
      <c r="U79" s="434"/>
      <c r="V79" s="434"/>
      <c r="W79" s="434"/>
      <c r="X79" s="434"/>
      <c r="Y79" s="434"/>
      <c r="Z79" s="434"/>
      <c r="AA79" s="434"/>
    </row>
    <row r="80" spans="1:27" ht="15.75" customHeight="1" x14ac:dyDescent="0.35">
      <c r="A80" s="434"/>
      <c r="B80" s="434"/>
      <c r="C80" s="434"/>
      <c r="D80" s="434"/>
      <c r="E80" s="434"/>
      <c r="F80" s="434"/>
      <c r="G80" s="434"/>
      <c r="H80" s="434"/>
      <c r="I80" s="434"/>
      <c r="J80" s="434"/>
      <c r="K80" s="434"/>
      <c r="L80" s="434"/>
      <c r="M80" s="434"/>
      <c r="N80" s="434"/>
      <c r="O80" s="434"/>
      <c r="P80" s="434"/>
      <c r="Q80" s="434"/>
      <c r="R80" s="434"/>
      <c r="S80" s="434"/>
      <c r="T80" s="434"/>
      <c r="U80" s="434"/>
      <c r="V80" s="434"/>
      <c r="W80" s="434"/>
      <c r="X80" s="434"/>
      <c r="Y80" s="434"/>
      <c r="Z80" s="434"/>
      <c r="AA80" s="434"/>
    </row>
    <row r="81" spans="1:27" ht="15.75" customHeight="1" x14ac:dyDescent="0.35">
      <c r="A81" s="434"/>
      <c r="B81" s="434"/>
      <c r="C81" s="434"/>
      <c r="D81" s="434"/>
      <c r="E81" s="434"/>
      <c r="F81" s="434"/>
      <c r="G81" s="434"/>
      <c r="H81" s="434"/>
      <c r="I81" s="434"/>
      <c r="J81" s="434"/>
      <c r="K81" s="434"/>
      <c r="L81" s="434"/>
      <c r="M81" s="434"/>
      <c r="N81" s="434"/>
      <c r="O81" s="434"/>
      <c r="P81" s="434"/>
      <c r="Q81" s="434"/>
      <c r="R81" s="434"/>
      <c r="S81" s="434"/>
      <c r="T81" s="434"/>
      <c r="U81" s="434"/>
      <c r="V81" s="434"/>
      <c r="W81" s="434"/>
      <c r="X81" s="434"/>
      <c r="Y81" s="434"/>
      <c r="Z81" s="434"/>
      <c r="AA81" s="434"/>
    </row>
    <row r="82" spans="1:27" ht="15.75" customHeight="1" x14ac:dyDescent="0.35">
      <c r="A82" s="434"/>
      <c r="B82" s="434"/>
      <c r="C82" s="434"/>
      <c r="D82" s="434"/>
      <c r="E82" s="434"/>
      <c r="F82" s="434"/>
      <c r="G82" s="434"/>
      <c r="H82" s="434"/>
      <c r="I82" s="434"/>
      <c r="J82" s="434"/>
      <c r="K82" s="434"/>
      <c r="L82" s="434"/>
      <c r="M82" s="434"/>
      <c r="N82" s="434"/>
      <c r="O82" s="434"/>
      <c r="P82" s="434"/>
      <c r="Q82" s="434"/>
      <c r="R82" s="434"/>
      <c r="S82" s="434"/>
      <c r="T82" s="434"/>
      <c r="U82" s="434"/>
      <c r="V82" s="434"/>
      <c r="W82" s="434"/>
      <c r="X82" s="434"/>
      <c r="Y82" s="434"/>
      <c r="Z82" s="434"/>
      <c r="AA82" s="434"/>
    </row>
    <row r="83" spans="1:27" ht="15.75" customHeight="1" x14ac:dyDescent="0.35">
      <c r="A83" s="434"/>
      <c r="B83" s="434"/>
      <c r="C83" s="434"/>
      <c r="D83" s="434"/>
      <c r="E83" s="434"/>
      <c r="F83" s="434"/>
      <c r="G83" s="434"/>
      <c r="H83" s="434"/>
      <c r="I83" s="434"/>
      <c r="J83" s="434"/>
      <c r="K83" s="434"/>
      <c r="L83" s="434"/>
      <c r="M83" s="434"/>
      <c r="N83" s="434"/>
      <c r="O83" s="434"/>
      <c r="P83" s="434"/>
      <c r="Q83" s="434"/>
      <c r="R83" s="434"/>
      <c r="S83" s="434"/>
      <c r="T83" s="434"/>
      <c r="U83" s="434"/>
      <c r="V83" s="434"/>
      <c r="W83" s="434"/>
      <c r="X83" s="434"/>
      <c r="Y83" s="434"/>
      <c r="Z83" s="434"/>
      <c r="AA83" s="434"/>
    </row>
    <row r="84" spans="1:27" ht="15.75" customHeight="1" x14ac:dyDescent="0.35">
      <c r="A84" s="434"/>
      <c r="B84" s="434"/>
      <c r="C84" s="434"/>
      <c r="D84" s="434"/>
      <c r="E84" s="434"/>
      <c r="F84" s="434"/>
      <c r="G84" s="434"/>
      <c r="H84" s="434"/>
      <c r="I84" s="434"/>
      <c r="J84" s="434"/>
      <c r="K84" s="434"/>
      <c r="L84" s="434"/>
      <c r="M84" s="434"/>
      <c r="N84" s="434"/>
      <c r="O84" s="434"/>
      <c r="P84" s="434"/>
      <c r="Q84" s="434"/>
      <c r="R84" s="434"/>
      <c r="S84" s="434"/>
      <c r="T84" s="434"/>
      <c r="U84" s="434"/>
      <c r="V84" s="434"/>
      <c r="W84" s="434"/>
      <c r="X84" s="434"/>
      <c r="Y84" s="434"/>
      <c r="Z84" s="434"/>
      <c r="AA84" s="434"/>
    </row>
    <row r="85" spans="1:27" ht="15.75" customHeight="1" x14ac:dyDescent="0.35">
      <c r="A85" s="434"/>
      <c r="B85" s="434"/>
      <c r="C85" s="434"/>
      <c r="D85" s="434"/>
      <c r="E85" s="434"/>
      <c r="F85" s="434"/>
      <c r="G85" s="434"/>
      <c r="H85" s="434"/>
      <c r="I85" s="434"/>
      <c r="J85" s="434"/>
      <c r="K85" s="434"/>
      <c r="L85" s="434"/>
      <c r="M85" s="434"/>
      <c r="N85" s="434"/>
      <c r="O85" s="434"/>
      <c r="P85" s="434"/>
      <c r="Q85" s="434"/>
      <c r="R85" s="434"/>
      <c r="S85" s="434"/>
      <c r="T85" s="434"/>
      <c r="U85" s="434"/>
      <c r="V85" s="434"/>
      <c r="W85" s="434"/>
      <c r="X85" s="434"/>
      <c r="Y85" s="434"/>
      <c r="Z85" s="434"/>
      <c r="AA85" s="434"/>
    </row>
    <row r="86" spans="1:27" ht="15.75" customHeight="1" x14ac:dyDescent="0.35">
      <c r="A86" s="434"/>
      <c r="B86" s="434"/>
      <c r="C86" s="434"/>
      <c r="D86" s="434"/>
      <c r="E86" s="434"/>
      <c r="F86" s="434"/>
      <c r="G86" s="434"/>
      <c r="H86" s="434"/>
      <c r="I86" s="434"/>
      <c r="J86" s="434"/>
      <c r="K86" s="434"/>
      <c r="L86" s="434"/>
      <c r="M86" s="434"/>
      <c r="N86" s="434"/>
      <c r="O86" s="434"/>
      <c r="P86" s="434"/>
      <c r="Q86" s="434"/>
      <c r="R86" s="434"/>
      <c r="S86" s="434"/>
      <c r="T86" s="434"/>
      <c r="U86" s="434"/>
      <c r="V86" s="434"/>
      <c r="W86" s="434"/>
      <c r="X86" s="434"/>
      <c r="Y86" s="434"/>
      <c r="Z86" s="434"/>
      <c r="AA86" s="434"/>
    </row>
    <row r="87" spans="1:27" ht="15.75" customHeight="1" x14ac:dyDescent="0.35">
      <c r="A87" s="434"/>
      <c r="B87" s="434"/>
      <c r="C87" s="434"/>
      <c r="D87" s="434"/>
      <c r="E87" s="434"/>
      <c r="F87" s="434"/>
      <c r="G87" s="434"/>
      <c r="H87" s="434"/>
      <c r="I87" s="434"/>
      <c r="J87" s="434"/>
      <c r="K87" s="434"/>
      <c r="L87" s="434"/>
      <c r="M87" s="434"/>
      <c r="N87" s="434"/>
      <c r="O87" s="434"/>
      <c r="P87" s="434"/>
      <c r="Q87" s="434"/>
      <c r="R87" s="434"/>
      <c r="S87" s="434"/>
      <c r="T87" s="434"/>
      <c r="U87" s="434"/>
      <c r="V87" s="434"/>
      <c r="W87" s="434"/>
      <c r="X87" s="434"/>
      <c r="Y87" s="434"/>
      <c r="Z87" s="434"/>
      <c r="AA87" s="434"/>
    </row>
    <row r="88" spans="1:27" ht="15.75" customHeight="1" x14ac:dyDescent="0.35">
      <c r="A88" s="434"/>
      <c r="B88" s="434"/>
      <c r="C88" s="434"/>
      <c r="D88" s="434"/>
      <c r="E88" s="434"/>
      <c r="F88" s="434"/>
      <c r="G88" s="434"/>
      <c r="H88" s="434"/>
      <c r="I88" s="434"/>
      <c r="J88" s="434"/>
      <c r="K88" s="434"/>
      <c r="L88" s="434"/>
      <c r="M88" s="434"/>
      <c r="N88" s="434"/>
      <c r="O88" s="434"/>
      <c r="P88" s="434"/>
      <c r="Q88" s="434"/>
      <c r="R88" s="434"/>
      <c r="S88" s="434"/>
      <c r="T88" s="434"/>
      <c r="U88" s="434"/>
      <c r="V88" s="434"/>
      <c r="W88" s="434"/>
      <c r="X88" s="434"/>
      <c r="Y88" s="434"/>
      <c r="Z88" s="434"/>
      <c r="AA88" s="434"/>
    </row>
    <row r="89" spans="1:27" ht="15.75" customHeight="1" x14ac:dyDescent="0.35">
      <c r="A89" s="434"/>
      <c r="B89" s="434"/>
      <c r="C89" s="434"/>
      <c r="D89" s="434"/>
      <c r="E89" s="434"/>
      <c r="F89" s="434"/>
      <c r="G89" s="434"/>
      <c r="H89" s="434"/>
      <c r="I89" s="434"/>
      <c r="J89" s="434"/>
      <c r="K89" s="434"/>
      <c r="L89" s="434"/>
      <c r="M89" s="434"/>
      <c r="N89" s="434"/>
      <c r="O89" s="434"/>
      <c r="P89" s="434"/>
      <c r="Q89" s="434"/>
      <c r="R89" s="434"/>
      <c r="S89" s="434"/>
      <c r="T89" s="434"/>
      <c r="U89" s="434"/>
      <c r="V89" s="434"/>
      <c r="W89" s="434"/>
      <c r="X89" s="434"/>
      <c r="Y89" s="434"/>
      <c r="Z89" s="434"/>
      <c r="AA89" s="434"/>
    </row>
    <row r="90" spans="1:27" ht="15.75" customHeight="1" x14ac:dyDescent="0.35">
      <c r="A90" s="434"/>
      <c r="B90" s="434"/>
      <c r="C90" s="434"/>
      <c r="D90" s="434"/>
      <c r="E90" s="434"/>
      <c r="F90" s="434"/>
      <c r="G90" s="434"/>
      <c r="H90" s="434"/>
      <c r="I90" s="434"/>
      <c r="J90" s="434"/>
      <c r="K90" s="434"/>
      <c r="L90" s="434"/>
      <c r="M90" s="434"/>
      <c r="N90" s="434"/>
      <c r="O90" s="434"/>
      <c r="P90" s="434"/>
      <c r="Q90" s="434"/>
      <c r="R90" s="434"/>
      <c r="S90" s="434"/>
      <c r="T90" s="434"/>
      <c r="U90" s="434"/>
      <c r="V90" s="434"/>
      <c r="W90" s="434"/>
      <c r="X90" s="434"/>
      <c r="Y90" s="434"/>
      <c r="Z90" s="434"/>
      <c r="AA90" s="434"/>
    </row>
    <row r="91" spans="1:27" ht="15.75" customHeight="1" x14ac:dyDescent="0.35">
      <c r="A91" s="434"/>
      <c r="B91" s="434"/>
      <c r="C91" s="434"/>
      <c r="D91" s="434"/>
      <c r="E91" s="434"/>
      <c r="F91" s="434"/>
      <c r="G91" s="434"/>
      <c r="H91" s="434"/>
      <c r="I91" s="434"/>
      <c r="J91" s="434"/>
      <c r="K91" s="434"/>
      <c r="L91" s="434"/>
      <c r="M91" s="434"/>
      <c r="N91" s="434"/>
      <c r="O91" s="434"/>
      <c r="P91" s="434"/>
      <c r="Q91" s="434"/>
      <c r="R91" s="434"/>
      <c r="S91" s="434"/>
      <c r="T91" s="434"/>
      <c r="U91" s="434"/>
      <c r="V91" s="434"/>
      <c r="W91" s="434"/>
      <c r="X91" s="434"/>
      <c r="Y91" s="434"/>
      <c r="Z91" s="434"/>
      <c r="AA91" s="434"/>
    </row>
    <row r="92" spans="1:27" ht="15.75" customHeight="1" x14ac:dyDescent="0.35">
      <c r="A92" s="434"/>
      <c r="B92" s="434"/>
      <c r="C92" s="434"/>
      <c r="D92" s="434"/>
      <c r="E92" s="434"/>
      <c r="F92" s="434"/>
      <c r="G92" s="434"/>
      <c r="H92" s="434"/>
      <c r="I92" s="434"/>
      <c r="J92" s="434"/>
      <c r="K92" s="434"/>
      <c r="L92" s="434"/>
      <c r="M92" s="434"/>
      <c r="N92" s="434"/>
      <c r="O92" s="434"/>
      <c r="P92" s="434"/>
      <c r="Q92" s="434"/>
      <c r="R92" s="434"/>
      <c r="S92" s="434"/>
      <c r="T92" s="434"/>
      <c r="U92" s="434"/>
      <c r="V92" s="434"/>
      <c r="W92" s="434"/>
      <c r="X92" s="434"/>
      <c r="Y92" s="434"/>
      <c r="Z92" s="434"/>
      <c r="AA92" s="434"/>
    </row>
    <row r="93" spans="1:27" ht="15.75" customHeight="1" x14ac:dyDescent="0.35">
      <c r="A93" s="434"/>
      <c r="B93" s="434"/>
      <c r="C93" s="434"/>
      <c r="D93" s="434"/>
      <c r="E93" s="434"/>
      <c r="F93" s="434"/>
      <c r="G93" s="434"/>
      <c r="H93" s="434"/>
      <c r="I93" s="434"/>
      <c r="J93" s="434"/>
      <c r="K93" s="434"/>
      <c r="L93" s="434"/>
      <c r="M93" s="434"/>
      <c r="N93" s="434"/>
      <c r="O93" s="434"/>
      <c r="P93" s="434"/>
      <c r="Q93" s="434"/>
      <c r="R93" s="434"/>
      <c r="S93" s="434"/>
      <c r="T93" s="434"/>
      <c r="U93" s="434"/>
      <c r="V93" s="434"/>
      <c r="W93" s="434"/>
      <c r="X93" s="434"/>
      <c r="Y93" s="434"/>
      <c r="Z93" s="434"/>
      <c r="AA93" s="434"/>
    </row>
    <row r="94" spans="1:27" ht="15.75" customHeight="1" x14ac:dyDescent="0.35">
      <c r="A94" s="434"/>
      <c r="B94" s="434"/>
      <c r="C94" s="434"/>
      <c r="D94" s="434"/>
      <c r="E94" s="434"/>
      <c r="F94" s="434"/>
      <c r="G94" s="434"/>
      <c r="H94" s="434"/>
      <c r="I94" s="434"/>
      <c r="J94" s="434"/>
      <c r="K94" s="434"/>
      <c r="L94" s="434"/>
      <c r="M94" s="434"/>
      <c r="N94" s="434"/>
      <c r="O94" s="434"/>
      <c r="P94" s="434"/>
      <c r="Q94" s="434"/>
      <c r="R94" s="434"/>
      <c r="S94" s="434"/>
      <c r="T94" s="434"/>
      <c r="U94" s="434"/>
      <c r="V94" s="434"/>
      <c r="W94" s="434"/>
      <c r="X94" s="434"/>
      <c r="Y94" s="434"/>
      <c r="Z94" s="434"/>
      <c r="AA94" s="434"/>
    </row>
    <row r="95" spans="1:27" ht="15.75" customHeight="1" x14ac:dyDescent="0.35">
      <c r="A95" s="434"/>
      <c r="B95" s="434"/>
      <c r="C95" s="434"/>
      <c r="D95" s="434"/>
      <c r="E95" s="434"/>
      <c r="F95" s="434"/>
      <c r="G95" s="434"/>
      <c r="H95" s="434"/>
      <c r="I95" s="434"/>
      <c r="J95" s="434"/>
      <c r="K95" s="434"/>
      <c r="L95" s="434"/>
      <c r="M95" s="434"/>
      <c r="N95" s="434"/>
      <c r="O95" s="434"/>
      <c r="P95" s="434"/>
      <c r="Q95" s="434"/>
      <c r="R95" s="434"/>
      <c r="S95" s="434"/>
      <c r="T95" s="434"/>
      <c r="U95" s="434"/>
      <c r="V95" s="434"/>
      <c r="W95" s="434"/>
      <c r="X95" s="434"/>
      <c r="Y95" s="434"/>
      <c r="Z95" s="434"/>
      <c r="AA95" s="434"/>
    </row>
    <row r="96" spans="1:27" ht="15.75" customHeight="1" x14ac:dyDescent="0.35">
      <c r="A96" s="434"/>
      <c r="B96" s="434"/>
      <c r="C96" s="434"/>
      <c r="D96" s="434"/>
      <c r="E96" s="434"/>
      <c r="F96" s="434"/>
      <c r="G96" s="434"/>
      <c r="H96" s="434"/>
      <c r="I96" s="434"/>
      <c r="J96" s="434"/>
      <c r="K96" s="434"/>
      <c r="L96" s="434"/>
      <c r="M96" s="434"/>
      <c r="N96" s="434"/>
      <c r="O96" s="434"/>
      <c r="P96" s="434"/>
      <c r="Q96" s="434"/>
      <c r="R96" s="434"/>
      <c r="S96" s="434"/>
      <c r="T96" s="434"/>
      <c r="U96" s="434"/>
      <c r="V96" s="434"/>
      <c r="W96" s="434"/>
      <c r="X96" s="434"/>
      <c r="Y96" s="434"/>
      <c r="Z96" s="434"/>
      <c r="AA96" s="434"/>
    </row>
    <row r="97" spans="1:27" ht="15.75" customHeight="1" x14ac:dyDescent="0.35">
      <c r="A97" s="434"/>
      <c r="B97" s="434"/>
      <c r="C97" s="434"/>
      <c r="D97" s="434"/>
      <c r="E97" s="434"/>
      <c r="F97" s="434"/>
      <c r="G97" s="434"/>
      <c r="H97" s="434"/>
      <c r="I97" s="434"/>
      <c r="J97" s="434"/>
      <c r="K97" s="434"/>
      <c r="L97" s="434"/>
      <c r="M97" s="434"/>
      <c r="N97" s="434"/>
      <c r="O97" s="434"/>
      <c r="P97" s="434"/>
      <c r="Q97" s="434"/>
      <c r="R97" s="434"/>
      <c r="S97" s="434"/>
      <c r="T97" s="434"/>
      <c r="U97" s="434"/>
      <c r="V97" s="434"/>
      <c r="W97" s="434"/>
      <c r="X97" s="434"/>
      <c r="Y97" s="434"/>
      <c r="Z97" s="434"/>
      <c r="AA97" s="434"/>
    </row>
    <row r="98" spans="1:27" ht="15.75" customHeight="1" x14ac:dyDescent="0.35">
      <c r="A98" s="434"/>
      <c r="B98" s="434"/>
      <c r="C98" s="434"/>
      <c r="D98" s="434"/>
      <c r="E98" s="434"/>
      <c r="F98" s="434"/>
      <c r="G98" s="434"/>
      <c r="H98" s="434"/>
      <c r="I98" s="434"/>
      <c r="J98" s="434"/>
      <c r="K98" s="434"/>
      <c r="L98" s="434"/>
      <c r="M98" s="434"/>
      <c r="N98" s="434"/>
      <c r="O98" s="434"/>
      <c r="P98" s="434"/>
      <c r="Q98" s="434"/>
      <c r="R98" s="434"/>
      <c r="S98" s="434"/>
      <c r="T98" s="434"/>
      <c r="U98" s="434"/>
      <c r="V98" s="434"/>
      <c r="W98" s="434"/>
      <c r="X98" s="434"/>
      <c r="Y98" s="434"/>
      <c r="Z98" s="434"/>
      <c r="AA98" s="434"/>
    </row>
    <row r="99" spans="1:27" ht="15.75" customHeight="1" x14ac:dyDescent="0.35">
      <c r="A99" s="434"/>
      <c r="B99" s="434"/>
      <c r="C99" s="434"/>
      <c r="D99" s="434"/>
      <c r="E99" s="434"/>
      <c r="F99" s="434"/>
      <c r="G99" s="434"/>
      <c r="H99" s="434"/>
      <c r="I99" s="434"/>
      <c r="J99" s="434"/>
      <c r="K99" s="434"/>
      <c r="L99" s="434"/>
      <c r="M99" s="434"/>
      <c r="N99" s="434"/>
      <c r="O99" s="434"/>
      <c r="P99" s="434"/>
      <c r="Q99" s="434"/>
      <c r="R99" s="434"/>
      <c r="S99" s="434"/>
      <c r="T99" s="434"/>
      <c r="U99" s="434"/>
      <c r="V99" s="434"/>
      <c r="W99" s="434"/>
      <c r="X99" s="434"/>
      <c r="Y99" s="434"/>
      <c r="Z99" s="434"/>
      <c r="AA99" s="434"/>
    </row>
    <row r="100" spans="1:27" ht="15.75" customHeight="1" x14ac:dyDescent="0.35">
      <c r="A100" s="434"/>
      <c r="B100" s="434"/>
      <c r="C100" s="434"/>
      <c r="D100" s="434"/>
      <c r="E100" s="434"/>
      <c r="F100" s="434"/>
      <c r="G100" s="434"/>
      <c r="H100" s="434"/>
      <c r="I100" s="434"/>
      <c r="J100" s="434"/>
      <c r="K100" s="434"/>
      <c r="L100" s="434"/>
      <c r="M100" s="434"/>
      <c r="N100" s="434"/>
      <c r="O100" s="434"/>
      <c r="P100" s="434"/>
      <c r="Q100" s="434"/>
      <c r="R100" s="434"/>
      <c r="S100" s="434"/>
      <c r="T100" s="434"/>
      <c r="U100" s="434"/>
      <c r="V100" s="434"/>
      <c r="W100" s="434"/>
      <c r="X100" s="434"/>
      <c r="Y100" s="434"/>
      <c r="Z100" s="434"/>
      <c r="AA100" s="434"/>
    </row>
    <row r="101" spans="1:27" ht="15.75" customHeight="1" x14ac:dyDescent="0.35">
      <c r="A101" s="434"/>
      <c r="B101" s="434"/>
      <c r="C101" s="434"/>
      <c r="D101" s="434"/>
      <c r="E101" s="434"/>
      <c r="F101" s="434"/>
      <c r="G101" s="434"/>
      <c r="H101" s="434"/>
      <c r="I101" s="434"/>
      <c r="J101" s="434"/>
      <c r="K101" s="434"/>
      <c r="L101" s="434"/>
      <c r="M101" s="434"/>
      <c r="N101" s="434"/>
      <c r="O101" s="434"/>
      <c r="P101" s="434"/>
      <c r="Q101" s="434"/>
      <c r="R101" s="434"/>
      <c r="S101" s="434"/>
      <c r="T101" s="434"/>
      <c r="U101" s="434"/>
      <c r="V101" s="434"/>
      <c r="W101" s="434"/>
      <c r="X101" s="434"/>
      <c r="Y101" s="434"/>
      <c r="Z101" s="434"/>
      <c r="AA101" s="434"/>
    </row>
    <row r="102" spans="1:27" ht="15.75" customHeight="1" x14ac:dyDescent="0.35">
      <c r="A102" s="434"/>
      <c r="B102" s="434"/>
      <c r="C102" s="434"/>
      <c r="D102" s="434"/>
      <c r="E102" s="434"/>
      <c r="F102" s="434"/>
      <c r="G102" s="434"/>
      <c r="H102" s="434"/>
      <c r="I102" s="434"/>
      <c r="J102" s="434"/>
      <c r="K102" s="434"/>
      <c r="L102" s="434"/>
      <c r="M102" s="434"/>
      <c r="N102" s="434"/>
      <c r="O102" s="434"/>
      <c r="P102" s="434"/>
      <c r="Q102" s="434"/>
      <c r="R102" s="434"/>
      <c r="S102" s="434"/>
      <c r="T102" s="434"/>
      <c r="U102" s="434"/>
      <c r="V102" s="434"/>
      <c r="W102" s="434"/>
      <c r="X102" s="434"/>
      <c r="Y102" s="434"/>
      <c r="Z102" s="434"/>
      <c r="AA102" s="434"/>
    </row>
    <row r="103" spans="1:27" ht="15.75" customHeight="1" x14ac:dyDescent="0.35">
      <c r="A103" s="434"/>
      <c r="B103" s="434"/>
      <c r="C103" s="434"/>
      <c r="D103" s="434"/>
      <c r="E103" s="434"/>
      <c r="F103" s="434"/>
      <c r="G103" s="434"/>
      <c r="H103" s="434"/>
      <c r="I103" s="434"/>
      <c r="J103" s="434"/>
      <c r="K103" s="434"/>
      <c r="L103" s="434"/>
      <c r="M103" s="434"/>
      <c r="N103" s="434"/>
      <c r="O103" s="434"/>
      <c r="P103" s="434"/>
      <c r="Q103" s="434"/>
      <c r="R103" s="434"/>
      <c r="S103" s="434"/>
      <c r="T103" s="434"/>
      <c r="U103" s="434"/>
      <c r="V103" s="434"/>
      <c r="W103" s="434"/>
      <c r="X103" s="434"/>
      <c r="Y103" s="434"/>
      <c r="Z103" s="434"/>
      <c r="AA103" s="434"/>
    </row>
    <row r="104" spans="1:27" ht="15.75" customHeight="1" x14ac:dyDescent="0.35">
      <c r="A104" s="434"/>
      <c r="B104" s="434"/>
      <c r="C104" s="434"/>
      <c r="D104" s="434"/>
      <c r="E104" s="434"/>
      <c r="F104" s="434"/>
      <c r="G104" s="434"/>
      <c r="H104" s="434"/>
      <c r="I104" s="434"/>
      <c r="J104" s="434"/>
      <c r="K104" s="434"/>
      <c r="L104" s="434"/>
      <c r="M104" s="434"/>
      <c r="N104" s="434"/>
      <c r="O104" s="434"/>
      <c r="P104" s="434"/>
      <c r="Q104" s="434"/>
      <c r="R104" s="434"/>
      <c r="S104" s="434"/>
      <c r="T104" s="434"/>
      <c r="U104" s="434"/>
      <c r="V104" s="434"/>
      <c r="W104" s="434"/>
      <c r="X104" s="434"/>
      <c r="Y104" s="434"/>
      <c r="Z104" s="434"/>
      <c r="AA104" s="434"/>
    </row>
    <row r="105" spans="1:27" ht="15.75" customHeight="1" x14ac:dyDescent="0.35">
      <c r="A105" s="434"/>
      <c r="B105" s="434"/>
      <c r="C105" s="434"/>
      <c r="D105" s="434"/>
      <c r="E105" s="434"/>
      <c r="F105" s="434"/>
      <c r="G105" s="434"/>
      <c r="H105" s="434"/>
      <c r="I105" s="434"/>
      <c r="J105" s="434"/>
      <c r="K105" s="434"/>
      <c r="L105" s="434"/>
      <c r="M105" s="434"/>
      <c r="N105" s="434"/>
      <c r="O105" s="434"/>
      <c r="P105" s="434"/>
      <c r="Q105" s="434"/>
      <c r="R105" s="434"/>
      <c r="S105" s="434"/>
      <c r="T105" s="434"/>
      <c r="U105" s="434"/>
      <c r="V105" s="434"/>
      <c r="W105" s="434"/>
      <c r="X105" s="434"/>
      <c r="Y105" s="434"/>
      <c r="Z105" s="434"/>
      <c r="AA105" s="434"/>
    </row>
    <row r="106" spans="1:27" ht="15.75" customHeight="1" x14ac:dyDescent="0.35">
      <c r="A106" s="434"/>
      <c r="B106" s="434"/>
      <c r="C106" s="434"/>
      <c r="D106" s="434"/>
      <c r="E106" s="434"/>
      <c r="F106" s="434"/>
      <c r="G106" s="434"/>
      <c r="H106" s="434"/>
      <c r="I106" s="434"/>
      <c r="J106" s="434"/>
      <c r="K106" s="434"/>
      <c r="L106" s="434"/>
      <c r="M106" s="434"/>
      <c r="N106" s="434"/>
      <c r="O106" s="434"/>
      <c r="P106" s="434"/>
      <c r="Q106" s="434"/>
      <c r="R106" s="434"/>
      <c r="S106" s="434"/>
      <c r="T106" s="434"/>
      <c r="U106" s="434"/>
      <c r="V106" s="434"/>
      <c r="W106" s="434"/>
      <c r="X106" s="434"/>
      <c r="Y106" s="434"/>
      <c r="Z106" s="434"/>
      <c r="AA106" s="434"/>
    </row>
    <row r="107" spans="1:27" ht="15.75" customHeight="1" x14ac:dyDescent="0.35">
      <c r="A107" s="434"/>
      <c r="B107" s="434"/>
      <c r="C107" s="434"/>
      <c r="D107" s="434"/>
      <c r="E107" s="434"/>
      <c r="F107" s="434"/>
      <c r="G107" s="434"/>
      <c r="H107" s="434"/>
      <c r="I107" s="434"/>
      <c r="J107" s="434"/>
      <c r="K107" s="434"/>
      <c r="L107" s="434"/>
      <c r="M107" s="434"/>
      <c r="N107" s="434"/>
      <c r="O107" s="434"/>
      <c r="P107" s="434"/>
      <c r="Q107" s="434"/>
      <c r="R107" s="434"/>
      <c r="S107" s="434"/>
      <c r="T107" s="434"/>
      <c r="U107" s="434"/>
      <c r="V107" s="434"/>
      <c r="W107" s="434"/>
      <c r="X107" s="434"/>
      <c r="Y107" s="434"/>
      <c r="Z107" s="434"/>
      <c r="AA107" s="434"/>
    </row>
    <row r="108" spans="1:27" ht="15.75" customHeight="1" x14ac:dyDescent="0.35">
      <c r="A108" s="434"/>
      <c r="B108" s="434"/>
      <c r="C108" s="434"/>
      <c r="D108" s="434"/>
      <c r="E108" s="434"/>
      <c r="F108" s="434"/>
      <c r="G108" s="434"/>
      <c r="H108" s="434"/>
      <c r="I108" s="434"/>
      <c r="J108" s="434"/>
      <c r="K108" s="434"/>
      <c r="L108" s="434"/>
      <c r="M108" s="434"/>
      <c r="N108" s="434"/>
      <c r="O108" s="434"/>
      <c r="P108" s="434"/>
      <c r="Q108" s="434"/>
      <c r="R108" s="434"/>
      <c r="S108" s="434"/>
      <c r="T108" s="434"/>
      <c r="U108" s="434"/>
      <c r="V108" s="434"/>
      <c r="W108" s="434"/>
      <c r="X108" s="434"/>
      <c r="Y108" s="434"/>
      <c r="Z108" s="434"/>
      <c r="AA108" s="434"/>
    </row>
    <row r="109" spans="1:27" ht="15.75" customHeight="1" x14ac:dyDescent="0.35">
      <c r="A109" s="434"/>
      <c r="B109" s="434"/>
      <c r="C109" s="434"/>
      <c r="D109" s="434"/>
      <c r="E109" s="434"/>
      <c r="F109" s="434"/>
      <c r="G109" s="434"/>
      <c r="H109" s="434"/>
      <c r="I109" s="434"/>
      <c r="J109" s="434"/>
      <c r="K109" s="434"/>
      <c r="L109" s="434"/>
      <c r="M109" s="434"/>
      <c r="N109" s="434"/>
      <c r="O109" s="434"/>
      <c r="P109" s="434"/>
      <c r="Q109" s="434"/>
      <c r="R109" s="434"/>
      <c r="S109" s="434"/>
      <c r="T109" s="434"/>
      <c r="U109" s="434"/>
      <c r="V109" s="434"/>
      <c r="W109" s="434"/>
      <c r="X109" s="434"/>
      <c r="Y109" s="434"/>
      <c r="Z109" s="434"/>
      <c r="AA109" s="434"/>
    </row>
    <row r="110" spans="1:27" ht="15.75" customHeight="1" x14ac:dyDescent="0.35">
      <c r="A110" s="434"/>
      <c r="B110" s="434"/>
      <c r="C110" s="434"/>
      <c r="D110" s="434"/>
      <c r="E110" s="434"/>
      <c r="F110" s="434"/>
      <c r="G110" s="434"/>
      <c r="H110" s="434"/>
      <c r="I110" s="434"/>
      <c r="J110" s="434"/>
      <c r="K110" s="434"/>
      <c r="L110" s="434"/>
      <c r="M110" s="434"/>
      <c r="N110" s="434"/>
      <c r="O110" s="434"/>
      <c r="P110" s="434"/>
      <c r="Q110" s="434"/>
      <c r="R110" s="434"/>
      <c r="S110" s="434"/>
      <c r="T110" s="434"/>
      <c r="U110" s="434"/>
      <c r="V110" s="434"/>
      <c r="W110" s="434"/>
      <c r="X110" s="434"/>
      <c r="Y110" s="434"/>
      <c r="Z110" s="434"/>
      <c r="AA110" s="434"/>
    </row>
    <row r="111" spans="1:27" ht="15.75" customHeight="1" x14ac:dyDescent="0.35">
      <c r="A111" s="434"/>
      <c r="B111" s="434"/>
      <c r="C111" s="434"/>
      <c r="D111" s="434"/>
      <c r="E111" s="434"/>
      <c r="F111" s="434"/>
      <c r="G111" s="434"/>
      <c r="H111" s="434"/>
      <c r="I111" s="434"/>
      <c r="J111" s="434"/>
      <c r="K111" s="434"/>
      <c r="L111" s="434"/>
      <c r="M111" s="434"/>
      <c r="N111" s="434"/>
      <c r="O111" s="434"/>
      <c r="P111" s="434"/>
      <c r="Q111" s="434"/>
      <c r="R111" s="434"/>
      <c r="S111" s="434"/>
      <c r="T111" s="434"/>
      <c r="U111" s="434"/>
      <c r="V111" s="434"/>
      <c r="W111" s="434"/>
      <c r="X111" s="434"/>
      <c r="Y111" s="434"/>
      <c r="Z111" s="434"/>
      <c r="AA111" s="434"/>
    </row>
    <row r="112" spans="1:27" ht="15.75" customHeight="1" x14ac:dyDescent="0.35">
      <c r="A112" s="434"/>
      <c r="B112" s="434"/>
      <c r="C112" s="434"/>
      <c r="D112" s="434"/>
      <c r="E112" s="434"/>
      <c r="F112" s="434"/>
      <c r="G112" s="434"/>
      <c r="H112" s="434"/>
      <c r="I112" s="434"/>
      <c r="J112" s="434"/>
      <c r="K112" s="434"/>
      <c r="L112" s="434"/>
      <c r="M112" s="434"/>
      <c r="N112" s="434"/>
      <c r="O112" s="434"/>
      <c r="P112" s="434"/>
      <c r="Q112" s="434"/>
      <c r="R112" s="434"/>
      <c r="S112" s="434"/>
      <c r="T112" s="434"/>
      <c r="U112" s="434"/>
      <c r="V112" s="434"/>
      <c r="W112" s="434"/>
      <c r="X112" s="434"/>
      <c r="Y112" s="434"/>
      <c r="Z112" s="434"/>
      <c r="AA112" s="434"/>
    </row>
    <row r="113" spans="1:27" ht="15.75" customHeight="1" x14ac:dyDescent="0.35">
      <c r="A113" s="434"/>
      <c r="B113" s="434"/>
      <c r="C113" s="434"/>
      <c r="D113" s="434"/>
      <c r="E113" s="434"/>
      <c r="F113" s="434"/>
      <c r="G113" s="434"/>
      <c r="H113" s="434"/>
      <c r="I113" s="434"/>
      <c r="J113" s="434"/>
      <c r="K113" s="434"/>
      <c r="L113" s="434"/>
      <c r="M113" s="434"/>
      <c r="N113" s="434"/>
      <c r="O113" s="434"/>
      <c r="P113" s="434"/>
      <c r="Q113" s="434"/>
      <c r="R113" s="434"/>
      <c r="S113" s="434"/>
      <c r="T113" s="434"/>
      <c r="U113" s="434"/>
      <c r="V113" s="434"/>
      <c r="W113" s="434"/>
      <c r="X113" s="434"/>
      <c r="Y113" s="434"/>
      <c r="Z113" s="434"/>
      <c r="AA113" s="434"/>
    </row>
    <row r="114" spans="1:27" ht="15.75" customHeight="1" x14ac:dyDescent="0.35">
      <c r="A114" s="434"/>
      <c r="B114" s="434"/>
      <c r="C114" s="434"/>
      <c r="D114" s="434"/>
      <c r="E114" s="434"/>
      <c r="F114" s="434"/>
      <c r="G114" s="434"/>
      <c r="H114" s="434"/>
      <c r="I114" s="434"/>
      <c r="J114" s="434"/>
      <c r="K114" s="434"/>
      <c r="L114" s="434"/>
      <c r="M114" s="434"/>
      <c r="N114" s="434"/>
      <c r="O114" s="434"/>
      <c r="P114" s="434"/>
      <c r="Q114" s="434"/>
      <c r="R114" s="434"/>
      <c r="S114" s="434"/>
      <c r="T114" s="434"/>
      <c r="U114" s="434"/>
      <c r="V114" s="434"/>
      <c r="W114" s="434"/>
      <c r="X114" s="434"/>
      <c r="Y114" s="434"/>
      <c r="Z114" s="434"/>
      <c r="AA114" s="434"/>
    </row>
    <row r="115" spans="1:27" ht="15.75" customHeight="1" x14ac:dyDescent="0.35">
      <c r="A115" s="434"/>
      <c r="B115" s="434"/>
      <c r="C115" s="434"/>
      <c r="D115" s="434"/>
      <c r="E115" s="434"/>
      <c r="F115" s="434"/>
      <c r="G115" s="434"/>
      <c r="H115" s="434"/>
      <c r="I115" s="434"/>
      <c r="J115" s="434"/>
      <c r="K115" s="434"/>
      <c r="L115" s="434"/>
      <c r="M115" s="434"/>
      <c r="N115" s="434"/>
      <c r="O115" s="434"/>
      <c r="P115" s="434"/>
      <c r="Q115" s="434"/>
      <c r="R115" s="434"/>
      <c r="S115" s="434"/>
      <c r="T115" s="434"/>
      <c r="U115" s="434"/>
      <c r="V115" s="434"/>
      <c r="W115" s="434"/>
      <c r="X115" s="434"/>
      <c r="Y115" s="434"/>
      <c r="Z115" s="434"/>
      <c r="AA115" s="434"/>
    </row>
    <row r="116" spans="1:27" ht="15.75" customHeight="1" x14ac:dyDescent="0.35">
      <c r="A116" s="434"/>
      <c r="B116" s="434"/>
      <c r="C116" s="434"/>
      <c r="D116" s="434"/>
      <c r="E116" s="434"/>
      <c r="F116" s="434"/>
      <c r="G116" s="434"/>
      <c r="H116" s="434"/>
      <c r="I116" s="434"/>
      <c r="J116" s="434"/>
      <c r="K116" s="434"/>
      <c r="L116" s="434"/>
      <c r="M116" s="434"/>
      <c r="N116" s="434"/>
      <c r="O116" s="434"/>
      <c r="P116" s="434"/>
      <c r="Q116" s="434"/>
      <c r="R116" s="434"/>
      <c r="S116" s="434"/>
      <c r="T116" s="434"/>
      <c r="U116" s="434"/>
      <c r="V116" s="434"/>
      <c r="W116" s="434"/>
      <c r="X116" s="434"/>
      <c r="Y116" s="434"/>
      <c r="Z116" s="434"/>
      <c r="AA116" s="434"/>
    </row>
    <row r="117" spans="1:27" ht="15.75" customHeight="1" x14ac:dyDescent="0.35">
      <c r="A117" s="434"/>
      <c r="B117" s="434"/>
      <c r="C117" s="434"/>
      <c r="D117" s="434"/>
      <c r="E117" s="434"/>
      <c r="F117" s="434"/>
      <c r="G117" s="434"/>
      <c r="H117" s="434"/>
      <c r="I117" s="434"/>
      <c r="J117" s="434"/>
      <c r="K117" s="434"/>
      <c r="L117" s="434"/>
      <c r="M117" s="434"/>
      <c r="N117" s="434"/>
      <c r="O117" s="434"/>
      <c r="P117" s="434"/>
      <c r="Q117" s="434"/>
      <c r="R117" s="434"/>
      <c r="S117" s="434"/>
      <c r="T117" s="434"/>
      <c r="U117" s="434"/>
      <c r="V117" s="434"/>
      <c r="W117" s="434"/>
      <c r="X117" s="434"/>
      <c r="Y117" s="434"/>
      <c r="Z117" s="434"/>
      <c r="AA117" s="434"/>
    </row>
    <row r="118" spans="1:27" ht="15.75" customHeight="1" x14ac:dyDescent="0.35">
      <c r="A118" s="434"/>
      <c r="B118" s="434"/>
      <c r="C118" s="434"/>
      <c r="D118" s="434"/>
      <c r="E118" s="434"/>
      <c r="F118" s="434"/>
      <c r="G118" s="434"/>
      <c r="H118" s="434"/>
      <c r="I118" s="434"/>
      <c r="J118" s="434"/>
      <c r="K118" s="434"/>
      <c r="L118" s="434"/>
      <c r="M118" s="434"/>
      <c r="N118" s="434"/>
      <c r="O118" s="434"/>
      <c r="P118" s="434"/>
      <c r="Q118" s="434"/>
      <c r="R118" s="434"/>
      <c r="S118" s="434"/>
      <c r="T118" s="434"/>
      <c r="U118" s="434"/>
      <c r="V118" s="434"/>
      <c r="W118" s="434"/>
      <c r="X118" s="434"/>
      <c r="Y118" s="434"/>
      <c r="Z118" s="434"/>
      <c r="AA118" s="434"/>
    </row>
    <row r="119" spans="1:27" ht="15.75" customHeight="1" x14ac:dyDescent="0.35">
      <c r="A119" s="434"/>
      <c r="B119" s="434"/>
      <c r="C119" s="434"/>
      <c r="D119" s="434"/>
      <c r="E119" s="434"/>
      <c r="F119" s="434"/>
      <c r="G119" s="434"/>
      <c r="H119" s="434"/>
      <c r="I119" s="434"/>
      <c r="J119" s="434"/>
      <c r="K119" s="434"/>
      <c r="L119" s="434"/>
      <c r="M119" s="434"/>
      <c r="N119" s="434"/>
      <c r="O119" s="434"/>
      <c r="P119" s="434"/>
      <c r="Q119" s="434"/>
      <c r="R119" s="434"/>
      <c r="S119" s="434"/>
      <c r="T119" s="434"/>
      <c r="U119" s="434"/>
      <c r="V119" s="434"/>
      <c r="W119" s="434"/>
      <c r="X119" s="434"/>
      <c r="Y119" s="434"/>
      <c r="Z119" s="434"/>
      <c r="AA119" s="434"/>
    </row>
    <row r="120" spans="1:27" ht="15.75" customHeight="1" x14ac:dyDescent="0.35">
      <c r="A120" s="434"/>
      <c r="B120" s="434"/>
      <c r="C120" s="434"/>
      <c r="D120" s="434"/>
      <c r="E120" s="434"/>
      <c r="F120" s="434"/>
      <c r="G120" s="434"/>
      <c r="H120" s="434"/>
      <c r="I120" s="434"/>
      <c r="J120" s="434"/>
      <c r="K120" s="434"/>
      <c r="L120" s="434"/>
      <c r="M120" s="434"/>
      <c r="N120" s="434"/>
      <c r="O120" s="434"/>
      <c r="P120" s="434"/>
      <c r="Q120" s="434"/>
      <c r="R120" s="434"/>
      <c r="S120" s="434"/>
      <c r="T120" s="434"/>
      <c r="U120" s="434"/>
      <c r="V120" s="434"/>
      <c r="W120" s="434"/>
      <c r="X120" s="434"/>
      <c r="Y120" s="434"/>
      <c r="Z120" s="434"/>
      <c r="AA120" s="434"/>
    </row>
    <row r="121" spans="1:27" ht="15.75" customHeight="1" x14ac:dyDescent="0.35">
      <c r="A121" s="434"/>
      <c r="B121" s="434"/>
      <c r="C121" s="434"/>
      <c r="D121" s="434"/>
      <c r="E121" s="434"/>
      <c r="F121" s="434"/>
      <c r="G121" s="434"/>
      <c r="H121" s="434"/>
      <c r="I121" s="434"/>
      <c r="J121" s="434"/>
      <c r="K121" s="434"/>
      <c r="L121" s="434"/>
      <c r="M121" s="434"/>
      <c r="N121" s="434"/>
      <c r="O121" s="434"/>
      <c r="P121" s="434"/>
      <c r="Q121" s="434"/>
      <c r="R121" s="434"/>
      <c r="S121" s="434"/>
      <c r="T121" s="434"/>
      <c r="U121" s="434"/>
      <c r="V121" s="434"/>
      <c r="W121" s="434"/>
      <c r="X121" s="434"/>
      <c r="Y121" s="434"/>
      <c r="Z121" s="434"/>
      <c r="AA121" s="434"/>
    </row>
    <row r="122" spans="1:27" ht="15.75" customHeight="1" x14ac:dyDescent="0.35">
      <c r="A122" s="434"/>
      <c r="B122" s="434"/>
      <c r="C122" s="434"/>
      <c r="D122" s="434"/>
      <c r="E122" s="434"/>
      <c r="F122" s="434"/>
      <c r="G122" s="434"/>
      <c r="H122" s="434"/>
      <c r="I122" s="434"/>
      <c r="J122" s="434"/>
      <c r="K122" s="434"/>
      <c r="L122" s="434"/>
      <c r="M122" s="434"/>
      <c r="N122" s="434"/>
      <c r="O122" s="434"/>
      <c r="P122" s="434"/>
      <c r="Q122" s="434"/>
      <c r="R122" s="434"/>
      <c r="S122" s="434"/>
      <c r="T122" s="434"/>
      <c r="U122" s="434"/>
      <c r="V122" s="434"/>
      <c r="W122" s="434"/>
      <c r="X122" s="434"/>
      <c r="Y122" s="434"/>
      <c r="Z122" s="434"/>
      <c r="AA122" s="434"/>
    </row>
    <row r="123" spans="1:27" ht="15.75" customHeight="1" x14ac:dyDescent="0.35">
      <c r="A123" s="434"/>
      <c r="B123" s="434"/>
      <c r="C123" s="434"/>
      <c r="D123" s="434"/>
      <c r="E123" s="434"/>
      <c r="F123" s="434"/>
      <c r="G123" s="434"/>
      <c r="H123" s="434"/>
      <c r="I123" s="434"/>
      <c r="J123" s="434"/>
      <c r="K123" s="434"/>
      <c r="L123" s="434"/>
      <c r="M123" s="434"/>
      <c r="N123" s="434"/>
      <c r="O123" s="434"/>
      <c r="P123" s="434"/>
      <c r="Q123" s="434"/>
      <c r="R123" s="434"/>
      <c r="S123" s="434"/>
      <c r="T123" s="434"/>
      <c r="U123" s="434"/>
      <c r="V123" s="434"/>
      <c r="W123" s="434"/>
      <c r="X123" s="434"/>
      <c r="Y123" s="434"/>
      <c r="Z123" s="434"/>
      <c r="AA123" s="434"/>
    </row>
    <row r="124" spans="1:27" ht="15.75" customHeight="1" x14ac:dyDescent="0.35">
      <c r="A124" s="434"/>
      <c r="B124" s="434"/>
      <c r="C124" s="434"/>
      <c r="D124" s="434"/>
      <c r="E124" s="434"/>
      <c r="F124" s="434"/>
      <c r="G124" s="434"/>
      <c r="H124" s="434"/>
      <c r="I124" s="434"/>
      <c r="J124" s="434"/>
      <c r="K124" s="434"/>
      <c r="L124" s="434"/>
      <c r="M124" s="434"/>
      <c r="N124" s="434"/>
      <c r="O124" s="434"/>
      <c r="P124" s="434"/>
      <c r="Q124" s="434"/>
      <c r="R124" s="434"/>
      <c r="S124" s="434"/>
      <c r="T124" s="434"/>
      <c r="U124" s="434"/>
      <c r="V124" s="434"/>
      <c r="W124" s="434"/>
      <c r="X124" s="434"/>
      <c r="Y124" s="434"/>
      <c r="Z124" s="434"/>
      <c r="AA124" s="434"/>
    </row>
    <row r="125" spans="1:27" ht="15.75" customHeight="1" x14ac:dyDescent="0.35">
      <c r="A125" s="434"/>
      <c r="B125" s="434"/>
      <c r="C125" s="434"/>
      <c r="D125" s="434"/>
      <c r="E125" s="434"/>
      <c r="F125" s="434"/>
      <c r="G125" s="434"/>
      <c r="H125" s="434"/>
      <c r="I125" s="434"/>
      <c r="J125" s="434"/>
      <c r="K125" s="434"/>
      <c r="L125" s="434"/>
      <c r="M125" s="434"/>
      <c r="N125" s="434"/>
      <c r="O125" s="434"/>
      <c r="P125" s="434"/>
      <c r="Q125" s="434"/>
      <c r="R125" s="434"/>
      <c r="S125" s="434"/>
      <c r="T125" s="434"/>
      <c r="U125" s="434"/>
      <c r="V125" s="434"/>
      <c r="W125" s="434"/>
      <c r="X125" s="434"/>
      <c r="Y125" s="434"/>
      <c r="Z125" s="434"/>
      <c r="AA125" s="434"/>
    </row>
    <row r="126" spans="1:27" ht="15.75" customHeight="1" x14ac:dyDescent="0.35">
      <c r="A126" s="434"/>
      <c r="B126" s="434"/>
      <c r="C126" s="434"/>
      <c r="D126" s="434"/>
      <c r="E126" s="434"/>
      <c r="F126" s="434"/>
      <c r="G126" s="434"/>
      <c r="H126" s="434"/>
      <c r="I126" s="434"/>
      <c r="J126" s="434"/>
      <c r="K126" s="434"/>
      <c r="L126" s="434"/>
      <c r="M126" s="434"/>
      <c r="N126" s="434"/>
      <c r="O126" s="434"/>
      <c r="P126" s="434"/>
      <c r="Q126" s="434"/>
      <c r="R126" s="434"/>
      <c r="S126" s="434"/>
      <c r="T126" s="434"/>
      <c r="U126" s="434"/>
      <c r="V126" s="434"/>
      <c r="W126" s="434"/>
      <c r="X126" s="434"/>
      <c r="Y126" s="434"/>
      <c r="Z126" s="434"/>
      <c r="AA126" s="434"/>
    </row>
    <row r="127" spans="1:27" ht="15.75" customHeight="1" x14ac:dyDescent="0.35">
      <c r="A127" s="434"/>
      <c r="B127" s="434"/>
      <c r="C127" s="434"/>
      <c r="D127" s="434"/>
      <c r="E127" s="434"/>
      <c r="F127" s="434"/>
      <c r="G127" s="434"/>
      <c r="H127" s="434"/>
      <c r="I127" s="434"/>
      <c r="J127" s="434"/>
      <c r="K127" s="434"/>
      <c r="L127" s="434"/>
      <c r="M127" s="434"/>
      <c r="N127" s="434"/>
      <c r="O127" s="434"/>
      <c r="P127" s="434"/>
      <c r="Q127" s="434"/>
      <c r="R127" s="434"/>
      <c r="S127" s="434"/>
      <c r="T127" s="434"/>
      <c r="U127" s="434"/>
      <c r="V127" s="434"/>
      <c r="W127" s="434"/>
      <c r="X127" s="434"/>
      <c r="Y127" s="434"/>
      <c r="Z127" s="434"/>
      <c r="AA127" s="434"/>
    </row>
    <row r="128" spans="1:27" ht="15.75" customHeight="1" x14ac:dyDescent="0.35">
      <c r="A128" s="434"/>
      <c r="B128" s="434"/>
      <c r="C128" s="434"/>
      <c r="D128" s="434"/>
      <c r="E128" s="434"/>
      <c r="F128" s="434"/>
      <c r="G128" s="434"/>
      <c r="H128" s="434"/>
      <c r="I128" s="434"/>
      <c r="J128" s="434"/>
      <c r="K128" s="434"/>
      <c r="L128" s="434"/>
      <c r="M128" s="434"/>
      <c r="N128" s="434"/>
      <c r="O128" s="434"/>
      <c r="P128" s="434"/>
      <c r="Q128" s="434"/>
      <c r="R128" s="434"/>
      <c r="S128" s="434"/>
      <c r="T128" s="434"/>
      <c r="U128" s="434"/>
      <c r="V128" s="434"/>
      <c r="W128" s="434"/>
      <c r="X128" s="434"/>
      <c r="Y128" s="434"/>
      <c r="Z128" s="434"/>
      <c r="AA128" s="434"/>
    </row>
    <row r="129" spans="1:27" ht="15.75" customHeight="1" x14ac:dyDescent="0.35">
      <c r="A129" s="434"/>
      <c r="B129" s="434"/>
      <c r="C129" s="434"/>
      <c r="D129" s="434"/>
      <c r="E129" s="434"/>
      <c r="F129" s="434"/>
      <c r="G129" s="434"/>
      <c r="H129" s="434"/>
      <c r="I129" s="434"/>
      <c r="J129" s="434"/>
      <c r="K129" s="434"/>
      <c r="L129" s="434"/>
      <c r="M129" s="434"/>
      <c r="N129" s="434"/>
      <c r="O129" s="434"/>
      <c r="P129" s="434"/>
      <c r="Q129" s="434"/>
      <c r="R129" s="434"/>
      <c r="S129" s="434"/>
      <c r="T129" s="434"/>
      <c r="U129" s="434"/>
      <c r="V129" s="434"/>
      <c r="W129" s="434"/>
      <c r="X129" s="434"/>
      <c r="Y129" s="434"/>
      <c r="Z129" s="434"/>
      <c r="AA129" s="434"/>
    </row>
    <row r="130" spans="1:27" ht="15.75" customHeight="1" x14ac:dyDescent="0.35">
      <c r="A130" s="434"/>
      <c r="B130" s="434"/>
      <c r="C130" s="434"/>
      <c r="D130" s="434"/>
      <c r="E130" s="434"/>
      <c r="F130" s="434"/>
      <c r="G130" s="434"/>
      <c r="H130" s="434"/>
      <c r="I130" s="434"/>
      <c r="J130" s="434"/>
      <c r="K130" s="434"/>
      <c r="L130" s="434"/>
      <c r="M130" s="434"/>
      <c r="N130" s="434"/>
      <c r="O130" s="434"/>
      <c r="P130" s="434"/>
      <c r="Q130" s="434"/>
      <c r="R130" s="434"/>
      <c r="S130" s="434"/>
      <c r="T130" s="434"/>
      <c r="U130" s="434"/>
      <c r="V130" s="434"/>
      <c r="W130" s="434"/>
      <c r="X130" s="434"/>
      <c r="Y130" s="434"/>
      <c r="Z130" s="434"/>
      <c r="AA130" s="434"/>
    </row>
    <row r="131" spans="1:27" ht="15.75" customHeight="1" x14ac:dyDescent="0.35">
      <c r="A131" s="434"/>
      <c r="B131" s="434"/>
      <c r="C131" s="434"/>
      <c r="D131" s="434"/>
      <c r="E131" s="434"/>
      <c r="F131" s="434"/>
      <c r="G131" s="434"/>
      <c r="H131" s="434"/>
      <c r="I131" s="434"/>
      <c r="J131" s="434"/>
      <c r="K131" s="434"/>
      <c r="L131" s="434"/>
      <c r="M131" s="434"/>
      <c r="N131" s="434"/>
      <c r="O131" s="434"/>
      <c r="P131" s="434"/>
      <c r="Q131" s="434"/>
      <c r="R131" s="434"/>
      <c r="S131" s="434"/>
      <c r="T131" s="434"/>
      <c r="U131" s="434"/>
      <c r="V131" s="434"/>
      <c r="W131" s="434"/>
      <c r="X131" s="434"/>
      <c r="Y131" s="434"/>
      <c r="Z131" s="434"/>
      <c r="AA131" s="434"/>
    </row>
    <row r="132" spans="1:27" ht="15.75" customHeight="1" x14ac:dyDescent="0.35">
      <c r="A132" s="434"/>
      <c r="B132" s="434"/>
      <c r="C132" s="434"/>
      <c r="D132" s="434"/>
      <c r="E132" s="434"/>
      <c r="F132" s="434"/>
      <c r="G132" s="434"/>
      <c r="H132" s="434"/>
      <c r="I132" s="434"/>
      <c r="J132" s="434"/>
      <c r="K132" s="434"/>
      <c r="L132" s="434"/>
      <c r="M132" s="434"/>
      <c r="N132" s="434"/>
      <c r="O132" s="434"/>
      <c r="P132" s="434"/>
      <c r="Q132" s="434"/>
      <c r="R132" s="434"/>
      <c r="S132" s="434"/>
      <c r="T132" s="434"/>
      <c r="U132" s="434"/>
      <c r="V132" s="434"/>
      <c r="W132" s="434"/>
      <c r="X132" s="434"/>
      <c r="Y132" s="434"/>
      <c r="Z132" s="434"/>
      <c r="AA132" s="434"/>
    </row>
    <row r="133" spans="1:27" ht="15.75" customHeight="1" x14ac:dyDescent="0.35">
      <c r="A133" s="434"/>
      <c r="B133" s="434"/>
      <c r="C133" s="434"/>
      <c r="D133" s="434"/>
      <c r="E133" s="434"/>
      <c r="F133" s="434"/>
      <c r="G133" s="434"/>
      <c r="H133" s="434"/>
      <c r="I133" s="434"/>
      <c r="J133" s="434"/>
      <c r="K133" s="434"/>
      <c r="L133" s="434"/>
      <c r="M133" s="434"/>
      <c r="N133" s="434"/>
      <c r="O133" s="434"/>
      <c r="P133" s="434"/>
      <c r="Q133" s="434"/>
      <c r="R133" s="434"/>
      <c r="S133" s="434"/>
      <c r="T133" s="434"/>
      <c r="U133" s="434"/>
      <c r="V133" s="434"/>
      <c r="W133" s="434"/>
      <c r="X133" s="434"/>
      <c r="Y133" s="434"/>
      <c r="Z133" s="434"/>
      <c r="AA133" s="434"/>
    </row>
    <row r="134" spans="1:27" ht="15.75" customHeight="1" x14ac:dyDescent="0.35">
      <c r="A134" s="434"/>
      <c r="B134" s="434"/>
      <c r="C134" s="434"/>
      <c r="D134" s="434"/>
      <c r="E134" s="434"/>
      <c r="F134" s="434"/>
      <c r="G134" s="434"/>
      <c r="H134" s="434"/>
      <c r="I134" s="434"/>
      <c r="J134" s="434"/>
      <c r="K134" s="434"/>
      <c r="L134" s="434"/>
      <c r="M134" s="434"/>
      <c r="N134" s="434"/>
      <c r="O134" s="434"/>
      <c r="P134" s="434"/>
      <c r="Q134" s="434"/>
      <c r="R134" s="434"/>
      <c r="S134" s="434"/>
      <c r="T134" s="434"/>
      <c r="U134" s="434"/>
      <c r="V134" s="434"/>
      <c r="W134" s="434"/>
      <c r="X134" s="434"/>
      <c r="Y134" s="434"/>
      <c r="Z134" s="434"/>
      <c r="AA134" s="434"/>
    </row>
    <row r="135" spans="1:27" ht="15.75" customHeight="1" x14ac:dyDescent="0.35">
      <c r="A135" s="434"/>
      <c r="B135" s="434"/>
      <c r="C135" s="434"/>
      <c r="D135" s="434"/>
      <c r="E135" s="434"/>
      <c r="F135" s="434"/>
      <c r="G135" s="434"/>
      <c r="H135" s="434"/>
      <c r="I135" s="434"/>
      <c r="J135" s="434"/>
      <c r="K135" s="434"/>
      <c r="L135" s="434"/>
      <c r="M135" s="434"/>
      <c r="N135" s="434"/>
      <c r="O135" s="434"/>
      <c r="P135" s="434"/>
      <c r="Q135" s="434"/>
      <c r="R135" s="434"/>
      <c r="S135" s="434"/>
      <c r="T135" s="434"/>
      <c r="U135" s="434"/>
      <c r="V135" s="434"/>
      <c r="W135" s="434"/>
      <c r="X135" s="434"/>
      <c r="Y135" s="434"/>
      <c r="Z135" s="434"/>
      <c r="AA135" s="434"/>
    </row>
    <row r="136" spans="1:27" ht="15.75" customHeight="1" x14ac:dyDescent="0.35">
      <c r="A136" s="434"/>
      <c r="B136" s="434"/>
      <c r="C136" s="434"/>
      <c r="D136" s="434"/>
      <c r="E136" s="434"/>
      <c r="F136" s="434"/>
      <c r="G136" s="434"/>
      <c r="H136" s="434"/>
      <c r="I136" s="434"/>
      <c r="J136" s="434"/>
      <c r="K136" s="434"/>
      <c r="L136" s="434"/>
      <c r="M136" s="434"/>
      <c r="N136" s="434"/>
      <c r="O136" s="434"/>
      <c r="P136" s="434"/>
      <c r="Q136" s="434"/>
      <c r="R136" s="434"/>
      <c r="S136" s="434"/>
      <c r="T136" s="434"/>
      <c r="U136" s="434"/>
      <c r="V136" s="434"/>
      <c r="W136" s="434"/>
      <c r="X136" s="434"/>
      <c r="Y136" s="434"/>
      <c r="Z136" s="434"/>
      <c r="AA136" s="434"/>
    </row>
    <row r="137" spans="1:27" ht="15.75" customHeight="1" x14ac:dyDescent="0.35">
      <c r="A137" s="434"/>
      <c r="B137" s="434"/>
      <c r="C137" s="434"/>
      <c r="D137" s="434"/>
      <c r="E137" s="434"/>
      <c r="F137" s="434"/>
      <c r="G137" s="434"/>
      <c r="H137" s="434"/>
      <c r="I137" s="434"/>
      <c r="J137" s="434"/>
      <c r="K137" s="434"/>
      <c r="L137" s="434"/>
      <c r="M137" s="434"/>
      <c r="N137" s="434"/>
      <c r="O137" s="434"/>
      <c r="P137" s="434"/>
      <c r="Q137" s="434"/>
      <c r="R137" s="434"/>
      <c r="S137" s="434"/>
      <c r="T137" s="434"/>
      <c r="U137" s="434"/>
      <c r="V137" s="434"/>
      <c r="W137" s="434"/>
      <c r="X137" s="434"/>
      <c r="Y137" s="434"/>
      <c r="Z137" s="434"/>
      <c r="AA137" s="434"/>
    </row>
    <row r="138" spans="1:27" ht="15.75" customHeight="1" x14ac:dyDescent="0.35">
      <c r="A138" s="434"/>
      <c r="B138" s="434"/>
      <c r="C138" s="434"/>
      <c r="D138" s="434"/>
      <c r="E138" s="434"/>
      <c r="F138" s="434"/>
      <c r="G138" s="434"/>
      <c r="H138" s="434"/>
      <c r="I138" s="434"/>
      <c r="J138" s="434"/>
      <c r="K138" s="434"/>
      <c r="L138" s="434"/>
      <c r="M138" s="434"/>
      <c r="N138" s="434"/>
      <c r="O138" s="434"/>
      <c r="P138" s="434"/>
      <c r="Q138" s="434"/>
      <c r="R138" s="434"/>
      <c r="S138" s="434"/>
      <c r="T138" s="434"/>
      <c r="U138" s="434"/>
      <c r="V138" s="434"/>
      <c r="W138" s="434"/>
      <c r="X138" s="434"/>
      <c r="Y138" s="434"/>
      <c r="Z138" s="434"/>
      <c r="AA138" s="434"/>
    </row>
    <row r="139" spans="1:27" ht="15.75" customHeight="1" x14ac:dyDescent="0.35">
      <c r="A139" s="434"/>
      <c r="B139" s="434"/>
      <c r="C139" s="434"/>
      <c r="D139" s="434"/>
      <c r="E139" s="434"/>
      <c r="F139" s="434"/>
      <c r="G139" s="434"/>
      <c r="H139" s="434"/>
      <c r="I139" s="434"/>
      <c r="J139" s="434"/>
      <c r="K139" s="434"/>
      <c r="L139" s="434"/>
      <c r="M139" s="434"/>
      <c r="N139" s="434"/>
      <c r="O139" s="434"/>
      <c r="P139" s="434"/>
      <c r="Q139" s="434"/>
      <c r="R139" s="434"/>
      <c r="S139" s="434"/>
      <c r="T139" s="434"/>
      <c r="U139" s="434"/>
      <c r="V139" s="434"/>
      <c r="W139" s="434"/>
      <c r="X139" s="434"/>
      <c r="Y139" s="434"/>
      <c r="Z139" s="434"/>
      <c r="AA139" s="434"/>
    </row>
    <row r="140" spans="1:27" ht="15.75" customHeight="1" x14ac:dyDescent="0.35">
      <c r="A140" s="434"/>
      <c r="B140" s="434"/>
      <c r="C140" s="434"/>
      <c r="D140" s="434"/>
      <c r="E140" s="434"/>
      <c r="F140" s="434"/>
      <c r="G140" s="434"/>
      <c r="H140" s="434"/>
      <c r="I140" s="434"/>
      <c r="J140" s="434"/>
      <c r="K140" s="434"/>
      <c r="L140" s="434"/>
      <c r="M140" s="434"/>
      <c r="N140" s="434"/>
      <c r="O140" s="434"/>
      <c r="P140" s="434"/>
      <c r="Q140" s="434"/>
      <c r="R140" s="434"/>
      <c r="S140" s="434"/>
      <c r="T140" s="434"/>
      <c r="U140" s="434"/>
      <c r="V140" s="434"/>
      <c r="W140" s="434"/>
      <c r="X140" s="434"/>
      <c r="Y140" s="434"/>
      <c r="Z140" s="434"/>
      <c r="AA140" s="434"/>
    </row>
    <row r="141" spans="1:27" ht="15.75" customHeight="1" x14ac:dyDescent="0.35">
      <c r="A141" s="434"/>
      <c r="B141" s="434"/>
      <c r="C141" s="434"/>
      <c r="D141" s="434"/>
      <c r="E141" s="434"/>
      <c r="F141" s="434"/>
      <c r="G141" s="434"/>
      <c r="H141" s="434"/>
      <c r="I141" s="434"/>
      <c r="J141" s="434"/>
      <c r="K141" s="434"/>
      <c r="L141" s="434"/>
      <c r="M141" s="434"/>
      <c r="N141" s="434"/>
      <c r="O141" s="434"/>
      <c r="P141" s="434"/>
      <c r="Q141" s="434"/>
      <c r="R141" s="434"/>
      <c r="S141" s="434"/>
      <c r="T141" s="434"/>
      <c r="U141" s="434"/>
      <c r="V141" s="434"/>
      <c r="W141" s="434"/>
      <c r="X141" s="434"/>
      <c r="Y141" s="434"/>
      <c r="Z141" s="434"/>
      <c r="AA141" s="434"/>
    </row>
    <row r="142" spans="1:27" ht="15.75" customHeight="1" x14ac:dyDescent="0.35">
      <c r="A142" s="434"/>
      <c r="B142" s="434"/>
      <c r="C142" s="434"/>
      <c r="D142" s="434"/>
      <c r="E142" s="434"/>
      <c r="F142" s="434"/>
      <c r="G142" s="434"/>
      <c r="H142" s="434"/>
      <c r="I142" s="434"/>
      <c r="J142" s="434"/>
      <c r="K142" s="434"/>
      <c r="L142" s="434"/>
      <c r="M142" s="434"/>
      <c r="N142" s="434"/>
      <c r="O142" s="434"/>
      <c r="P142" s="434"/>
      <c r="Q142" s="434"/>
      <c r="R142" s="434"/>
      <c r="S142" s="434"/>
      <c r="T142" s="434"/>
      <c r="U142" s="434"/>
      <c r="V142" s="434"/>
      <c r="W142" s="434"/>
      <c r="X142" s="434"/>
      <c r="Y142" s="434"/>
      <c r="Z142" s="434"/>
      <c r="AA142" s="434"/>
    </row>
    <row r="143" spans="1:27" ht="15.75" customHeight="1" x14ac:dyDescent="0.35">
      <c r="A143" s="434"/>
      <c r="B143" s="434"/>
      <c r="C143" s="434"/>
      <c r="D143" s="434"/>
      <c r="E143" s="434"/>
      <c r="F143" s="434"/>
      <c r="G143" s="434"/>
      <c r="H143" s="434"/>
      <c r="I143" s="434"/>
      <c r="J143" s="434"/>
      <c r="K143" s="434"/>
      <c r="L143" s="434"/>
      <c r="M143" s="434"/>
      <c r="N143" s="434"/>
      <c r="O143" s="434"/>
      <c r="P143" s="434"/>
      <c r="Q143" s="434"/>
      <c r="R143" s="434"/>
      <c r="S143" s="434"/>
      <c r="T143" s="434"/>
      <c r="U143" s="434"/>
      <c r="V143" s="434"/>
      <c r="W143" s="434"/>
      <c r="X143" s="434"/>
      <c r="Y143" s="434"/>
      <c r="Z143" s="434"/>
      <c r="AA143" s="434"/>
    </row>
    <row r="144" spans="1:27" ht="15.75" customHeight="1" x14ac:dyDescent="0.35">
      <c r="A144" s="434"/>
      <c r="B144" s="434"/>
      <c r="C144" s="434"/>
      <c r="D144" s="434"/>
      <c r="E144" s="434"/>
      <c r="F144" s="434"/>
      <c r="G144" s="434"/>
      <c r="H144" s="434"/>
      <c r="I144" s="434"/>
      <c r="J144" s="434"/>
      <c r="K144" s="434"/>
      <c r="L144" s="434"/>
      <c r="M144" s="434"/>
      <c r="N144" s="434"/>
      <c r="O144" s="434"/>
      <c r="P144" s="434"/>
      <c r="Q144" s="434"/>
      <c r="R144" s="434"/>
      <c r="S144" s="434"/>
      <c r="T144" s="434"/>
      <c r="U144" s="434"/>
      <c r="V144" s="434"/>
      <c r="W144" s="434"/>
      <c r="X144" s="434"/>
      <c r="Y144" s="434"/>
      <c r="Z144" s="434"/>
      <c r="AA144" s="434"/>
    </row>
    <row r="145" spans="1:27" ht="15.75" customHeight="1" x14ac:dyDescent="0.35">
      <c r="A145" s="434"/>
      <c r="B145" s="434"/>
      <c r="C145" s="434"/>
      <c r="D145" s="434"/>
      <c r="E145" s="434"/>
      <c r="F145" s="434"/>
      <c r="G145" s="434"/>
      <c r="H145" s="434"/>
      <c r="I145" s="434"/>
      <c r="J145" s="434"/>
      <c r="K145" s="434"/>
      <c r="L145" s="434"/>
      <c r="M145" s="434"/>
      <c r="N145" s="434"/>
      <c r="O145" s="434"/>
      <c r="P145" s="434"/>
      <c r="Q145" s="434"/>
      <c r="R145" s="434"/>
      <c r="S145" s="434"/>
      <c r="T145" s="434"/>
      <c r="U145" s="434"/>
      <c r="V145" s="434"/>
      <c r="W145" s="434"/>
      <c r="X145" s="434"/>
      <c r="Y145" s="434"/>
      <c r="Z145" s="434"/>
      <c r="AA145" s="434"/>
    </row>
    <row r="146" spans="1:27" ht="15.75" customHeight="1" x14ac:dyDescent="0.35">
      <c r="A146" s="434"/>
      <c r="B146" s="434"/>
      <c r="C146" s="434"/>
      <c r="D146" s="434"/>
      <c r="E146" s="434"/>
      <c r="F146" s="434"/>
      <c r="G146" s="434"/>
      <c r="H146" s="434"/>
      <c r="I146" s="434"/>
      <c r="J146" s="434"/>
      <c r="K146" s="434"/>
      <c r="L146" s="434"/>
      <c r="M146" s="434"/>
      <c r="N146" s="434"/>
      <c r="O146" s="434"/>
      <c r="P146" s="434"/>
      <c r="Q146" s="434"/>
      <c r="R146" s="434"/>
      <c r="S146" s="434"/>
      <c r="T146" s="434"/>
      <c r="U146" s="434"/>
      <c r="V146" s="434"/>
      <c r="W146" s="434"/>
      <c r="X146" s="434"/>
      <c r="Y146" s="434"/>
      <c r="Z146" s="434"/>
      <c r="AA146" s="434"/>
    </row>
    <row r="147" spans="1:27" ht="15.75" customHeight="1" x14ac:dyDescent="0.35">
      <c r="A147" s="434"/>
      <c r="B147" s="434"/>
      <c r="C147" s="434"/>
      <c r="D147" s="434"/>
      <c r="E147" s="434"/>
      <c r="F147" s="434"/>
      <c r="G147" s="434"/>
      <c r="H147" s="434"/>
      <c r="I147" s="434"/>
      <c r="J147" s="434"/>
      <c r="K147" s="434"/>
      <c r="L147" s="434"/>
      <c r="M147" s="434"/>
      <c r="N147" s="434"/>
      <c r="O147" s="434"/>
      <c r="P147" s="434"/>
      <c r="Q147" s="434"/>
      <c r="R147" s="434"/>
      <c r="S147" s="434"/>
      <c r="T147" s="434"/>
      <c r="U147" s="434"/>
      <c r="V147" s="434"/>
      <c r="W147" s="434"/>
      <c r="X147" s="434"/>
      <c r="Y147" s="434"/>
      <c r="Z147" s="434"/>
      <c r="AA147" s="434"/>
    </row>
    <row r="148" spans="1:27" ht="15.75" customHeight="1" x14ac:dyDescent="0.35">
      <c r="A148" s="434"/>
      <c r="B148" s="434"/>
      <c r="C148" s="434"/>
      <c r="D148" s="434"/>
      <c r="E148" s="434"/>
      <c r="F148" s="434"/>
      <c r="G148" s="434"/>
      <c r="H148" s="434"/>
      <c r="I148" s="434"/>
      <c r="J148" s="434"/>
      <c r="K148" s="434"/>
      <c r="L148" s="434"/>
      <c r="M148" s="434"/>
      <c r="N148" s="434"/>
      <c r="O148" s="434"/>
      <c r="P148" s="434"/>
      <c r="Q148" s="434"/>
      <c r="R148" s="434"/>
      <c r="S148" s="434"/>
      <c r="T148" s="434"/>
      <c r="U148" s="434"/>
      <c r="V148" s="434"/>
      <c r="W148" s="434"/>
      <c r="X148" s="434"/>
      <c r="Y148" s="434"/>
      <c r="Z148" s="434"/>
      <c r="AA148" s="434"/>
    </row>
    <row r="149" spans="1:27" ht="15.75" customHeight="1" x14ac:dyDescent="0.35">
      <c r="A149" s="434"/>
      <c r="B149" s="434"/>
      <c r="C149" s="434"/>
      <c r="D149" s="434"/>
      <c r="E149" s="434"/>
      <c r="F149" s="434"/>
      <c r="G149" s="434"/>
      <c r="H149" s="434"/>
      <c r="I149" s="434"/>
      <c r="J149" s="434"/>
      <c r="K149" s="434"/>
      <c r="L149" s="434"/>
      <c r="M149" s="434"/>
      <c r="N149" s="434"/>
      <c r="O149" s="434"/>
      <c r="P149" s="434"/>
      <c r="Q149" s="434"/>
      <c r="R149" s="434"/>
      <c r="S149" s="434"/>
      <c r="T149" s="434"/>
      <c r="U149" s="434"/>
      <c r="V149" s="434"/>
      <c r="W149" s="434"/>
      <c r="X149" s="434"/>
      <c r="Y149" s="434"/>
      <c r="Z149" s="434"/>
      <c r="AA149" s="434"/>
    </row>
    <row r="150" spans="1:27" ht="15.75" customHeight="1" x14ac:dyDescent="0.35">
      <c r="A150" s="434"/>
      <c r="B150" s="434"/>
      <c r="C150" s="434"/>
      <c r="D150" s="434"/>
      <c r="E150" s="434"/>
      <c r="F150" s="434"/>
      <c r="G150" s="434"/>
      <c r="H150" s="434"/>
      <c r="I150" s="434"/>
      <c r="J150" s="434"/>
      <c r="K150" s="434"/>
      <c r="L150" s="434"/>
      <c r="M150" s="434"/>
      <c r="N150" s="434"/>
      <c r="O150" s="434"/>
      <c r="P150" s="434"/>
      <c r="Q150" s="434"/>
      <c r="R150" s="434"/>
      <c r="S150" s="434"/>
      <c r="T150" s="434"/>
      <c r="U150" s="434"/>
      <c r="V150" s="434"/>
      <c r="W150" s="434"/>
      <c r="X150" s="434"/>
      <c r="Y150" s="434"/>
      <c r="Z150" s="434"/>
      <c r="AA150" s="434"/>
    </row>
    <row r="151" spans="1:27" ht="15.75" customHeight="1" x14ac:dyDescent="0.35">
      <c r="A151" s="434"/>
      <c r="B151" s="434"/>
      <c r="C151" s="434"/>
      <c r="D151" s="434"/>
      <c r="E151" s="434"/>
      <c r="F151" s="434"/>
      <c r="G151" s="434"/>
      <c r="H151" s="434"/>
      <c r="I151" s="434"/>
      <c r="J151" s="434"/>
      <c r="K151" s="434"/>
      <c r="L151" s="434"/>
      <c r="M151" s="434"/>
      <c r="N151" s="434"/>
      <c r="O151" s="434"/>
      <c r="P151" s="434"/>
      <c r="Q151" s="434"/>
      <c r="R151" s="434"/>
      <c r="S151" s="434"/>
      <c r="T151" s="434"/>
      <c r="U151" s="434"/>
      <c r="V151" s="434"/>
      <c r="W151" s="434"/>
      <c r="X151" s="434"/>
      <c r="Y151" s="434"/>
      <c r="Z151" s="434"/>
      <c r="AA151" s="434"/>
    </row>
    <row r="152" spans="1:27" ht="15.75" customHeight="1" x14ac:dyDescent="0.35">
      <c r="A152" s="434"/>
      <c r="B152" s="434"/>
      <c r="C152" s="434"/>
      <c r="D152" s="434"/>
      <c r="E152" s="434"/>
      <c r="F152" s="434"/>
      <c r="G152" s="434"/>
      <c r="H152" s="434"/>
      <c r="I152" s="434"/>
      <c r="J152" s="434"/>
      <c r="K152" s="434"/>
      <c r="L152" s="434"/>
      <c r="M152" s="434"/>
      <c r="N152" s="434"/>
      <c r="O152" s="434"/>
      <c r="P152" s="434"/>
      <c r="Q152" s="434"/>
      <c r="R152" s="434"/>
      <c r="S152" s="434"/>
      <c r="T152" s="434"/>
      <c r="U152" s="434"/>
      <c r="V152" s="434"/>
      <c r="W152" s="434"/>
      <c r="X152" s="434"/>
      <c r="Y152" s="434"/>
      <c r="Z152" s="434"/>
      <c r="AA152" s="434"/>
    </row>
    <row r="153" spans="1:27" ht="15.75" customHeight="1" x14ac:dyDescent="0.35">
      <c r="A153" s="434"/>
      <c r="B153" s="434"/>
      <c r="C153" s="434"/>
      <c r="D153" s="434"/>
      <c r="E153" s="434"/>
      <c r="F153" s="434"/>
      <c r="G153" s="434"/>
      <c r="H153" s="434"/>
      <c r="I153" s="434"/>
      <c r="J153" s="434"/>
      <c r="K153" s="434"/>
      <c r="L153" s="434"/>
      <c r="M153" s="434"/>
      <c r="N153" s="434"/>
      <c r="O153" s="434"/>
      <c r="P153" s="434"/>
      <c r="Q153" s="434"/>
      <c r="R153" s="434"/>
      <c r="S153" s="434"/>
      <c r="T153" s="434"/>
      <c r="U153" s="434"/>
      <c r="V153" s="434"/>
      <c r="W153" s="434"/>
      <c r="X153" s="434"/>
      <c r="Y153" s="434"/>
      <c r="Z153" s="434"/>
      <c r="AA153" s="434"/>
    </row>
    <row r="154" spans="1:27" ht="15.75" customHeight="1" x14ac:dyDescent="0.35">
      <c r="A154" s="434"/>
      <c r="B154" s="434"/>
      <c r="C154" s="434"/>
      <c r="D154" s="434"/>
      <c r="E154" s="434"/>
      <c r="F154" s="434"/>
      <c r="G154" s="434"/>
      <c r="H154" s="434"/>
      <c r="I154" s="434"/>
      <c r="J154" s="434"/>
      <c r="K154" s="434"/>
      <c r="L154" s="434"/>
      <c r="M154" s="434"/>
      <c r="N154" s="434"/>
      <c r="O154" s="434"/>
      <c r="P154" s="434"/>
      <c r="Q154" s="434"/>
      <c r="R154" s="434"/>
      <c r="S154" s="434"/>
      <c r="T154" s="434"/>
      <c r="U154" s="434"/>
      <c r="V154" s="434"/>
      <c r="W154" s="434"/>
      <c r="X154" s="434"/>
      <c r="Y154" s="434"/>
      <c r="Z154" s="434"/>
      <c r="AA154" s="434"/>
    </row>
    <row r="155" spans="1:27" ht="15.75" customHeight="1" x14ac:dyDescent="0.35">
      <c r="A155" s="434"/>
      <c r="B155" s="434"/>
      <c r="C155" s="434"/>
      <c r="D155" s="434"/>
      <c r="E155" s="434"/>
      <c r="F155" s="434"/>
      <c r="G155" s="434"/>
      <c r="H155" s="434"/>
      <c r="I155" s="434"/>
      <c r="J155" s="434"/>
      <c r="K155" s="434"/>
      <c r="L155" s="434"/>
      <c r="M155" s="434"/>
      <c r="N155" s="434"/>
      <c r="O155" s="434"/>
      <c r="P155" s="434"/>
      <c r="Q155" s="434"/>
      <c r="R155" s="434"/>
      <c r="S155" s="434"/>
      <c r="T155" s="434"/>
      <c r="U155" s="434"/>
      <c r="V155" s="434"/>
      <c r="W155" s="434"/>
      <c r="X155" s="434"/>
      <c r="Y155" s="434"/>
      <c r="Z155" s="434"/>
      <c r="AA155" s="434"/>
    </row>
    <row r="156" spans="1:27" ht="15.75" customHeight="1" x14ac:dyDescent="0.35">
      <c r="A156" s="434"/>
      <c r="B156" s="434"/>
      <c r="C156" s="434"/>
      <c r="D156" s="434"/>
      <c r="E156" s="434"/>
      <c r="F156" s="434"/>
      <c r="G156" s="434"/>
      <c r="H156" s="434"/>
      <c r="I156" s="434"/>
      <c r="J156" s="434"/>
      <c r="K156" s="434"/>
      <c r="L156" s="434"/>
      <c r="M156" s="434"/>
      <c r="N156" s="434"/>
      <c r="O156" s="434"/>
      <c r="P156" s="434"/>
      <c r="Q156" s="434"/>
      <c r="R156" s="434"/>
      <c r="S156" s="434"/>
      <c r="T156" s="434"/>
      <c r="U156" s="434"/>
      <c r="V156" s="434"/>
      <c r="W156" s="434"/>
      <c r="X156" s="434"/>
      <c r="Y156" s="434"/>
      <c r="Z156" s="434"/>
      <c r="AA156" s="434"/>
    </row>
    <row r="157" spans="1:27" ht="15.75" customHeight="1" x14ac:dyDescent="0.35">
      <c r="A157" s="434"/>
      <c r="B157" s="434"/>
      <c r="C157" s="434"/>
      <c r="D157" s="434"/>
      <c r="E157" s="434"/>
      <c r="F157" s="434"/>
      <c r="G157" s="434"/>
      <c r="H157" s="434"/>
      <c r="I157" s="434"/>
      <c r="J157" s="434"/>
      <c r="K157" s="434"/>
      <c r="L157" s="434"/>
      <c r="M157" s="434"/>
      <c r="N157" s="434"/>
      <c r="O157" s="434"/>
      <c r="P157" s="434"/>
      <c r="Q157" s="434"/>
      <c r="R157" s="434"/>
      <c r="S157" s="434"/>
      <c r="T157" s="434"/>
      <c r="U157" s="434"/>
      <c r="V157" s="434"/>
      <c r="W157" s="434"/>
      <c r="X157" s="434"/>
      <c r="Y157" s="434"/>
      <c r="Z157" s="434"/>
      <c r="AA157" s="434"/>
    </row>
    <row r="158" spans="1:27" ht="15.75" customHeight="1" x14ac:dyDescent="0.35">
      <c r="A158" s="434"/>
      <c r="B158" s="434"/>
      <c r="C158" s="434"/>
      <c r="D158" s="434"/>
      <c r="E158" s="434"/>
      <c r="F158" s="434"/>
      <c r="G158" s="434"/>
      <c r="H158" s="434"/>
      <c r="I158" s="434"/>
      <c r="J158" s="434"/>
      <c r="K158" s="434"/>
      <c r="L158" s="434"/>
      <c r="M158" s="434"/>
      <c r="N158" s="434"/>
      <c r="O158" s="434"/>
      <c r="P158" s="434"/>
      <c r="Q158" s="434"/>
      <c r="R158" s="434"/>
      <c r="S158" s="434"/>
      <c r="T158" s="434"/>
      <c r="U158" s="434"/>
      <c r="V158" s="434"/>
      <c r="W158" s="434"/>
      <c r="X158" s="434"/>
      <c r="Y158" s="434"/>
      <c r="Z158" s="434"/>
      <c r="AA158" s="434"/>
    </row>
    <row r="159" spans="1:27" ht="15.75" customHeight="1" x14ac:dyDescent="0.35">
      <c r="A159" s="434"/>
      <c r="B159" s="434"/>
      <c r="C159" s="434"/>
      <c r="D159" s="434"/>
      <c r="E159" s="434"/>
      <c r="F159" s="434"/>
      <c r="G159" s="434"/>
      <c r="H159" s="434"/>
      <c r="I159" s="434"/>
      <c r="J159" s="434"/>
      <c r="K159" s="434"/>
      <c r="L159" s="434"/>
      <c r="M159" s="434"/>
      <c r="N159" s="434"/>
      <c r="O159" s="434"/>
      <c r="P159" s="434"/>
      <c r="Q159" s="434"/>
      <c r="R159" s="434"/>
      <c r="S159" s="434"/>
      <c r="T159" s="434"/>
      <c r="U159" s="434"/>
      <c r="V159" s="434"/>
      <c r="W159" s="434"/>
      <c r="X159" s="434"/>
      <c r="Y159" s="434"/>
      <c r="Z159" s="434"/>
      <c r="AA159" s="434"/>
    </row>
    <row r="160" spans="1:27" ht="15.75" customHeight="1" x14ac:dyDescent="0.35">
      <c r="A160" s="434"/>
      <c r="B160" s="434"/>
      <c r="C160" s="434"/>
      <c r="D160" s="434"/>
      <c r="E160" s="434"/>
      <c r="F160" s="434"/>
      <c r="G160" s="434"/>
      <c r="H160" s="434"/>
      <c r="I160" s="434"/>
      <c r="J160" s="434"/>
      <c r="K160" s="434"/>
      <c r="L160" s="434"/>
      <c r="M160" s="434"/>
      <c r="N160" s="434"/>
      <c r="O160" s="434"/>
      <c r="P160" s="434"/>
      <c r="Q160" s="434"/>
      <c r="R160" s="434"/>
      <c r="S160" s="434"/>
      <c r="T160" s="434"/>
      <c r="U160" s="434"/>
      <c r="V160" s="434"/>
      <c r="W160" s="434"/>
      <c r="X160" s="434"/>
      <c r="Y160" s="434"/>
      <c r="Z160" s="434"/>
      <c r="AA160" s="434"/>
    </row>
    <row r="161" spans="1:27" ht="15.75" customHeight="1" x14ac:dyDescent="0.35">
      <c r="A161" s="434"/>
      <c r="B161" s="434"/>
      <c r="C161" s="434"/>
      <c r="D161" s="434"/>
      <c r="E161" s="434"/>
      <c r="F161" s="434"/>
      <c r="G161" s="434"/>
      <c r="H161" s="434"/>
      <c r="I161" s="434"/>
      <c r="J161" s="434"/>
      <c r="K161" s="434"/>
      <c r="L161" s="434"/>
      <c r="M161" s="434"/>
      <c r="N161" s="434"/>
      <c r="O161" s="434"/>
      <c r="P161" s="434"/>
      <c r="Q161" s="434"/>
      <c r="R161" s="434"/>
      <c r="S161" s="434"/>
      <c r="T161" s="434"/>
      <c r="U161" s="434"/>
      <c r="V161" s="434"/>
      <c r="W161" s="434"/>
      <c r="X161" s="434"/>
      <c r="Y161" s="434"/>
      <c r="Z161" s="434"/>
      <c r="AA161" s="434"/>
    </row>
    <row r="162" spans="1:27" ht="15.75" customHeight="1" x14ac:dyDescent="0.35">
      <c r="A162" s="434"/>
      <c r="B162" s="434"/>
      <c r="C162" s="434"/>
      <c r="D162" s="434"/>
      <c r="E162" s="434"/>
      <c r="F162" s="434"/>
      <c r="G162" s="434"/>
      <c r="H162" s="434"/>
      <c r="I162" s="434"/>
      <c r="J162" s="434"/>
      <c r="K162" s="434"/>
      <c r="L162" s="434"/>
      <c r="M162" s="434"/>
      <c r="N162" s="434"/>
      <c r="O162" s="434"/>
      <c r="P162" s="434"/>
      <c r="Q162" s="434"/>
      <c r="R162" s="434"/>
      <c r="S162" s="434"/>
      <c r="T162" s="434"/>
      <c r="U162" s="434"/>
      <c r="V162" s="434"/>
      <c r="W162" s="434"/>
      <c r="X162" s="434"/>
      <c r="Y162" s="434"/>
      <c r="Z162" s="434"/>
      <c r="AA162" s="434"/>
    </row>
    <row r="163" spans="1:27" ht="15.75" customHeight="1" x14ac:dyDescent="0.35">
      <c r="A163" s="434"/>
      <c r="B163" s="434"/>
      <c r="C163" s="434"/>
      <c r="D163" s="434"/>
      <c r="E163" s="434"/>
      <c r="F163" s="434"/>
      <c r="G163" s="434"/>
      <c r="H163" s="434"/>
      <c r="I163" s="434"/>
      <c r="J163" s="434"/>
      <c r="K163" s="434"/>
      <c r="L163" s="434"/>
      <c r="M163" s="434"/>
      <c r="N163" s="434"/>
      <c r="O163" s="434"/>
      <c r="P163" s="434"/>
      <c r="Q163" s="434"/>
      <c r="R163" s="434"/>
      <c r="S163" s="434"/>
      <c r="T163" s="434"/>
      <c r="U163" s="434"/>
      <c r="V163" s="434"/>
      <c r="W163" s="434"/>
      <c r="X163" s="434"/>
      <c r="Y163" s="434"/>
      <c r="Z163" s="434"/>
      <c r="AA163" s="434"/>
    </row>
    <row r="164" spans="1:27" ht="15.75" customHeight="1" x14ac:dyDescent="0.35">
      <c r="A164" s="434"/>
      <c r="B164" s="434"/>
      <c r="C164" s="434"/>
      <c r="D164" s="434"/>
      <c r="E164" s="434"/>
      <c r="F164" s="434"/>
      <c r="G164" s="434"/>
      <c r="H164" s="434"/>
      <c r="I164" s="434"/>
      <c r="J164" s="434"/>
      <c r="K164" s="434"/>
      <c r="L164" s="434"/>
      <c r="M164" s="434"/>
      <c r="N164" s="434"/>
      <c r="O164" s="434"/>
      <c r="P164" s="434"/>
      <c r="Q164" s="434"/>
      <c r="R164" s="434"/>
      <c r="S164" s="434"/>
      <c r="T164" s="434"/>
      <c r="U164" s="434"/>
      <c r="V164" s="434"/>
      <c r="W164" s="434"/>
      <c r="X164" s="434"/>
      <c r="Y164" s="434"/>
      <c r="Z164" s="434"/>
      <c r="AA164" s="434"/>
    </row>
    <row r="165" spans="1:27" ht="15.75" customHeight="1" x14ac:dyDescent="0.35">
      <c r="A165" s="434"/>
      <c r="B165" s="434"/>
      <c r="C165" s="434"/>
      <c r="D165" s="434"/>
      <c r="E165" s="434"/>
      <c r="F165" s="434"/>
      <c r="G165" s="434"/>
      <c r="H165" s="434"/>
      <c r="I165" s="434"/>
      <c r="J165" s="434"/>
      <c r="K165" s="434"/>
      <c r="L165" s="434"/>
      <c r="M165" s="434"/>
      <c r="N165" s="434"/>
      <c r="O165" s="434"/>
      <c r="P165" s="434"/>
      <c r="Q165" s="434"/>
      <c r="R165" s="434"/>
      <c r="S165" s="434"/>
      <c r="T165" s="434"/>
      <c r="U165" s="434"/>
      <c r="V165" s="434"/>
      <c r="W165" s="434"/>
      <c r="X165" s="434"/>
      <c r="Y165" s="434"/>
      <c r="Z165" s="434"/>
      <c r="AA165" s="434"/>
    </row>
    <row r="166" spans="1:27" ht="15.75" customHeight="1" x14ac:dyDescent="0.35">
      <c r="A166" s="434"/>
      <c r="B166" s="434"/>
      <c r="C166" s="434"/>
      <c r="D166" s="434"/>
      <c r="E166" s="434"/>
      <c r="F166" s="434"/>
      <c r="G166" s="434"/>
      <c r="H166" s="434"/>
      <c r="I166" s="434"/>
      <c r="J166" s="434"/>
      <c r="K166" s="434"/>
      <c r="L166" s="434"/>
      <c r="M166" s="434"/>
      <c r="N166" s="434"/>
      <c r="O166" s="434"/>
      <c r="P166" s="434"/>
      <c r="Q166" s="434"/>
      <c r="R166" s="434"/>
      <c r="S166" s="434"/>
      <c r="T166" s="434"/>
      <c r="U166" s="434"/>
      <c r="V166" s="434"/>
      <c r="W166" s="434"/>
      <c r="X166" s="434"/>
      <c r="Y166" s="434"/>
      <c r="Z166" s="434"/>
      <c r="AA166" s="434"/>
    </row>
    <row r="167" spans="1:27" ht="15.75" customHeight="1" x14ac:dyDescent="0.35">
      <c r="A167" s="434"/>
      <c r="B167" s="434"/>
      <c r="C167" s="434"/>
      <c r="D167" s="434"/>
      <c r="E167" s="434"/>
      <c r="F167" s="434"/>
      <c r="G167" s="434"/>
      <c r="H167" s="434"/>
      <c r="I167" s="434"/>
      <c r="J167" s="434"/>
      <c r="K167" s="434"/>
      <c r="L167" s="434"/>
      <c r="M167" s="434"/>
      <c r="N167" s="434"/>
      <c r="O167" s="434"/>
      <c r="P167" s="434"/>
      <c r="Q167" s="434"/>
      <c r="R167" s="434"/>
      <c r="S167" s="434"/>
      <c r="T167" s="434"/>
      <c r="U167" s="434"/>
      <c r="V167" s="434"/>
      <c r="W167" s="434"/>
      <c r="X167" s="434"/>
      <c r="Y167" s="434"/>
      <c r="Z167" s="434"/>
      <c r="AA167" s="434"/>
    </row>
    <row r="168" spans="1:27" ht="15.75" customHeight="1" x14ac:dyDescent="0.35">
      <c r="A168" s="434"/>
      <c r="B168" s="434"/>
      <c r="C168" s="434"/>
      <c r="D168" s="434"/>
      <c r="E168" s="434"/>
      <c r="F168" s="434"/>
      <c r="G168" s="434"/>
      <c r="H168" s="434"/>
      <c r="I168" s="434"/>
      <c r="J168" s="434"/>
      <c r="K168" s="434"/>
      <c r="L168" s="434"/>
      <c r="M168" s="434"/>
      <c r="N168" s="434"/>
      <c r="O168" s="434"/>
      <c r="P168" s="434"/>
      <c r="Q168" s="434"/>
      <c r="R168" s="434"/>
      <c r="S168" s="434"/>
      <c r="T168" s="434"/>
      <c r="U168" s="434"/>
      <c r="V168" s="434"/>
      <c r="W168" s="434"/>
      <c r="X168" s="434"/>
      <c r="Y168" s="434"/>
      <c r="Z168" s="434"/>
      <c r="AA168" s="434"/>
    </row>
    <row r="169" spans="1:27" ht="15.75" customHeight="1" x14ac:dyDescent="0.35">
      <c r="A169" s="434"/>
      <c r="B169" s="434"/>
      <c r="C169" s="434"/>
      <c r="D169" s="434"/>
      <c r="E169" s="434"/>
      <c r="F169" s="434"/>
      <c r="G169" s="434"/>
      <c r="H169" s="434"/>
      <c r="I169" s="434"/>
      <c r="J169" s="434"/>
      <c r="K169" s="434"/>
      <c r="L169" s="434"/>
      <c r="M169" s="434"/>
      <c r="N169" s="434"/>
      <c r="O169" s="434"/>
      <c r="P169" s="434"/>
      <c r="Q169" s="434"/>
      <c r="R169" s="434"/>
      <c r="S169" s="434"/>
      <c r="T169" s="434"/>
      <c r="U169" s="434"/>
      <c r="V169" s="434"/>
      <c r="W169" s="434"/>
      <c r="X169" s="434"/>
      <c r="Y169" s="434"/>
      <c r="Z169" s="434"/>
      <c r="AA169" s="434"/>
    </row>
    <row r="170" spans="1:27" ht="15.75" customHeight="1" x14ac:dyDescent="0.35">
      <c r="A170" s="434"/>
      <c r="B170" s="434"/>
      <c r="C170" s="434"/>
      <c r="D170" s="434"/>
      <c r="E170" s="434"/>
      <c r="F170" s="434"/>
      <c r="G170" s="434"/>
      <c r="H170" s="434"/>
      <c r="I170" s="434"/>
      <c r="J170" s="434"/>
      <c r="K170" s="434"/>
      <c r="L170" s="434"/>
      <c r="M170" s="434"/>
      <c r="N170" s="434"/>
      <c r="O170" s="434"/>
      <c r="P170" s="434"/>
      <c r="Q170" s="434"/>
      <c r="R170" s="434"/>
      <c r="S170" s="434"/>
      <c r="T170" s="434"/>
      <c r="U170" s="434"/>
      <c r="V170" s="434"/>
      <c r="W170" s="434"/>
      <c r="X170" s="434"/>
      <c r="Y170" s="434"/>
      <c r="Z170" s="434"/>
      <c r="AA170" s="434"/>
    </row>
    <row r="171" spans="1:27" ht="15.75" customHeight="1" x14ac:dyDescent="0.35">
      <c r="A171" s="434"/>
      <c r="B171" s="434"/>
      <c r="C171" s="434"/>
      <c r="D171" s="434"/>
      <c r="E171" s="434"/>
      <c r="F171" s="434"/>
      <c r="G171" s="434"/>
      <c r="H171" s="434"/>
      <c r="I171" s="434"/>
      <c r="J171" s="434"/>
      <c r="K171" s="434"/>
      <c r="L171" s="434"/>
      <c r="M171" s="434"/>
      <c r="N171" s="434"/>
      <c r="O171" s="434"/>
      <c r="P171" s="434"/>
      <c r="Q171" s="434"/>
      <c r="R171" s="434"/>
      <c r="S171" s="434"/>
      <c r="T171" s="434"/>
      <c r="U171" s="434"/>
      <c r="V171" s="434"/>
      <c r="W171" s="434"/>
      <c r="X171" s="434"/>
      <c r="Y171" s="434"/>
      <c r="Z171" s="434"/>
      <c r="AA171" s="434"/>
    </row>
    <row r="172" spans="1:27" ht="15.75" customHeight="1" x14ac:dyDescent="0.35">
      <c r="A172" s="434"/>
      <c r="B172" s="434"/>
      <c r="C172" s="434"/>
      <c r="D172" s="434"/>
      <c r="E172" s="434"/>
      <c r="F172" s="434"/>
      <c r="G172" s="434"/>
      <c r="H172" s="434"/>
      <c r="I172" s="434"/>
      <c r="J172" s="434"/>
      <c r="K172" s="434"/>
      <c r="L172" s="434"/>
      <c r="M172" s="434"/>
      <c r="N172" s="434"/>
      <c r="O172" s="434"/>
      <c r="P172" s="434"/>
      <c r="Q172" s="434"/>
      <c r="R172" s="434"/>
      <c r="S172" s="434"/>
      <c r="T172" s="434"/>
      <c r="U172" s="434"/>
      <c r="V172" s="434"/>
      <c r="W172" s="434"/>
      <c r="X172" s="434"/>
      <c r="Y172" s="434"/>
      <c r="Z172" s="434"/>
      <c r="AA172" s="434"/>
    </row>
    <row r="173" spans="1:27" ht="15.75" customHeight="1" x14ac:dyDescent="0.35">
      <c r="A173" s="434"/>
      <c r="B173" s="434"/>
      <c r="C173" s="434"/>
      <c r="D173" s="434"/>
      <c r="E173" s="434"/>
      <c r="F173" s="434"/>
      <c r="G173" s="434"/>
      <c r="H173" s="434"/>
      <c r="I173" s="434"/>
      <c r="J173" s="434"/>
      <c r="K173" s="434"/>
      <c r="L173" s="434"/>
      <c r="M173" s="434"/>
      <c r="N173" s="434"/>
      <c r="O173" s="434"/>
      <c r="P173" s="434"/>
      <c r="Q173" s="434"/>
      <c r="R173" s="434"/>
      <c r="S173" s="434"/>
      <c r="T173" s="434"/>
      <c r="U173" s="434"/>
      <c r="V173" s="434"/>
      <c r="W173" s="434"/>
      <c r="X173" s="434"/>
      <c r="Y173" s="434"/>
      <c r="Z173" s="434"/>
      <c r="AA173" s="434"/>
    </row>
    <row r="174" spans="1:27" ht="15.75" customHeight="1" x14ac:dyDescent="0.35">
      <c r="A174" s="434"/>
      <c r="B174" s="434"/>
      <c r="C174" s="434"/>
      <c r="D174" s="434"/>
      <c r="E174" s="434"/>
      <c r="F174" s="434"/>
      <c r="G174" s="434"/>
      <c r="H174" s="434"/>
      <c r="I174" s="434"/>
      <c r="J174" s="434"/>
      <c r="K174" s="434"/>
      <c r="L174" s="434"/>
      <c r="M174" s="434"/>
      <c r="N174" s="434"/>
      <c r="O174" s="434"/>
      <c r="P174" s="434"/>
      <c r="Q174" s="434"/>
      <c r="R174" s="434"/>
      <c r="S174" s="434"/>
      <c r="T174" s="434"/>
      <c r="U174" s="434"/>
      <c r="V174" s="434"/>
      <c r="W174" s="434"/>
      <c r="X174" s="434"/>
      <c r="Y174" s="434"/>
      <c r="Z174" s="434"/>
      <c r="AA174" s="434"/>
    </row>
    <row r="175" spans="1:27" ht="15.75" customHeight="1" x14ac:dyDescent="0.35">
      <c r="A175" s="434"/>
      <c r="B175" s="434"/>
      <c r="C175" s="434"/>
      <c r="D175" s="434"/>
      <c r="E175" s="434"/>
      <c r="F175" s="434"/>
      <c r="G175" s="434"/>
      <c r="H175" s="434"/>
      <c r="I175" s="434"/>
      <c r="J175" s="434"/>
      <c r="K175" s="434"/>
      <c r="L175" s="434"/>
      <c r="M175" s="434"/>
      <c r="N175" s="434"/>
      <c r="O175" s="434"/>
      <c r="P175" s="434"/>
      <c r="Q175" s="434"/>
      <c r="R175" s="434"/>
      <c r="S175" s="434"/>
      <c r="T175" s="434"/>
      <c r="U175" s="434"/>
      <c r="V175" s="434"/>
      <c r="W175" s="434"/>
      <c r="X175" s="434"/>
      <c r="Y175" s="434"/>
      <c r="Z175" s="434"/>
      <c r="AA175" s="434"/>
    </row>
    <row r="176" spans="1:27" ht="15.75" customHeight="1" x14ac:dyDescent="0.35">
      <c r="A176" s="434"/>
      <c r="B176" s="434"/>
      <c r="C176" s="434"/>
      <c r="D176" s="434"/>
      <c r="E176" s="434"/>
      <c r="F176" s="434"/>
      <c r="G176" s="434"/>
      <c r="H176" s="434"/>
      <c r="I176" s="434"/>
      <c r="J176" s="434"/>
      <c r="K176" s="434"/>
      <c r="L176" s="434"/>
      <c r="M176" s="434"/>
      <c r="N176" s="434"/>
      <c r="O176" s="434"/>
      <c r="P176" s="434"/>
      <c r="Q176" s="434"/>
      <c r="R176" s="434"/>
      <c r="S176" s="434"/>
      <c r="T176" s="434"/>
      <c r="U176" s="434"/>
      <c r="V176" s="434"/>
      <c r="W176" s="434"/>
      <c r="X176" s="434"/>
      <c r="Y176" s="434"/>
      <c r="Z176" s="434"/>
      <c r="AA176" s="434"/>
    </row>
    <row r="177" spans="1:27" ht="15.75" customHeight="1" x14ac:dyDescent="0.35">
      <c r="A177" s="434"/>
      <c r="B177" s="434"/>
      <c r="C177" s="434"/>
      <c r="D177" s="434"/>
      <c r="E177" s="434"/>
      <c r="F177" s="434"/>
      <c r="G177" s="434"/>
      <c r="H177" s="434"/>
      <c r="I177" s="434"/>
      <c r="J177" s="434"/>
      <c r="K177" s="434"/>
      <c r="L177" s="434"/>
      <c r="M177" s="434"/>
      <c r="N177" s="434"/>
      <c r="O177" s="434"/>
      <c r="P177" s="434"/>
      <c r="Q177" s="434"/>
      <c r="R177" s="434"/>
      <c r="S177" s="434"/>
      <c r="T177" s="434"/>
      <c r="U177" s="434"/>
      <c r="V177" s="434"/>
      <c r="W177" s="434"/>
      <c r="X177" s="434"/>
      <c r="Y177" s="434"/>
      <c r="Z177" s="434"/>
      <c r="AA177" s="434"/>
    </row>
    <row r="178" spans="1:27" ht="15.75" customHeight="1" x14ac:dyDescent="0.35">
      <c r="A178" s="434"/>
      <c r="B178" s="434"/>
      <c r="C178" s="434"/>
      <c r="D178" s="434"/>
      <c r="E178" s="434"/>
      <c r="F178" s="434"/>
      <c r="G178" s="434"/>
      <c r="H178" s="434"/>
      <c r="I178" s="434"/>
      <c r="J178" s="434"/>
      <c r="K178" s="434"/>
      <c r="L178" s="434"/>
      <c r="M178" s="434"/>
      <c r="N178" s="434"/>
      <c r="O178" s="434"/>
      <c r="P178" s="434"/>
      <c r="Q178" s="434"/>
      <c r="R178" s="434"/>
      <c r="S178" s="434"/>
      <c r="T178" s="434"/>
      <c r="U178" s="434"/>
      <c r="V178" s="434"/>
      <c r="W178" s="434"/>
      <c r="X178" s="434"/>
      <c r="Y178" s="434"/>
      <c r="Z178" s="434"/>
      <c r="AA178" s="434"/>
    </row>
    <row r="179" spans="1:27" ht="15.75" customHeight="1" x14ac:dyDescent="0.35">
      <c r="A179" s="434"/>
      <c r="B179" s="434"/>
      <c r="C179" s="434"/>
      <c r="D179" s="434"/>
      <c r="E179" s="434"/>
      <c r="F179" s="434"/>
      <c r="G179" s="434"/>
      <c r="H179" s="434"/>
      <c r="I179" s="434"/>
      <c r="J179" s="434"/>
      <c r="K179" s="434"/>
      <c r="L179" s="434"/>
      <c r="M179" s="434"/>
      <c r="N179" s="434"/>
      <c r="O179" s="434"/>
      <c r="P179" s="434"/>
      <c r="Q179" s="434"/>
      <c r="R179" s="434"/>
      <c r="S179" s="434"/>
      <c r="T179" s="434"/>
      <c r="U179" s="434"/>
      <c r="V179" s="434"/>
      <c r="W179" s="434"/>
      <c r="X179" s="434"/>
      <c r="Y179" s="434"/>
      <c r="Z179" s="434"/>
      <c r="AA179" s="434"/>
    </row>
    <row r="180" spans="1:27" ht="15.75" customHeight="1" x14ac:dyDescent="0.35">
      <c r="A180" s="434"/>
      <c r="B180" s="434"/>
      <c r="C180" s="434"/>
      <c r="D180" s="434"/>
      <c r="E180" s="434"/>
      <c r="F180" s="434"/>
      <c r="G180" s="434"/>
      <c r="H180" s="434"/>
      <c r="I180" s="434"/>
      <c r="J180" s="434"/>
      <c r="K180" s="434"/>
      <c r="L180" s="434"/>
      <c r="M180" s="434"/>
      <c r="N180" s="434"/>
      <c r="O180" s="434"/>
      <c r="P180" s="434"/>
      <c r="Q180" s="434"/>
      <c r="R180" s="434"/>
      <c r="S180" s="434"/>
      <c r="T180" s="434"/>
      <c r="U180" s="434"/>
      <c r="V180" s="434"/>
      <c r="W180" s="434"/>
      <c r="X180" s="434"/>
      <c r="Y180" s="434"/>
      <c r="Z180" s="434"/>
      <c r="AA180" s="434"/>
    </row>
    <row r="181" spans="1:27" ht="15.75" customHeight="1" x14ac:dyDescent="0.35">
      <c r="A181" s="434"/>
      <c r="B181" s="434"/>
      <c r="C181" s="434"/>
      <c r="D181" s="434"/>
      <c r="E181" s="434"/>
      <c r="F181" s="434"/>
      <c r="G181" s="434"/>
      <c r="H181" s="434"/>
      <c r="I181" s="434"/>
      <c r="J181" s="434"/>
      <c r="K181" s="434"/>
      <c r="L181" s="434"/>
      <c r="M181" s="434"/>
      <c r="N181" s="434"/>
      <c r="O181" s="434"/>
      <c r="P181" s="434"/>
      <c r="Q181" s="434"/>
      <c r="R181" s="434"/>
      <c r="S181" s="434"/>
      <c r="T181" s="434"/>
      <c r="U181" s="434"/>
      <c r="V181" s="434"/>
      <c r="W181" s="434"/>
      <c r="X181" s="434"/>
      <c r="Y181" s="434"/>
      <c r="Z181" s="434"/>
      <c r="AA181" s="434"/>
    </row>
    <row r="182" spans="1:27" ht="15.75" customHeight="1" x14ac:dyDescent="0.35">
      <c r="A182" s="434"/>
      <c r="B182" s="434"/>
      <c r="C182" s="434"/>
      <c r="D182" s="434"/>
      <c r="E182" s="434"/>
      <c r="F182" s="434"/>
      <c r="G182" s="434"/>
      <c r="H182" s="434"/>
      <c r="I182" s="434"/>
      <c r="J182" s="434"/>
      <c r="K182" s="434"/>
      <c r="L182" s="434"/>
      <c r="M182" s="434"/>
      <c r="N182" s="434"/>
      <c r="O182" s="434"/>
      <c r="P182" s="434"/>
      <c r="Q182" s="434"/>
      <c r="R182" s="434"/>
      <c r="S182" s="434"/>
      <c r="T182" s="434"/>
      <c r="U182" s="434"/>
      <c r="V182" s="434"/>
      <c r="W182" s="434"/>
      <c r="X182" s="434"/>
      <c r="Y182" s="434"/>
      <c r="Z182" s="434"/>
      <c r="AA182" s="434"/>
    </row>
    <row r="183" spans="1:27" ht="15.75" customHeight="1" x14ac:dyDescent="0.35">
      <c r="A183" s="434"/>
      <c r="B183" s="434"/>
      <c r="C183" s="434"/>
      <c r="D183" s="434"/>
      <c r="E183" s="434"/>
      <c r="F183" s="434"/>
      <c r="G183" s="434"/>
      <c r="H183" s="434"/>
      <c r="I183" s="434"/>
      <c r="J183" s="434"/>
      <c r="K183" s="434"/>
      <c r="L183" s="434"/>
      <c r="M183" s="434"/>
      <c r="N183" s="434"/>
      <c r="O183" s="434"/>
      <c r="P183" s="434"/>
      <c r="Q183" s="434"/>
      <c r="R183" s="434"/>
      <c r="S183" s="434"/>
      <c r="T183" s="434"/>
      <c r="U183" s="434"/>
      <c r="V183" s="434"/>
      <c r="W183" s="434"/>
      <c r="X183" s="434"/>
      <c r="Y183" s="434"/>
      <c r="Z183" s="434"/>
      <c r="AA183" s="434"/>
    </row>
    <row r="184" spans="1:27" ht="15.75" customHeight="1" x14ac:dyDescent="0.35">
      <c r="A184" s="434"/>
      <c r="B184" s="434"/>
      <c r="C184" s="434"/>
      <c r="D184" s="434"/>
      <c r="E184" s="434"/>
      <c r="F184" s="434"/>
      <c r="G184" s="434"/>
      <c r="H184" s="434"/>
      <c r="I184" s="434"/>
      <c r="J184" s="434"/>
      <c r="K184" s="434"/>
      <c r="L184" s="434"/>
      <c r="M184" s="434"/>
      <c r="N184" s="434"/>
      <c r="O184" s="434"/>
      <c r="P184" s="434"/>
      <c r="Q184" s="434"/>
      <c r="R184" s="434"/>
      <c r="S184" s="434"/>
      <c r="T184" s="434"/>
      <c r="U184" s="434"/>
      <c r="V184" s="434"/>
      <c r="W184" s="434"/>
      <c r="X184" s="434"/>
      <c r="Y184" s="434"/>
      <c r="Z184" s="434"/>
      <c r="AA184" s="434"/>
    </row>
    <row r="185" spans="1:27" ht="15.75" customHeight="1" x14ac:dyDescent="0.35">
      <c r="A185" s="434"/>
      <c r="B185" s="434"/>
      <c r="C185" s="434"/>
      <c r="D185" s="434"/>
      <c r="E185" s="434"/>
      <c r="F185" s="434"/>
      <c r="G185" s="434"/>
      <c r="H185" s="434"/>
      <c r="I185" s="434"/>
      <c r="J185" s="434"/>
      <c r="K185" s="434"/>
      <c r="L185" s="434"/>
      <c r="M185" s="434"/>
      <c r="N185" s="434"/>
      <c r="O185" s="434"/>
      <c r="P185" s="434"/>
      <c r="Q185" s="434"/>
      <c r="R185" s="434"/>
      <c r="S185" s="434"/>
      <c r="T185" s="434"/>
      <c r="U185" s="434"/>
      <c r="V185" s="434"/>
      <c r="W185" s="434"/>
      <c r="X185" s="434"/>
      <c r="Y185" s="434"/>
      <c r="Z185" s="434"/>
      <c r="AA185" s="434"/>
    </row>
    <row r="186" spans="1:27" ht="15.75" customHeight="1" x14ac:dyDescent="0.35">
      <c r="A186" s="434"/>
      <c r="B186" s="434"/>
      <c r="C186" s="434"/>
      <c r="D186" s="434"/>
      <c r="E186" s="434"/>
      <c r="F186" s="434"/>
      <c r="G186" s="434"/>
      <c r="H186" s="434"/>
      <c r="I186" s="434"/>
      <c r="J186" s="434"/>
      <c r="K186" s="434"/>
      <c r="L186" s="434"/>
      <c r="M186" s="434"/>
      <c r="N186" s="434"/>
      <c r="O186" s="434"/>
      <c r="P186" s="434"/>
      <c r="Q186" s="434"/>
      <c r="R186" s="434"/>
      <c r="S186" s="434"/>
      <c r="T186" s="434"/>
      <c r="U186" s="434"/>
      <c r="V186" s="434"/>
      <c r="W186" s="434"/>
      <c r="X186" s="434"/>
      <c r="Y186" s="434"/>
      <c r="Z186" s="434"/>
      <c r="AA186" s="434"/>
    </row>
    <row r="187" spans="1:27" ht="15.75" customHeight="1" x14ac:dyDescent="0.35">
      <c r="A187" s="434"/>
      <c r="B187" s="434"/>
      <c r="C187" s="434"/>
      <c r="D187" s="434"/>
      <c r="E187" s="434"/>
      <c r="F187" s="434"/>
      <c r="G187" s="434"/>
      <c r="H187" s="434"/>
      <c r="I187" s="434"/>
      <c r="J187" s="434"/>
      <c r="K187" s="434"/>
      <c r="L187" s="434"/>
      <c r="M187" s="434"/>
      <c r="N187" s="434"/>
      <c r="O187" s="434"/>
      <c r="P187" s="434"/>
      <c r="Q187" s="434"/>
      <c r="R187" s="434"/>
      <c r="S187" s="434"/>
      <c r="T187" s="434"/>
      <c r="U187" s="434"/>
      <c r="V187" s="434"/>
      <c r="W187" s="434"/>
      <c r="X187" s="434"/>
      <c r="Y187" s="434"/>
      <c r="Z187" s="434"/>
      <c r="AA187" s="434"/>
    </row>
    <row r="188" spans="1:27" ht="15.75" customHeight="1" x14ac:dyDescent="0.35">
      <c r="A188" s="434"/>
      <c r="B188" s="434"/>
      <c r="C188" s="434"/>
      <c r="D188" s="434"/>
      <c r="E188" s="434"/>
      <c r="F188" s="434"/>
      <c r="G188" s="434"/>
      <c r="H188" s="434"/>
      <c r="I188" s="434"/>
      <c r="J188" s="434"/>
      <c r="K188" s="434"/>
      <c r="L188" s="434"/>
      <c r="M188" s="434"/>
      <c r="N188" s="434"/>
      <c r="O188" s="434"/>
      <c r="P188" s="434"/>
      <c r="Q188" s="434"/>
      <c r="R188" s="434"/>
      <c r="S188" s="434"/>
      <c r="T188" s="434"/>
      <c r="U188" s="434"/>
      <c r="V188" s="434"/>
      <c r="W188" s="434"/>
      <c r="X188" s="434"/>
      <c r="Y188" s="434"/>
      <c r="Z188" s="434"/>
      <c r="AA188" s="434"/>
    </row>
    <row r="189" spans="1:27" ht="15.75" customHeight="1" x14ac:dyDescent="0.35">
      <c r="A189" s="434"/>
      <c r="B189" s="434"/>
      <c r="C189" s="434"/>
      <c r="D189" s="434"/>
      <c r="E189" s="434"/>
      <c r="F189" s="434"/>
      <c r="G189" s="434"/>
      <c r="H189" s="434"/>
      <c r="I189" s="434"/>
      <c r="J189" s="434"/>
      <c r="K189" s="434"/>
      <c r="L189" s="434"/>
      <c r="M189" s="434"/>
      <c r="N189" s="434"/>
      <c r="O189" s="434"/>
      <c r="P189" s="434"/>
      <c r="Q189" s="434"/>
      <c r="R189" s="434"/>
      <c r="S189" s="434"/>
      <c r="T189" s="434"/>
      <c r="U189" s="434"/>
      <c r="V189" s="434"/>
      <c r="W189" s="434"/>
      <c r="X189" s="434"/>
      <c r="Y189" s="434"/>
      <c r="Z189" s="434"/>
      <c r="AA189" s="434"/>
    </row>
    <row r="190" spans="1:27" ht="15.75" customHeight="1" x14ac:dyDescent="0.35">
      <c r="A190" s="434"/>
      <c r="B190" s="434"/>
      <c r="C190" s="434"/>
      <c r="D190" s="434"/>
      <c r="E190" s="434"/>
      <c r="F190" s="434"/>
      <c r="G190" s="434"/>
      <c r="H190" s="434"/>
      <c r="I190" s="434"/>
      <c r="J190" s="434"/>
      <c r="K190" s="434"/>
      <c r="L190" s="434"/>
      <c r="M190" s="434"/>
      <c r="N190" s="434"/>
      <c r="O190" s="434"/>
      <c r="P190" s="434"/>
      <c r="Q190" s="434"/>
      <c r="R190" s="434"/>
      <c r="S190" s="434"/>
      <c r="T190" s="434"/>
      <c r="U190" s="434"/>
      <c r="V190" s="434"/>
      <c r="W190" s="434"/>
      <c r="X190" s="434"/>
      <c r="Y190" s="434"/>
      <c r="Z190" s="434"/>
      <c r="AA190" s="434"/>
    </row>
    <row r="191" spans="1:27" ht="15.75" customHeight="1" x14ac:dyDescent="0.35">
      <c r="A191" s="434"/>
      <c r="B191" s="434"/>
      <c r="C191" s="434"/>
      <c r="D191" s="434"/>
      <c r="E191" s="434"/>
      <c r="F191" s="434"/>
      <c r="G191" s="434"/>
      <c r="H191" s="434"/>
      <c r="I191" s="434"/>
      <c r="J191" s="434"/>
      <c r="K191" s="434"/>
      <c r="L191" s="434"/>
      <c r="M191" s="434"/>
      <c r="N191" s="434"/>
      <c r="O191" s="434"/>
      <c r="P191" s="434"/>
      <c r="Q191" s="434"/>
      <c r="R191" s="434"/>
      <c r="S191" s="434"/>
      <c r="T191" s="434"/>
      <c r="U191" s="434"/>
      <c r="V191" s="434"/>
      <c r="W191" s="434"/>
      <c r="X191" s="434"/>
      <c r="Y191" s="434"/>
      <c r="Z191" s="434"/>
      <c r="AA191" s="434"/>
    </row>
    <row r="192" spans="1:27" ht="15.75" customHeight="1" x14ac:dyDescent="0.35">
      <c r="A192" s="434"/>
      <c r="B192" s="434"/>
      <c r="C192" s="434"/>
      <c r="D192" s="434"/>
      <c r="E192" s="434"/>
      <c r="F192" s="434"/>
      <c r="G192" s="434"/>
      <c r="H192" s="434"/>
      <c r="I192" s="434"/>
      <c r="J192" s="434"/>
      <c r="K192" s="434"/>
      <c r="L192" s="434"/>
      <c r="M192" s="434"/>
      <c r="N192" s="434"/>
      <c r="O192" s="434"/>
      <c r="P192" s="434"/>
      <c r="Q192" s="434"/>
      <c r="R192" s="434"/>
      <c r="S192" s="434"/>
      <c r="T192" s="434"/>
      <c r="U192" s="434"/>
      <c r="V192" s="434"/>
      <c r="W192" s="434"/>
      <c r="X192" s="434"/>
      <c r="Y192" s="434"/>
      <c r="Z192" s="434"/>
      <c r="AA192" s="434"/>
    </row>
    <row r="193" spans="1:27" ht="15.75" customHeight="1" x14ac:dyDescent="0.35">
      <c r="A193" s="434"/>
      <c r="B193" s="434"/>
      <c r="C193" s="434"/>
      <c r="D193" s="434"/>
      <c r="E193" s="434"/>
      <c r="F193" s="434"/>
      <c r="G193" s="434"/>
      <c r="H193" s="434"/>
      <c r="I193" s="434"/>
      <c r="J193" s="434"/>
      <c r="K193" s="434"/>
      <c r="L193" s="434"/>
      <c r="M193" s="434"/>
      <c r="N193" s="434"/>
      <c r="O193" s="434"/>
      <c r="P193" s="434"/>
      <c r="Q193" s="434"/>
      <c r="R193" s="434"/>
      <c r="S193" s="434"/>
      <c r="T193" s="434"/>
      <c r="U193" s="434"/>
      <c r="V193" s="434"/>
      <c r="W193" s="434"/>
      <c r="X193" s="434"/>
      <c r="Y193" s="434"/>
      <c r="Z193" s="434"/>
      <c r="AA193" s="434"/>
    </row>
    <row r="194" spans="1:27" ht="15.75" customHeight="1" x14ac:dyDescent="0.35">
      <c r="A194" s="434"/>
      <c r="B194" s="434"/>
      <c r="C194" s="434"/>
      <c r="D194" s="434"/>
      <c r="E194" s="434"/>
      <c r="F194" s="434"/>
      <c r="G194" s="434"/>
      <c r="H194" s="434"/>
      <c r="I194" s="434"/>
      <c r="J194" s="434"/>
      <c r="K194" s="434"/>
      <c r="L194" s="434"/>
      <c r="M194" s="434"/>
      <c r="N194" s="434"/>
      <c r="O194" s="434"/>
      <c r="P194" s="434"/>
      <c r="Q194" s="434"/>
      <c r="R194" s="434"/>
      <c r="S194" s="434"/>
      <c r="T194" s="434"/>
      <c r="U194" s="434"/>
      <c r="V194" s="434"/>
      <c r="W194" s="434"/>
      <c r="X194" s="434"/>
      <c r="Y194" s="434"/>
      <c r="Z194" s="434"/>
      <c r="AA194" s="434"/>
    </row>
    <row r="195" spans="1:27" ht="15.75" customHeight="1" x14ac:dyDescent="0.35">
      <c r="A195" s="434"/>
      <c r="B195" s="434"/>
      <c r="C195" s="434"/>
      <c r="D195" s="434"/>
      <c r="E195" s="434"/>
      <c r="F195" s="434"/>
      <c r="G195" s="434"/>
      <c r="H195" s="434"/>
      <c r="I195" s="434"/>
      <c r="J195" s="434"/>
      <c r="K195" s="434"/>
      <c r="L195" s="434"/>
      <c r="M195" s="434"/>
      <c r="N195" s="434"/>
      <c r="O195" s="434"/>
      <c r="P195" s="434"/>
      <c r="Q195" s="434"/>
      <c r="R195" s="434"/>
      <c r="S195" s="434"/>
      <c r="T195" s="434"/>
      <c r="U195" s="434"/>
      <c r="V195" s="434"/>
      <c r="W195" s="434"/>
      <c r="X195" s="434"/>
      <c r="Y195" s="434"/>
      <c r="Z195" s="434"/>
      <c r="AA195" s="434"/>
    </row>
    <row r="196" spans="1:27" ht="15.75" customHeight="1" x14ac:dyDescent="0.35">
      <c r="A196" s="434"/>
      <c r="B196" s="434"/>
      <c r="C196" s="434"/>
      <c r="D196" s="434"/>
      <c r="E196" s="434"/>
      <c r="F196" s="434"/>
      <c r="G196" s="434"/>
      <c r="H196" s="434"/>
      <c r="I196" s="434"/>
      <c r="J196" s="434"/>
      <c r="K196" s="434"/>
      <c r="L196" s="434"/>
      <c r="M196" s="434"/>
      <c r="N196" s="434"/>
      <c r="O196" s="434"/>
      <c r="P196" s="434"/>
      <c r="Q196" s="434"/>
      <c r="R196" s="434"/>
      <c r="S196" s="434"/>
      <c r="T196" s="434"/>
      <c r="U196" s="434"/>
      <c r="V196" s="434"/>
      <c r="W196" s="434"/>
      <c r="X196" s="434"/>
      <c r="Y196" s="434"/>
      <c r="Z196" s="434"/>
      <c r="AA196" s="434"/>
    </row>
    <row r="197" spans="1:27" ht="15.75" customHeight="1" x14ac:dyDescent="0.35">
      <c r="A197" s="434"/>
      <c r="B197" s="434"/>
      <c r="C197" s="434"/>
      <c r="D197" s="434"/>
      <c r="E197" s="434"/>
      <c r="F197" s="434"/>
      <c r="G197" s="434"/>
      <c r="H197" s="434"/>
      <c r="I197" s="434"/>
      <c r="J197" s="434"/>
      <c r="K197" s="434"/>
      <c r="L197" s="434"/>
      <c r="M197" s="434"/>
      <c r="N197" s="434"/>
      <c r="O197" s="434"/>
      <c r="P197" s="434"/>
      <c r="Q197" s="434"/>
      <c r="R197" s="434"/>
      <c r="S197" s="434"/>
      <c r="T197" s="434"/>
      <c r="U197" s="434"/>
      <c r="V197" s="434"/>
      <c r="W197" s="434"/>
      <c r="X197" s="434"/>
      <c r="Y197" s="434"/>
      <c r="Z197" s="434"/>
      <c r="AA197" s="434"/>
    </row>
    <row r="198" spans="1:27" ht="15.75" customHeight="1" x14ac:dyDescent="0.35">
      <c r="A198" s="434"/>
      <c r="B198" s="434"/>
      <c r="C198" s="434"/>
      <c r="D198" s="434"/>
      <c r="E198" s="434"/>
      <c r="F198" s="434"/>
      <c r="G198" s="434"/>
      <c r="H198" s="434"/>
      <c r="I198" s="434"/>
      <c r="J198" s="434"/>
      <c r="K198" s="434"/>
      <c r="L198" s="434"/>
      <c r="M198" s="434"/>
      <c r="N198" s="434"/>
      <c r="O198" s="434"/>
      <c r="P198" s="434"/>
      <c r="Q198" s="434"/>
      <c r="R198" s="434"/>
      <c r="S198" s="434"/>
      <c r="T198" s="434"/>
      <c r="U198" s="434"/>
      <c r="V198" s="434"/>
      <c r="W198" s="434"/>
      <c r="X198" s="434"/>
      <c r="Y198" s="434"/>
      <c r="Z198" s="434"/>
      <c r="AA198" s="434"/>
    </row>
    <row r="199" spans="1:27" ht="15.75" customHeight="1" x14ac:dyDescent="0.35">
      <c r="A199" s="434"/>
      <c r="B199" s="434"/>
      <c r="C199" s="434"/>
      <c r="D199" s="434"/>
      <c r="E199" s="434"/>
      <c r="F199" s="434"/>
      <c r="G199" s="434"/>
      <c r="H199" s="434"/>
      <c r="I199" s="434"/>
      <c r="J199" s="434"/>
      <c r="K199" s="434"/>
      <c r="L199" s="434"/>
      <c r="M199" s="434"/>
      <c r="N199" s="434"/>
      <c r="O199" s="434"/>
      <c r="P199" s="434"/>
      <c r="Q199" s="434"/>
      <c r="R199" s="434"/>
      <c r="S199" s="434"/>
      <c r="T199" s="434"/>
      <c r="U199" s="434"/>
      <c r="V199" s="434"/>
      <c r="W199" s="434"/>
      <c r="X199" s="434"/>
      <c r="Y199" s="434"/>
      <c r="Z199" s="434"/>
      <c r="AA199" s="434"/>
    </row>
    <row r="200" spans="1:27" ht="15.75" customHeight="1" x14ac:dyDescent="0.35">
      <c r="A200" s="434"/>
      <c r="B200" s="434"/>
      <c r="C200" s="434"/>
      <c r="D200" s="434"/>
      <c r="E200" s="434"/>
      <c r="F200" s="434"/>
      <c r="G200" s="434"/>
      <c r="H200" s="434"/>
      <c r="I200" s="434"/>
      <c r="J200" s="434"/>
      <c r="K200" s="434"/>
      <c r="L200" s="434"/>
      <c r="M200" s="434"/>
      <c r="N200" s="434"/>
      <c r="O200" s="434"/>
      <c r="P200" s="434"/>
      <c r="Q200" s="434"/>
      <c r="R200" s="434"/>
      <c r="S200" s="434"/>
      <c r="T200" s="434"/>
      <c r="U200" s="434"/>
      <c r="V200" s="434"/>
      <c r="W200" s="434"/>
      <c r="X200" s="434"/>
      <c r="Y200" s="434"/>
      <c r="Z200" s="434"/>
      <c r="AA200" s="434"/>
    </row>
    <row r="201" spans="1:27" ht="15.75" customHeight="1" x14ac:dyDescent="0.35">
      <c r="A201" s="434"/>
      <c r="B201" s="434"/>
      <c r="C201" s="434"/>
      <c r="D201" s="434"/>
      <c r="E201" s="434"/>
      <c r="F201" s="434"/>
      <c r="G201" s="434"/>
      <c r="H201" s="434"/>
      <c r="I201" s="434"/>
      <c r="J201" s="434"/>
      <c r="K201" s="434"/>
      <c r="L201" s="434"/>
      <c r="M201" s="434"/>
      <c r="N201" s="434"/>
      <c r="O201" s="434"/>
      <c r="P201" s="434"/>
      <c r="Q201" s="434"/>
      <c r="R201" s="434"/>
      <c r="S201" s="434"/>
      <c r="T201" s="434"/>
      <c r="U201" s="434"/>
      <c r="V201" s="434"/>
      <c r="W201" s="434"/>
      <c r="X201" s="434"/>
      <c r="Y201" s="434"/>
      <c r="Z201" s="434"/>
      <c r="AA201" s="434"/>
    </row>
    <row r="202" spans="1:27" ht="15.75" customHeight="1" x14ac:dyDescent="0.35">
      <c r="A202" s="434"/>
      <c r="B202" s="434"/>
      <c r="C202" s="434"/>
      <c r="D202" s="434"/>
      <c r="E202" s="434"/>
      <c r="F202" s="434"/>
      <c r="G202" s="434"/>
      <c r="H202" s="434"/>
      <c r="I202" s="434"/>
      <c r="J202" s="434"/>
      <c r="K202" s="434"/>
      <c r="L202" s="434"/>
      <c r="M202" s="434"/>
      <c r="N202" s="434"/>
      <c r="O202" s="434"/>
      <c r="P202" s="434"/>
      <c r="Q202" s="434"/>
      <c r="R202" s="434"/>
      <c r="S202" s="434"/>
      <c r="T202" s="434"/>
      <c r="U202" s="434"/>
      <c r="V202" s="434"/>
      <c r="W202" s="434"/>
      <c r="X202" s="434"/>
      <c r="Y202" s="434"/>
      <c r="Z202" s="434"/>
      <c r="AA202" s="434"/>
    </row>
    <row r="203" spans="1:27" ht="15.75" customHeight="1" x14ac:dyDescent="0.35">
      <c r="A203" s="434"/>
      <c r="B203" s="434"/>
      <c r="C203" s="434"/>
      <c r="D203" s="434"/>
      <c r="E203" s="434"/>
      <c r="F203" s="434"/>
      <c r="G203" s="434"/>
      <c r="H203" s="434"/>
      <c r="I203" s="434"/>
      <c r="J203" s="434"/>
      <c r="K203" s="434"/>
      <c r="L203" s="434"/>
      <c r="M203" s="434"/>
      <c r="N203" s="434"/>
      <c r="O203" s="434"/>
      <c r="P203" s="434"/>
      <c r="Q203" s="434"/>
      <c r="R203" s="434"/>
      <c r="S203" s="434"/>
      <c r="T203" s="434"/>
      <c r="U203" s="434"/>
      <c r="V203" s="434"/>
      <c r="W203" s="434"/>
      <c r="X203" s="434"/>
      <c r="Y203" s="434"/>
      <c r="Z203" s="434"/>
      <c r="AA203" s="434"/>
    </row>
    <row r="204" spans="1:27" ht="15.75" customHeight="1" x14ac:dyDescent="0.35">
      <c r="A204" s="434"/>
      <c r="B204" s="434"/>
      <c r="C204" s="434"/>
      <c r="D204" s="434"/>
      <c r="E204" s="434"/>
      <c r="F204" s="434"/>
      <c r="G204" s="434"/>
      <c r="H204" s="434"/>
      <c r="I204" s="434"/>
      <c r="J204" s="434"/>
      <c r="K204" s="434"/>
      <c r="L204" s="434"/>
      <c r="M204" s="434"/>
      <c r="N204" s="434"/>
      <c r="O204" s="434"/>
      <c r="P204" s="434"/>
      <c r="Q204" s="434"/>
      <c r="R204" s="434"/>
      <c r="S204" s="434"/>
      <c r="T204" s="434"/>
      <c r="U204" s="434"/>
      <c r="V204" s="434"/>
      <c r="W204" s="434"/>
      <c r="X204" s="434"/>
      <c r="Y204" s="434"/>
      <c r="Z204" s="434"/>
      <c r="AA204" s="434"/>
    </row>
    <row r="205" spans="1:27" ht="15.75" customHeight="1" x14ac:dyDescent="0.35">
      <c r="A205" s="434"/>
      <c r="B205" s="434"/>
      <c r="C205" s="434"/>
      <c r="D205" s="434"/>
      <c r="E205" s="434"/>
      <c r="F205" s="434"/>
      <c r="G205" s="434"/>
      <c r="H205" s="434"/>
      <c r="I205" s="434"/>
      <c r="J205" s="434"/>
      <c r="K205" s="434"/>
      <c r="L205" s="434"/>
      <c r="M205" s="434"/>
      <c r="N205" s="434"/>
      <c r="O205" s="434"/>
      <c r="P205" s="434"/>
      <c r="Q205" s="434"/>
      <c r="R205" s="434"/>
      <c r="S205" s="434"/>
      <c r="T205" s="434"/>
      <c r="U205" s="434"/>
      <c r="V205" s="434"/>
      <c r="W205" s="434"/>
      <c r="X205" s="434"/>
      <c r="Y205" s="434"/>
      <c r="Z205" s="434"/>
      <c r="AA205" s="434"/>
    </row>
    <row r="206" spans="1:27" ht="15.75" customHeight="1" x14ac:dyDescent="0.35">
      <c r="A206" s="434"/>
      <c r="B206" s="434"/>
      <c r="C206" s="434"/>
      <c r="D206" s="434"/>
      <c r="E206" s="434"/>
      <c r="F206" s="434"/>
      <c r="G206" s="434"/>
      <c r="H206" s="434"/>
      <c r="I206" s="434"/>
      <c r="J206" s="434"/>
      <c r="K206" s="434"/>
      <c r="L206" s="434"/>
      <c r="M206" s="434"/>
      <c r="N206" s="434"/>
      <c r="O206" s="434"/>
      <c r="P206" s="434"/>
      <c r="Q206" s="434"/>
      <c r="R206" s="434"/>
      <c r="S206" s="434"/>
      <c r="T206" s="434"/>
      <c r="U206" s="434"/>
      <c r="V206" s="434"/>
      <c r="W206" s="434"/>
      <c r="X206" s="434"/>
      <c r="Y206" s="434"/>
      <c r="Z206" s="434"/>
      <c r="AA206" s="434"/>
    </row>
    <row r="207" spans="1:27" ht="15.75" customHeight="1" x14ac:dyDescent="0.35">
      <c r="A207" s="434"/>
      <c r="B207" s="434"/>
      <c r="C207" s="434"/>
      <c r="D207" s="434"/>
      <c r="E207" s="434"/>
      <c r="F207" s="434"/>
      <c r="G207" s="434"/>
      <c r="H207" s="434"/>
      <c r="I207" s="434"/>
      <c r="J207" s="434"/>
      <c r="K207" s="434"/>
      <c r="L207" s="434"/>
      <c r="M207" s="434"/>
      <c r="N207" s="434"/>
      <c r="O207" s="434"/>
      <c r="P207" s="434"/>
      <c r="Q207" s="434"/>
      <c r="R207" s="434"/>
      <c r="S207" s="434"/>
      <c r="T207" s="434"/>
      <c r="U207" s="434"/>
      <c r="V207" s="434"/>
      <c r="W207" s="434"/>
      <c r="X207" s="434"/>
      <c r="Y207" s="434"/>
      <c r="Z207" s="434"/>
      <c r="AA207" s="434"/>
    </row>
    <row r="208" spans="1:27" ht="15.75" customHeight="1" x14ac:dyDescent="0.35">
      <c r="A208" s="434"/>
      <c r="B208" s="434"/>
      <c r="C208" s="434"/>
      <c r="D208" s="434"/>
      <c r="E208" s="434"/>
      <c r="F208" s="434"/>
      <c r="G208" s="434"/>
      <c r="H208" s="434"/>
      <c r="I208" s="434"/>
      <c r="J208" s="434"/>
      <c r="K208" s="434"/>
      <c r="L208" s="434"/>
      <c r="M208" s="434"/>
      <c r="N208" s="434"/>
      <c r="O208" s="434"/>
      <c r="P208" s="434"/>
      <c r="Q208" s="434"/>
      <c r="R208" s="434"/>
      <c r="S208" s="434"/>
      <c r="T208" s="434"/>
      <c r="U208" s="434"/>
      <c r="V208" s="434"/>
      <c r="W208" s="434"/>
      <c r="X208" s="434"/>
      <c r="Y208" s="434"/>
      <c r="Z208" s="434"/>
      <c r="AA208" s="434"/>
    </row>
    <row r="209" spans="1:27" ht="15.75" customHeight="1" x14ac:dyDescent="0.35">
      <c r="A209" s="434"/>
      <c r="B209" s="434"/>
      <c r="C209" s="434"/>
      <c r="D209" s="434"/>
      <c r="E209" s="434"/>
      <c r="F209" s="434"/>
      <c r="G209" s="434"/>
      <c r="H209" s="434"/>
      <c r="I209" s="434"/>
      <c r="J209" s="434"/>
      <c r="K209" s="434"/>
      <c r="L209" s="434"/>
      <c r="M209" s="434"/>
      <c r="N209" s="434"/>
      <c r="O209" s="434"/>
      <c r="P209" s="434"/>
      <c r="Q209" s="434"/>
      <c r="R209" s="434"/>
      <c r="S209" s="434"/>
      <c r="T209" s="434"/>
      <c r="U209" s="434"/>
      <c r="V209" s="434"/>
      <c r="W209" s="434"/>
      <c r="X209" s="434"/>
      <c r="Y209" s="434"/>
      <c r="Z209" s="434"/>
      <c r="AA209" s="434"/>
    </row>
    <row r="210" spans="1:27" ht="15.75" customHeight="1" x14ac:dyDescent="0.35">
      <c r="A210" s="434"/>
      <c r="B210" s="434"/>
      <c r="C210" s="434"/>
      <c r="D210" s="434"/>
      <c r="E210" s="434"/>
      <c r="F210" s="434"/>
      <c r="G210" s="434"/>
      <c r="H210" s="434"/>
      <c r="I210" s="434"/>
      <c r="J210" s="434"/>
      <c r="K210" s="434"/>
      <c r="L210" s="434"/>
      <c r="M210" s="434"/>
      <c r="N210" s="434"/>
      <c r="O210" s="434"/>
      <c r="P210" s="434"/>
      <c r="Q210" s="434"/>
      <c r="R210" s="434"/>
      <c r="S210" s="434"/>
      <c r="T210" s="434"/>
      <c r="U210" s="434"/>
      <c r="V210" s="434"/>
      <c r="W210" s="434"/>
      <c r="X210" s="434"/>
      <c r="Y210" s="434"/>
      <c r="Z210" s="434"/>
      <c r="AA210" s="434"/>
    </row>
    <row r="211" spans="1:27" ht="15.75" customHeight="1" x14ac:dyDescent="0.35">
      <c r="A211" s="434"/>
      <c r="B211" s="434"/>
      <c r="C211" s="434"/>
      <c r="D211" s="434"/>
      <c r="E211" s="434"/>
      <c r="F211" s="434"/>
      <c r="G211" s="434"/>
      <c r="H211" s="434"/>
      <c r="I211" s="434"/>
      <c r="J211" s="434"/>
      <c r="K211" s="434"/>
      <c r="L211" s="434"/>
      <c r="M211" s="434"/>
      <c r="N211" s="434"/>
      <c r="O211" s="434"/>
      <c r="P211" s="434"/>
      <c r="Q211" s="434"/>
      <c r="R211" s="434"/>
      <c r="S211" s="434"/>
      <c r="T211" s="434"/>
      <c r="U211" s="434"/>
      <c r="V211" s="434"/>
      <c r="W211" s="434"/>
      <c r="X211" s="434"/>
      <c r="Y211" s="434"/>
      <c r="Z211" s="434"/>
      <c r="AA211" s="434"/>
    </row>
    <row r="212" spans="1:27" ht="15.75" customHeight="1" x14ac:dyDescent="0.35">
      <c r="A212" s="434"/>
      <c r="B212" s="434"/>
      <c r="C212" s="434"/>
      <c r="D212" s="434"/>
      <c r="E212" s="434"/>
      <c r="F212" s="434"/>
      <c r="G212" s="434"/>
      <c r="H212" s="434"/>
      <c r="I212" s="434"/>
      <c r="J212" s="434"/>
      <c r="K212" s="434"/>
      <c r="L212" s="434"/>
      <c r="M212" s="434"/>
      <c r="N212" s="434"/>
      <c r="O212" s="434"/>
      <c r="P212" s="434"/>
      <c r="Q212" s="434"/>
      <c r="R212" s="434"/>
      <c r="S212" s="434"/>
      <c r="T212" s="434"/>
      <c r="U212" s="434"/>
      <c r="V212" s="434"/>
      <c r="W212" s="434"/>
      <c r="X212" s="434"/>
      <c r="Y212" s="434"/>
      <c r="Z212" s="434"/>
      <c r="AA212" s="434"/>
    </row>
    <row r="213" spans="1:27" ht="15.75" customHeight="1" x14ac:dyDescent="0.35">
      <c r="A213" s="434"/>
      <c r="B213" s="434"/>
      <c r="C213" s="434"/>
      <c r="D213" s="434"/>
      <c r="E213" s="434"/>
      <c r="F213" s="434"/>
      <c r="G213" s="434"/>
      <c r="H213" s="434"/>
      <c r="I213" s="434"/>
      <c r="J213" s="434"/>
      <c r="K213" s="434"/>
      <c r="L213" s="434"/>
      <c r="M213" s="434"/>
      <c r="N213" s="434"/>
      <c r="O213" s="434"/>
      <c r="P213" s="434"/>
      <c r="Q213" s="434"/>
      <c r="R213" s="434"/>
      <c r="S213" s="434"/>
      <c r="T213" s="434"/>
      <c r="U213" s="434"/>
      <c r="V213" s="434"/>
      <c r="W213" s="434"/>
      <c r="X213" s="434"/>
      <c r="Y213" s="434"/>
      <c r="Z213" s="434"/>
      <c r="AA213" s="434"/>
    </row>
    <row r="214" spans="1:27" ht="15.75" customHeight="1" x14ac:dyDescent="0.35">
      <c r="A214" s="434"/>
      <c r="B214" s="434"/>
      <c r="C214" s="434"/>
      <c r="D214" s="434"/>
      <c r="E214" s="434"/>
      <c r="F214" s="434"/>
      <c r="G214" s="434"/>
      <c r="H214" s="434"/>
      <c r="I214" s="434"/>
      <c r="J214" s="434"/>
      <c r="K214" s="434"/>
      <c r="L214" s="434"/>
      <c r="M214" s="434"/>
      <c r="N214" s="434"/>
      <c r="O214" s="434"/>
      <c r="P214" s="434"/>
      <c r="Q214" s="434"/>
      <c r="R214" s="434"/>
      <c r="S214" s="434"/>
      <c r="T214" s="434"/>
      <c r="U214" s="434"/>
      <c r="V214" s="434"/>
      <c r="W214" s="434"/>
      <c r="X214" s="434"/>
      <c r="Y214" s="434"/>
      <c r="Z214" s="434"/>
      <c r="AA214" s="434"/>
    </row>
    <row r="215" spans="1:27" ht="15.75" customHeight="1" x14ac:dyDescent="0.35">
      <c r="A215" s="434"/>
      <c r="B215" s="434"/>
      <c r="C215" s="434"/>
      <c r="D215" s="434"/>
      <c r="E215" s="434"/>
      <c r="F215" s="434"/>
      <c r="G215" s="434"/>
      <c r="H215" s="434"/>
      <c r="I215" s="434"/>
      <c r="J215" s="434"/>
      <c r="K215" s="434"/>
      <c r="L215" s="434"/>
      <c r="M215" s="434"/>
      <c r="N215" s="434"/>
      <c r="O215" s="434"/>
      <c r="P215" s="434"/>
      <c r="Q215" s="434"/>
      <c r="R215" s="434"/>
      <c r="S215" s="434"/>
      <c r="T215" s="434"/>
      <c r="U215" s="434"/>
      <c r="V215" s="434"/>
      <c r="W215" s="434"/>
      <c r="X215" s="434"/>
      <c r="Y215" s="434"/>
      <c r="Z215" s="434"/>
      <c r="AA215" s="434"/>
    </row>
    <row r="216" spans="1:27" ht="15.75" customHeight="1" x14ac:dyDescent="0.35">
      <c r="A216" s="434"/>
      <c r="B216" s="434"/>
      <c r="C216" s="434"/>
      <c r="D216" s="434"/>
      <c r="E216" s="434"/>
      <c r="F216" s="434"/>
      <c r="G216" s="434"/>
      <c r="H216" s="434"/>
      <c r="I216" s="434"/>
      <c r="J216" s="434"/>
      <c r="K216" s="434"/>
      <c r="L216" s="434"/>
      <c r="M216" s="434"/>
      <c r="N216" s="434"/>
      <c r="O216" s="434"/>
      <c r="P216" s="434"/>
      <c r="Q216" s="434"/>
      <c r="R216" s="434"/>
      <c r="S216" s="434"/>
      <c r="T216" s="434"/>
      <c r="U216" s="434"/>
      <c r="V216" s="434"/>
      <c r="W216" s="434"/>
      <c r="X216" s="434"/>
      <c r="Y216" s="434"/>
      <c r="Z216" s="434"/>
      <c r="AA216" s="434"/>
    </row>
    <row r="217" spans="1:27" ht="15.75" customHeight="1" x14ac:dyDescent="0.35">
      <c r="A217" s="434"/>
      <c r="B217" s="434"/>
      <c r="C217" s="434"/>
      <c r="D217" s="434"/>
      <c r="E217" s="434"/>
      <c r="F217" s="434"/>
      <c r="G217" s="434"/>
      <c r="H217" s="434"/>
      <c r="I217" s="434"/>
      <c r="J217" s="434"/>
      <c r="K217" s="434"/>
      <c r="L217" s="434"/>
      <c r="M217" s="434"/>
      <c r="N217" s="434"/>
      <c r="O217" s="434"/>
      <c r="P217" s="434"/>
      <c r="Q217" s="434"/>
      <c r="R217" s="434"/>
      <c r="S217" s="434"/>
      <c r="T217" s="434"/>
      <c r="U217" s="434"/>
      <c r="V217" s="434"/>
      <c r="W217" s="434"/>
      <c r="X217" s="434"/>
      <c r="Y217" s="434"/>
      <c r="Z217" s="434"/>
      <c r="AA217" s="434"/>
    </row>
    <row r="218" spans="1:27" ht="15.75" customHeight="1" x14ac:dyDescent="0.35">
      <c r="A218" s="434"/>
      <c r="B218" s="434"/>
      <c r="C218" s="434"/>
      <c r="D218" s="434"/>
      <c r="E218" s="434"/>
      <c r="F218" s="434"/>
      <c r="G218" s="434"/>
      <c r="H218" s="434"/>
      <c r="I218" s="434"/>
      <c r="J218" s="434"/>
      <c r="K218" s="434"/>
      <c r="L218" s="434"/>
      <c r="M218" s="434"/>
      <c r="N218" s="434"/>
      <c r="O218" s="434"/>
      <c r="P218" s="434"/>
      <c r="Q218" s="434"/>
      <c r="R218" s="434"/>
      <c r="S218" s="434"/>
      <c r="T218" s="434"/>
      <c r="U218" s="434"/>
      <c r="V218" s="434"/>
      <c r="W218" s="434"/>
      <c r="X218" s="434"/>
      <c r="Y218" s="434"/>
      <c r="Z218" s="434"/>
      <c r="AA218" s="434"/>
    </row>
    <row r="219" spans="1:27" ht="15.75" customHeight="1" x14ac:dyDescent="0.35">
      <c r="A219" s="434"/>
      <c r="B219" s="434"/>
      <c r="C219" s="434"/>
      <c r="D219" s="434"/>
      <c r="E219" s="434"/>
      <c r="F219" s="434"/>
      <c r="G219" s="434"/>
      <c r="H219" s="434"/>
      <c r="I219" s="434"/>
      <c r="J219" s="434"/>
      <c r="K219" s="434"/>
      <c r="L219" s="434"/>
      <c r="M219" s="434"/>
      <c r="N219" s="434"/>
      <c r="O219" s="434"/>
      <c r="P219" s="434"/>
      <c r="Q219" s="434"/>
      <c r="R219" s="434"/>
      <c r="S219" s="434"/>
      <c r="T219" s="434"/>
      <c r="U219" s="434"/>
      <c r="V219" s="434"/>
      <c r="W219" s="434"/>
      <c r="X219" s="434"/>
      <c r="Y219" s="434"/>
      <c r="Z219" s="434"/>
      <c r="AA219" s="434"/>
    </row>
    <row r="220" spans="1:27" ht="15.75" customHeight="1" x14ac:dyDescent="0.35">
      <c r="A220" s="434"/>
      <c r="B220" s="434"/>
      <c r="C220" s="434"/>
      <c r="D220" s="434"/>
      <c r="E220" s="434"/>
      <c r="F220" s="434"/>
      <c r="G220" s="434"/>
      <c r="H220" s="434"/>
      <c r="I220" s="434"/>
      <c r="J220" s="434"/>
      <c r="K220" s="434"/>
      <c r="L220" s="434"/>
      <c r="M220" s="434"/>
      <c r="N220" s="434"/>
      <c r="O220" s="434"/>
      <c r="P220" s="434"/>
      <c r="Q220" s="434"/>
      <c r="R220" s="434"/>
      <c r="S220" s="434"/>
      <c r="T220" s="434"/>
      <c r="U220" s="434"/>
      <c r="V220" s="434"/>
      <c r="W220" s="434"/>
      <c r="X220" s="434"/>
      <c r="Y220" s="434"/>
      <c r="Z220" s="434"/>
      <c r="AA220" s="434"/>
    </row>
    <row r="221" spans="1:27" ht="15.75" customHeight="1" x14ac:dyDescent="0.35">
      <c r="A221" s="434"/>
      <c r="B221" s="434"/>
      <c r="C221" s="434"/>
      <c r="D221" s="434"/>
      <c r="E221" s="434"/>
      <c r="F221" s="434"/>
      <c r="G221" s="434"/>
      <c r="H221" s="434"/>
      <c r="I221" s="434"/>
      <c r="J221" s="434"/>
      <c r="K221" s="434"/>
      <c r="L221" s="434"/>
      <c r="M221" s="434"/>
      <c r="N221" s="434"/>
      <c r="O221" s="434"/>
      <c r="P221" s="434"/>
      <c r="Q221" s="434"/>
      <c r="R221" s="434"/>
      <c r="S221" s="434"/>
      <c r="T221" s="434"/>
      <c r="U221" s="434"/>
      <c r="V221" s="434"/>
      <c r="W221" s="434"/>
      <c r="X221" s="434"/>
      <c r="Y221" s="434"/>
      <c r="Z221" s="434"/>
      <c r="AA221" s="434"/>
    </row>
    <row r="222" spans="1:27" ht="15.75" customHeight="1" x14ac:dyDescent="0.35">
      <c r="A222" s="434"/>
      <c r="B222" s="434"/>
      <c r="C222" s="434"/>
      <c r="D222" s="434"/>
      <c r="E222" s="434"/>
      <c r="F222" s="434"/>
      <c r="G222" s="434"/>
      <c r="H222" s="434"/>
      <c r="I222" s="434"/>
      <c r="J222" s="434"/>
      <c r="K222" s="434"/>
      <c r="L222" s="434"/>
      <c r="M222" s="434"/>
      <c r="N222" s="434"/>
      <c r="O222" s="434"/>
      <c r="P222" s="434"/>
      <c r="Q222" s="434"/>
      <c r="R222" s="434"/>
      <c r="S222" s="434"/>
      <c r="T222" s="434"/>
      <c r="U222" s="434"/>
      <c r="V222" s="434"/>
      <c r="W222" s="434"/>
      <c r="X222" s="434"/>
      <c r="Y222" s="434"/>
      <c r="Z222" s="434"/>
      <c r="AA222" s="434"/>
    </row>
    <row r="223" spans="1:27" ht="15.75" customHeight="1" x14ac:dyDescent="0.35">
      <c r="A223" s="434"/>
      <c r="B223" s="434"/>
      <c r="C223" s="434"/>
      <c r="D223" s="434"/>
      <c r="E223" s="434"/>
      <c r="F223" s="434"/>
      <c r="G223" s="434"/>
      <c r="H223" s="434"/>
      <c r="I223" s="434"/>
      <c r="J223" s="434"/>
      <c r="K223" s="434"/>
      <c r="L223" s="434"/>
      <c r="M223" s="434"/>
      <c r="N223" s="434"/>
      <c r="O223" s="434"/>
      <c r="P223" s="434"/>
      <c r="Q223" s="434"/>
      <c r="R223" s="434"/>
      <c r="S223" s="434"/>
      <c r="T223" s="434"/>
      <c r="U223" s="434"/>
      <c r="V223" s="434"/>
      <c r="W223" s="434"/>
      <c r="X223" s="434"/>
      <c r="Y223" s="434"/>
      <c r="Z223" s="434"/>
      <c r="AA223" s="434"/>
    </row>
    <row r="224" spans="1:27" ht="15.75" customHeight="1" x14ac:dyDescent="0.35">
      <c r="A224" s="434"/>
      <c r="B224" s="434"/>
      <c r="C224" s="434"/>
      <c r="D224" s="434"/>
      <c r="E224" s="434"/>
      <c r="F224" s="434"/>
      <c r="G224" s="434"/>
      <c r="H224" s="434"/>
      <c r="I224" s="434"/>
      <c r="J224" s="434"/>
      <c r="K224" s="434"/>
      <c r="L224" s="434"/>
      <c r="M224" s="434"/>
      <c r="N224" s="434"/>
      <c r="O224" s="434"/>
      <c r="P224" s="434"/>
      <c r="Q224" s="434"/>
      <c r="R224" s="434"/>
      <c r="S224" s="434"/>
      <c r="T224" s="434"/>
      <c r="U224" s="434"/>
      <c r="V224" s="434"/>
      <c r="W224" s="434"/>
      <c r="X224" s="434"/>
      <c r="Y224" s="434"/>
      <c r="Z224" s="434"/>
      <c r="AA224" s="434"/>
    </row>
    <row r="225" spans="1:27" ht="15.75" customHeight="1" x14ac:dyDescent="0.35">
      <c r="A225" s="434"/>
      <c r="B225" s="434"/>
      <c r="C225" s="434"/>
      <c r="D225" s="434"/>
      <c r="E225" s="434"/>
      <c r="F225" s="434"/>
      <c r="G225" s="434"/>
      <c r="H225" s="434"/>
      <c r="I225" s="434"/>
      <c r="J225" s="434"/>
      <c r="K225" s="434"/>
      <c r="L225" s="434"/>
      <c r="M225" s="434"/>
      <c r="N225" s="434"/>
      <c r="O225" s="434"/>
      <c r="P225" s="434"/>
      <c r="Q225" s="434"/>
      <c r="R225" s="434"/>
      <c r="S225" s="434"/>
      <c r="T225" s="434"/>
      <c r="U225" s="434"/>
      <c r="V225" s="434"/>
      <c r="W225" s="434"/>
      <c r="X225" s="434"/>
      <c r="Y225" s="434"/>
      <c r="Z225" s="434"/>
      <c r="AA225" s="434"/>
    </row>
    <row r="226" spans="1:27" ht="15.75" customHeight="1" x14ac:dyDescent="0.35">
      <c r="A226" s="434"/>
      <c r="B226" s="434"/>
      <c r="C226" s="434"/>
      <c r="D226" s="434"/>
      <c r="E226" s="434"/>
      <c r="F226" s="434"/>
      <c r="G226" s="434"/>
      <c r="H226" s="434"/>
      <c r="I226" s="434"/>
      <c r="J226" s="434"/>
      <c r="K226" s="434"/>
      <c r="L226" s="434"/>
      <c r="M226" s="434"/>
      <c r="N226" s="434"/>
      <c r="O226" s="434"/>
      <c r="P226" s="434"/>
      <c r="Q226" s="434"/>
      <c r="R226" s="434"/>
      <c r="S226" s="434"/>
      <c r="T226" s="434"/>
      <c r="U226" s="434"/>
      <c r="V226" s="434"/>
      <c r="W226" s="434"/>
      <c r="X226" s="434"/>
      <c r="Y226" s="434"/>
      <c r="Z226" s="434"/>
      <c r="AA226" s="434"/>
    </row>
    <row r="227" spans="1:27" ht="15.75" customHeight="1" x14ac:dyDescent="0.35">
      <c r="A227" s="434"/>
      <c r="B227" s="434"/>
      <c r="C227" s="434"/>
      <c r="D227" s="434"/>
      <c r="E227" s="434"/>
      <c r="F227" s="434"/>
      <c r="G227" s="434"/>
      <c r="H227" s="434"/>
      <c r="I227" s="434"/>
      <c r="J227" s="434"/>
      <c r="K227" s="434"/>
      <c r="L227" s="434"/>
      <c r="M227" s="434"/>
      <c r="N227" s="434"/>
      <c r="O227" s="434"/>
      <c r="P227" s="434"/>
      <c r="Q227" s="434"/>
      <c r="R227" s="434"/>
      <c r="S227" s="434"/>
      <c r="T227" s="434"/>
      <c r="U227" s="434"/>
      <c r="V227" s="434"/>
      <c r="W227" s="434"/>
      <c r="X227" s="434"/>
      <c r="Y227" s="434"/>
      <c r="Z227" s="434"/>
      <c r="AA227" s="434"/>
    </row>
    <row r="228" spans="1:27" ht="15.75" customHeight="1" x14ac:dyDescent="0.35">
      <c r="A228" s="434"/>
      <c r="B228" s="434"/>
      <c r="C228" s="434"/>
      <c r="D228" s="434"/>
      <c r="E228" s="434"/>
      <c r="F228" s="434"/>
      <c r="G228" s="434"/>
      <c r="H228" s="434"/>
      <c r="I228" s="434"/>
      <c r="J228" s="434"/>
      <c r="K228" s="434"/>
      <c r="L228" s="434"/>
      <c r="M228" s="434"/>
      <c r="N228" s="434"/>
      <c r="O228" s="434"/>
      <c r="P228" s="434"/>
      <c r="Q228" s="434"/>
      <c r="R228" s="434"/>
      <c r="S228" s="434"/>
      <c r="T228" s="434"/>
      <c r="U228" s="434"/>
      <c r="V228" s="434"/>
      <c r="W228" s="434"/>
      <c r="X228" s="434"/>
      <c r="Y228" s="434"/>
      <c r="Z228" s="434"/>
      <c r="AA228" s="434"/>
    </row>
    <row r="229" spans="1:27" ht="15.75" customHeight="1" x14ac:dyDescent="0.35">
      <c r="A229" s="434"/>
      <c r="B229" s="434"/>
      <c r="C229" s="434"/>
      <c r="D229" s="434"/>
      <c r="E229" s="434"/>
      <c r="F229" s="434"/>
      <c r="G229" s="434"/>
      <c r="H229" s="434"/>
      <c r="I229" s="434"/>
      <c r="J229" s="434"/>
      <c r="K229" s="434"/>
      <c r="L229" s="434"/>
      <c r="M229" s="434"/>
      <c r="N229" s="434"/>
      <c r="O229" s="434"/>
      <c r="P229" s="434"/>
      <c r="Q229" s="434"/>
      <c r="R229" s="434"/>
      <c r="S229" s="434"/>
      <c r="T229" s="434"/>
      <c r="U229" s="434"/>
      <c r="V229" s="434"/>
      <c r="W229" s="434"/>
      <c r="X229" s="434"/>
      <c r="Y229" s="434"/>
      <c r="Z229" s="434"/>
      <c r="AA229" s="434"/>
    </row>
    <row r="230" spans="1:27" ht="15.75" customHeight="1" x14ac:dyDescent="0.35">
      <c r="A230" s="434"/>
      <c r="B230" s="434"/>
      <c r="C230" s="434"/>
      <c r="D230" s="434"/>
      <c r="E230" s="434"/>
      <c r="F230" s="434"/>
      <c r="G230" s="434"/>
      <c r="H230" s="434"/>
      <c r="I230" s="434"/>
      <c r="J230" s="434"/>
      <c r="K230" s="434"/>
      <c r="L230" s="434"/>
      <c r="M230" s="434"/>
      <c r="N230" s="434"/>
      <c r="O230" s="434"/>
      <c r="P230" s="434"/>
      <c r="Q230" s="434"/>
      <c r="R230" s="434"/>
      <c r="S230" s="434"/>
      <c r="T230" s="434"/>
      <c r="U230" s="434"/>
      <c r="V230" s="434"/>
      <c r="W230" s="434"/>
      <c r="X230" s="434"/>
      <c r="Y230" s="434"/>
      <c r="Z230" s="434"/>
      <c r="AA230" s="434"/>
    </row>
    <row r="231" spans="1:27" ht="15.75" customHeight="1" x14ac:dyDescent="0.35">
      <c r="A231" s="434"/>
      <c r="B231" s="434"/>
      <c r="C231" s="434"/>
      <c r="D231" s="434"/>
      <c r="E231" s="434"/>
      <c r="F231" s="434"/>
      <c r="G231" s="434"/>
      <c r="H231" s="434"/>
      <c r="I231" s="434"/>
      <c r="J231" s="434"/>
      <c r="K231" s="434"/>
      <c r="L231" s="434"/>
      <c r="M231" s="434"/>
      <c r="N231" s="434"/>
      <c r="O231" s="434"/>
      <c r="P231" s="434"/>
      <c r="Q231" s="434"/>
      <c r="R231" s="434"/>
      <c r="S231" s="434"/>
      <c r="T231" s="434"/>
      <c r="U231" s="434"/>
      <c r="V231" s="434"/>
      <c r="W231" s="434"/>
      <c r="X231" s="434"/>
      <c r="Y231" s="434"/>
      <c r="Z231" s="434"/>
      <c r="AA231" s="434"/>
    </row>
    <row r="232" spans="1:27" ht="15.75" customHeight="1" x14ac:dyDescent="0.35">
      <c r="A232" s="434"/>
      <c r="B232" s="434"/>
      <c r="C232" s="434"/>
      <c r="D232" s="434"/>
      <c r="E232" s="434"/>
      <c r="F232" s="434"/>
      <c r="G232" s="434"/>
      <c r="H232" s="434"/>
      <c r="I232" s="434"/>
      <c r="J232" s="434"/>
      <c r="K232" s="434"/>
      <c r="L232" s="434"/>
      <c r="M232" s="434"/>
      <c r="N232" s="434"/>
      <c r="O232" s="434"/>
      <c r="P232" s="434"/>
      <c r="Q232" s="434"/>
      <c r="R232" s="434"/>
      <c r="S232" s="434"/>
      <c r="T232" s="434"/>
      <c r="U232" s="434"/>
      <c r="V232" s="434"/>
      <c r="W232" s="434"/>
      <c r="X232" s="434"/>
      <c r="Y232" s="434"/>
      <c r="Z232" s="434"/>
      <c r="AA232" s="434"/>
    </row>
    <row r="233" spans="1:27" ht="15.75" customHeight="1" x14ac:dyDescent="0.35">
      <c r="A233" s="434"/>
      <c r="B233" s="434"/>
      <c r="C233" s="434"/>
      <c r="D233" s="434"/>
      <c r="E233" s="434"/>
      <c r="F233" s="434"/>
      <c r="G233" s="434"/>
      <c r="H233" s="434"/>
      <c r="I233" s="434"/>
      <c r="J233" s="434"/>
      <c r="K233" s="434"/>
      <c r="L233" s="434"/>
      <c r="M233" s="434"/>
      <c r="N233" s="434"/>
      <c r="O233" s="434"/>
      <c r="P233" s="434"/>
      <c r="Q233" s="434"/>
      <c r="R233" s="434"/>
      <c r="S233" s="434"/>
      <c r="T233" s="434"/>
      <c r="U233" s="434"/>
      <c r="V233" s="434"/>
      <c r="W233" s="434"/>
      <c r="X233" s="434"/>
      <c r="Y233" s="434"/>
      <c r="Z233" s="434"/>
      <c r="AA233" s="434"/>
    </row>
    <row r="234" spans="1:27" ht="15.75" customHeight="1" x14ac:dyDescent="0.35">
      <c r="A234" s="434"/>
      <c r="B234" s="434"/>
      <c r="C234" s="434"/>
      <c r="D234" s="434"/>
      <c r="E234" s="434"/>
      <c r="F234" s="434"/>
      <c r="G234" s="434"/>
      <c r="H234" s="434"/>
      <c r="I234" s="434"/>
      <c r="J234" s="434"/>
      <c r="K234" s="434"/>
      <c r="L234" s="434"/>
      <c r="M234" s="434"/>
      <c r="N234" s="434"/>
      <c r="O234" s="434"/>
      <c r="P234" s="434"/>
      <c r="Q234" s="434"/>
      <c r="R234" s="434"/>
      <c r="S234" s="434"/>
      <c r="T234" s="434"/>
      <c r="U234" s="434"/>
      <c r="V234" s="434"/>
      <c r="W234" s="434"/>
      <c r="X234" s="434"/>
      <c r="Y234" s="434"/>
      <c r="Z234" s="434"/>
      <c r="AA234" s="434"/>
    </row>
    <row r="235" spans="1:27" ht="15.75" customHeight="1" x14ac:dyDescent="0.35">
      <c r="A235" s="434"/>
      <c r="B235" s="434"/>
      <c r="C235" s="434"/>
      <c r="D235" s="434"/>
      <c r="E235" s="434"/>
      <c r="F235" s="434"/>
      <c r="G235" s="434"/>
      <c r="H235" s="434"/>
      <c r="I235" s="434"/>
      <c r="J235" s="434"/>
      <c r="K235" s="434"/>
      <c r="L235" s="434"/>
      <c r="M235" s="434"/>
      <c r="N235" s="434"/>
      <c r="O235" s="434"/>
      <c r="P235" s="434"/>
      <c r="Q235" s="434"/>
      <c r="R235" s="434"/>
      <c r="S235" s="434"/>
      <c r="T235" s="434"/>
      <c r="U235" s="434"/>
      <c r="V235" s="434"/>
      <c r="W235" s="434"/>
      <c r="X235" s="434"/>
      <c r="Y235" s="434"/>
      <c r="Z235" s="434"/>
      <c r="AA235" s="434"/>
    </row>
    <row r="236" spans="1:27" ht="15.75" customHeight="1" x14ac:dyDescent="0.35">
      <c r="A236" s="434"/>
      <c r="B236" s="434"/>
      <c r="C236" s="434"/>
      <c r="D236" s="434"/>
      <c r="E236" s="434"/>
      <c r="F236" s="434"/>
      <c r="G236" s="434"/>
      <c r="H236" s="434"/>
      <c r="I236" s="434"/>
      <c r="J236" s="434"/>
      <c r="K236" s="434"/>
      <c r="L236" s="434"/>
      <c r="M236" s="434"/>
      <c r="N236" s="434"/>
      <c r="O236" s="434"/>
      <c r="P236" s="434"/>
      <c r="Q236" s="434"/>
      <c r="R236" s="434"/>
      <c r="S236" s="434"/>
      <c r="T236" s="434"/>
      <c r="U236" s="434"/>
      <c r="V236" s="434"/>
      <c r="W236" s="434"/>
      <c r="X236" s="434"/>
      <c r="Y236" s="434"/>
      <c r="Z236" s="434"/>
      <c r="AA236" s="434"/>
    </row>
    <row r="237" spans="1:27" ht="15.75" customHeight="1" x14ac:dyDescent="0.35">
      <c r="A237" s="434"/>
      <c r="B237" s="434"/>
      <c r="C237" s="434"/>
      <c r="D237" s="434"/>
      <c r="E237" s="434"/>
      <c r="F237" s="434"/>
      <c r="G237" s="434"/>
      <c r="H237" s="434"/>
      <c r="I237" s="434"/>
      <c r="J237" s="434"/>
      <c r="K237" s="434"/>
      <c r="L237" s="434"/>
      <c r="M237" s="434"/>
      <c r="N237" s="434"/>
      <c r="O237" s="434"/>
      <c r="P237" s="434"/>
      <c r="Q237" s="434"/>
      <c r="R237" s="434"/>
      <c r="S237" s="434"/>
      <c r="T237" s="434"/>
      <c r="U237" s="434"/>
      <c r="V237" s="434"/>
      <c r="W237" s="434"/>
      <c r="X237" s="434"/>
      <c r="Y237" s="434"/>
      <c r="Z237" s="434"/>
      <c r="AA237" s="434"/>
    </row>
    <row r="238" spans="1:27" ht="15.75" customHeight="1" x14ac:dyDescent="0.35">
      <c r="A238" s="434"/>
      <c r="B238" s="434"/>
      <c r="C238" s="434"/>
      <c r="D238" s="434"/>
      <c r="E238" s="434"/>
      <c r="F238" s="434"/>
      <c r="G238" s="434"/>
      <c r="H238" s="434"/>
      <c r="I238" s="434"/>
      <c r="J238" s="434"/>
      <c r="K238" s="434"/>
      <c r="L238" s="434"/>
      <c r="M238" s="434"/>
      <c r="N238" s="434"/>
      <c r="O238" s="434"/>
      <c r="P238" s="434"/>
      <c r="Q238" s="434"/>
      <c r="R238" s="434"/>
      <c r="S238" s="434"/>
      <c r="T238" s="434"/>
      <c r="U238" s="434"/>
      <c r="V238" s="434"/>
      <c r="W238" s="434"/>
      <c r="X238" s="434"/>
      <c r="Y238" s="434"/>
      <c r="Z238" s="434"/>
      <c r="AA238" s="434"/>
    </row>
    <row r="239" spans="1:27" ht="15.75" customHeight="1" x14ac:dyDescent="0.35">
      <c r="A239" s="434"/>
      <c r="B239" s="434"/>
      <c r="C239" s="434"/>
      <c r="D239" s="434"/>
      <c r="E239" s="434"/>
      <c r="F239" s="434"/>
      <c r="G239" s="434"/>
      <c r="H239" s="434"/>
      <c r="I239" s="434"/>
      <c r="J239" s="434"/>
      <c r="K239" s="434"/>
      <c r="L239" s="434"/>
      <c r="M239" s="434"/>
      <c r="N239" s="434"/>
      <c r="O239" s="434"/>
      <c r="P239" s="434"/>
      <c r="Q239" s="434"/>
      <c r="R239" s="434"/>
      <c r="S239" s="434"/>
      <c r="T239" s="434"/>
      <c r="U239" s="434"/>
      <c r="V239" s="434"/>
      <c r="W239" s="434"/>
      <c r="X239" s="434"/>
      <c r="Y239" s="434"/>
      <c r="Z239" s="434"/>
      <c r="AA239" s="434"/>
    </row>
    <row r="240" spans="1:27" ht="15.75" customHeight="1" x14ac:dyDescent="0.35">
      <c r="A240" s="434"/>
      <c r="B240" s="434"/>
      <c r="C240" s="434"/>
      <c r="D240" s="434"/>
      <c r="E240" s="434"/>
      <c r="F240" s="434"/>
      <c r="G240" s="434"/>
      <c r="H240" s="434"/>
      <c r="I240" s="434"/>
      <c r="J240" s="434"/>
      <c r="K240" s="434"/>
      <c r="L240" s="434"/>
      <c r="M240" s="434"/>
      <c r="N240" s="434"/>
      <c r="O240" s="434"/>
      <c r="P240" s="434"/>
      <c r="Q240" s="434"/>
      <c r="R240" s="434"/>
      <c r="S240" s="434"/>
      <c r="T240" s="434"/>
      <c r="U240" s="434"/>
      <c r="V240" s="434"/>
      <c r="W240" s="434"/>
      <c r="X240" s="434"/>
      <c r="Y240" s="434"/>
      <c r="Z240" s="434"/>
      <c r="AA240" s="434"/>
    </row>
    <row r="241" spans="1:27" ht="15.75" customHeight="1" x14ac:dyDescent="0.35">
      <c r="A241" s="434"/>
      <c r="B241" s="434"/>
      <c r="C241" s="434"/>
      <c r="D241" s="434"/>
      <c r="E241" s="434"/>
      <c r="F241" s="434"/>
      <c r="G241" s="434"/>
      <c r="H241" s="434"/>
      <c r="I241" s="434"/>
      <c r="J241" s="434"/>
      <c r="K241" s="434"/>
      <c r="L241" s="434"/>
      <c r="M241" s="434"/>
      <c r="N241" s="434"/>
      <c r="O241" s="434"/>
      <c r="P241" s="434"/>
      <c r="Q241" s="434"/>
      <c r="R241" s="434"/>
      <c r="S241" s="434"/>
      <c r="T241" s="434"/>
      <c r="U241" s="434"/>
      <c r="V241" s="434"/>
      <c r="W241" s="434"/>
      <c r="X241" s="434"/>
      <c r="Y241" s="434"/>
      <c r="Z241" s="434"/>
      <c r="AA241" s="434"/>
    </row>
    <row r="242" spans="1:27" ht="15.75" customHeight="1" x14ac:dyDescent="0.35">
      <c r="A242" s="434"/>
      <c r="B242" s="434"/>
      <c r="C242" s="434"/>
      <c r="D242" s="434"/>
      <c r="E242" s="434"/>
      <c r="F242" s="434"/>
      <c r="G242" s="434"/>
      <c r="H242" s="434"/>
      <c r="I242" s="434"/>
      <c r="J242" s="434"/>
      <c r="K242" s="434"/>
      <c r="L242" s="434"/>
      <c r="M242" s="434"/>
      <c r="N242" s="434"/>
      <c r="O242" s="434"/>
      <c r="P242" s="434"/>
      <c r="Q242" s="434"/>
      <c r="R242" s="434"/>
      <c r="S242" s="434"/>
      <c r="T242" s="434"/>
      <c r="U242" s="434"/>
      <c r="V242" s="434"/>
      <c r="W242" s="434"/>
      <c r="X242" s="434"/>
      <c r="Y242" s="434"/>
      <c r="Z242" s="434"/>
      <c r="AA242" s="434"/>
    </row>
    <row r="243" spans="1:27" ht="15.75" customHeight="1" x14ac:dyDescent="0.35">
      <c r="A243" s="434"/>
      <c r="B243" s="434"/>
      <c r="C243" s="434"/>
      <c r="D243" s="434"/>
      <c r="E243" s="434"/>
      <c r="F243" s="434"/>
      <c r="G243" s="434"/>
      <c r="H243" s="434"/>
      <c r="I243" s="434"/>
      <c r="J243" s="434"/>
      <c r="K243" s="434"/>
      <c r="L243" s="434"/>
      <c r="M243" s="434"/>
      <c r="N243" s="434"/>
      <c r="O243" s="434"/>
      <c r="P243" s="434"/>
      <c r="Q243" s="434"/>
      <c r="R243" s="434"/>
      <c r="S243" s="434"/>
      <c r="T243" s="434"/>
      <c r="U243" s="434"/>
      <c r="V243" s="434"/>
      <c r="W243" s="434"/>
      <c r="X243" s="434"/>
      <c r="Y243" s="434"/>
      <c r="Z243" s="434"/>
      <c r="AA243" s="434"/>
    </row>
    <row r="244" spans="1:27" ht="15.75" customHeight="1" x14ac:dyDescent="0.35">
      <c r="A244" s="434"/>
      <c r="B244" s="434"/>
      <c r="C244" s="434"/>
      <c r="D244" s="434"/>
      <c r="E244" s="434"/>
      <c r="F244" s="434"/>
      <c r="G244" s="434"/>
      <c r="H244" s="434"/>
      <c r="I244" s="434"/>
      <c r="J244" s="434"/>
      <c r="K244" s="434"/>
      <c r="L244" s="434"/>
      <c r="M244" s="434"/>
      <c r="N244" s="434"/>
      <c r="O244" s="434"/>
      <c r="P244" s="434"/>
      <c r="Q244" s="434"/>
      <c r="R244" s="434"/>
      <c r="S244" s="434"/>
      <c r="T244" s="434"/>
      <c r="U244" s="434"/>
      <c r="V244" s="434"/>
      <c r="W244" s="434"/>
      <c r="X244" s="434"/>
      <c r="Y244" s="434"/>
      <c r="Z244" s="434"/>
      <c r="AA244" s="434"/>
    </row>
    <row r="245" spans="1:27" ht="15.75" customHeight="1" x14ac:dyDescent="0.35">
      <c r="A245" s="434"/>
      <c r="B245" s="434"/>
      <c r="C245" s="434"/>
      <c r="D245" s="434"/>
      <c r="E245" s="434"/>
      <c r="F245" s="434"/>
      <c r="G245" s="434"/>
      <c r="H245" s="434"/>
      <c r="I245" s="434"/>
      <c r="J245" s="434"/>
      <c r="K245" s="434"/>
      <c r="L245" s="434"/>
      <c r="M245" s="434"/>
      <c r="N245" s="434"/>
      <c r="O245" s="434"/>
      <c r="P245" s="434"/>
      <c r="Q245" s="434"/>
      <c r="R245" s="434"/>
      <c r="S245" s="434"/>
      <c r="T245" s="434"/>
      <c r="U245" s="434"/>
      <c r="V245" s="434"/>
      <c r="W245" s="434"/>
      <c r="X245" s="434"/>
      <c r="Y245" s="434"/>
      <c r="Z245" s="434"/>
      <c r="AA245" s="434"/>
    </row>
    <row r="246" spans="1:27" ht="15.75" customHeight="1" x14ac:dyDescent="0.35">
      <c r="A246" s="434"/>
      <c r="B246" s="434"/>
      <c r="C246" s="434"/>
      <c r="D246" s="434"/>
      <c r="E246" s="434"/>
      <c r="F246" s="434"/>
      <c r="G246" s="434"/>
      <c r="H246" s="434"/>
      <c r="I246" s="434"/>
      <c r="J246" s="434"/>
      <c r="K246" s="434"/>
      <c r="L246" s="434"/>
      <c r="M246" s="434"/>
      <c r="N246" s="434"/>
      <c r="O246" s="434"/>
      <c r="P246" s="434"/>
      <c r="Q246" s="434"/>
      <c r="R246" s="434"/>
      <c r="S246" s="434"/>
      <c r="T246" s="434"/>
      <c r="U246" s="434"/>
      <c r="V246" s="434"/>
      <c r="W246" s="434"/>
      <c r="X246" s="434"/>
      <c r="Y246" s="434"/>
      <c r="Z246" s="434"/>
      <c r="AA246" s="434"/>
    </row>
    <row r="247" spans="1:27" ht="15.75" customHeight="1" x14ac:dyDescent="0.35">
      <c r="A247" s="434"/>
      <c r="B247" s="434"/>
      <c r="C247" s="434"/>
      <c r="D247" s="434"/>
      <c r="E247" s="434"/>
      <c r="F247" s="434"/>
      <c r="G247" s="434"/>
      <c r="H247" s="434"/>
      <c r="I247" s="434"/>
      <c r="J247" s="434"/>
      <c r="K247" s="434"/>
      <c r="L247" s="434"/>
      <c r="M247" s="434"/>
      <c r="N247" s="434"/>
      <c r="O247" s="434"/>
      <c r="P247" s="434"/>
      <c r="Q247" s="434"/>
      <c r="R247" s="434"/>
      <c r="S247" s="434"/>
      <c r="T247" s="434"/>
      <c r="U247" s="434"/>
      <c r="V247" s="434"/>
      <c r="W247" s="434"/>
      <c r="X247" s="434"/>
      <c r="Y247" s="434"/>
      <c r="Z247" s="434"/>
      <c r="AA247" s="434"/>
    </row>
    <row r="248" spans="1:27" ht="15.75" customHeight="1" x14ac:dyDescent="0.35">
      <c r="A248" s="434"/>
      <c r="B248" s="434"/>
      <c r="C248" s="434"/>
      <c r="D248" s="434"/>
      <c r="E248" s="434"/>
      <c r="F248" s="434"/>
      <c r="G248" s="434"/>
      <c r="H248" s="434"/>
      <c r="I248" s="434"/>
      <c r="J248" s="434"/>
      <c r="K248" s="434"/>
      <c r="L248" s="434"/>
      <c r="M248" s="434"/>
      <c r="N248" s="434"/>
      <c r="O248" s="434"/>
      <c r="P248" s="434"/>
      <c r="Q248" s="434"/>
      <c r="R248" s="434"/>
      <c r="S248" s="434"/>
      <c r="T248" s="434"/>
      <c r="U248" s="434"/>
      <c r="V248" s="434"/>
      <c r="W248" s="434"/>
      <c r="X248" s="434"/>
      <c r="Y248" s="434"/>
      <c r="Z248" s="434"/>
      <c r="AA248" s="434"/>
    </row>
    <row r="249" spans="1:27" ht="15.75" customHeight="1" x14ac:dyDescent="0.35">
      <c r="A249" s="434"/>
      <c r="B249" s="434"/>
      <c r="C249" s="434"/>
      <c r="D249" s="434"/>
      <c r="E249" s="434"/>
      <c r="F249" s="434"/>
      <c r="G249" s="434"/>
      <c r="H249" s="434"/>
      <c r="I249" s="434"/>
      <c r="J249" s="434"/>
      <c r="K249" s="434"/>
      <c r="L249" s="434"/>
      <c r="M249" s="434"/>
      <c r="N249" s="434"/>
      <c r="O249" s="434"/>
      <c r="P249" s="434"/>
      <c r="Q249" s="434"/>
      <c r="R249" s="434"/>
      <c r="S249" s="434"/>
      <c r="T249" s="434"/>
      <c r="U249" s="434"/>
      <c r="V249" s="434"/>
      <c r="W249" s="434"/>
      <c r="X249" s="434"/>
      <c r="Y249" s="434"/>
      <c r="Z249" s="434"/>
      <c r="AA249" s="434"/>
    </row>
    <row r="250" spans="1:27" ht="15.75" customHeight="1" x14ac:dyDescent="0.35">
      <c r="A250" s="434"/>
      <c r="B250" s="434"/>
      <c r="C250" s="434"/>
      <c r="D250" s="434"/>
      <c r="E250" s="434"/>
      <c r="F250" s="434"/>
      <c r="G250" s="434"/>
      <c r="H250" s="434"/>
      <c r="I250" s="434"/>
      <c r="J250" s="434"/>
      <c r="K250" s="434"/>
      <c r="L250" s="434"/>
      <c r="M250" s="434"/>
      <c r="N250" s="434"/>
      <c r="O250" s="434"/>
      <c r="P250" s="434"/>
      <c r="Q250" s="434"/>
      <c r="R250" s="434"/>
      <c r="S250" s="434"/>
      <c r="T250" s="434"/>
      <c r="U250" s="434"/>
      <c r="V250" s="434"/>
      <c r="W250" s="434"/>
      <c r="X250" s="434"/>
      <c r="Y250" s="434"/>
      <c r="Z250" s="434"/>
      <c r="AA250" s="434"/>
    </row>
    <row r="251" spans="1:27" ht="15.75" customHeight="1" x14ac:dyDescent="0.35">
      <c r="A251" s="434"/>
      <c r="B251" s="434"/>
      <c r="C251" s="434"/>
      <c r="D251" s="434"/>
      <c r="E251" s="434"/>
      <c r="F251" s="434"/>
      <c r="G251" s="434"/>
      <c r="H251" s="434"/>
      <c r="I251" s="434"/>
      <c r="J251" s="434"/>
      <c r="K251" s="434"/>
      <c r="L251" s="434"/>
      <c r="M251" s="434"/>
      <c r="N251" s="434"/>
      <c r="O251" s="434"/>
      <c r="P251" s="434"/>
      <c r="Q251" s="434"/>
      <c r="R251" s="434"/>
      <c r="S251" s="434"/>
      <c r="T251" s="434"/>
      <c r="U251" s="434"/>
      <c r="V251" s="434"/>
      <c r="W251" s="434"/>
      <c r="X251" s="434"/>
      <c r="Y251" s="434"/>
      <c r="Z251" s="434"/>
      <c r="AA251" s="434"/>
    </row>
    <row r="252" spans="1:27" ht="15.75" customHeight="1" x14ac:dyDescent="0.35">
      <c r="A252" s="434"/>
      <c r="B252" s="434"/>
      <c r="C252" s="434"/>
      <c r="D252" s="434"/>
      <c r="E252" s="434"/>
      <c r="F252" s="434"/>
      <c r="G252" s="434"/>
      <c r="H252" s="434"/>
      <c r="I252" s="434"/>
      <c r="J252" s="434"/>
      <c r="K252" s="434"/>
      <c r="L252" s="434"/>
      <c r="M252" s="434"/>
      <c r="N252" s="434"/>
      <c r="O252" s="434"/>
      <c r="P252" s="434"/>
      <c r="Q252" s="434"/>
      <c r="R252" s="434"/>
      <c r="S252" s="434"/>
      <c r="T252" s="434"/>
      <c r="U252" s="434"/>
      <c r="V252" s="434"/>
      <c r="W252" s="434"/>
      <c r="X252" s="434"/>
      <c r="Y252" s="434"/>
      <c r="Z252" s="434"/>
      <c r="AA252" s="434"/>
    </row>
    <row r="253" spans="1:27" ht="15.75" customHeight="1" x14ac:dyDescent="0.35">
      <c r="A253" s="434"/>
      <c r="B253" s="434"/>
      <c r="C253" s="434"/>
      <c r="D253" s="434"/>
      <c r="E253" s="434"/>
      <c r="F253" s="434"/>
      <c r="G253" s="434"/>
      <c r="H253" s="434"/>
      <c r="I253" s="434"/>
      <c r="J253" s="434"/>
      <c r="K253" s="434"/>
      <c r="L253" s="434"/>
      <c r="M253" s="434"/>
      <c r="N253" s="434"/>
      <c r="O253" s="434"/>
      <c r="P253" s="434"/>
      <c r="Q253" s="434"/>
      <c r="R253" s="434"/>
      <c r="S253" s="434"/>
      <c r="T253" s="434"/>
      <c r="U253" s="434"/>
      <c r="V253" s="434"/>
      <c r="W253" s="434"/>
      <c r="X253" s="434"/>
      <c r="Y253" s="434"/>
      <c r="Z253" s="434"/>
      <c r="AA253" s="434"/>
    </row>
    <row r="254" spans="1:27" ht="15.75" customHeight="1" x14ac:dyDescent="0.35">
      <c r="A254" s="434"/>
      <c r="B254" s="434"/>
      <c r="C254" s="434"/>
      <c r="D254" s="434"/>
      <c r="E254" s="434"/>
      <c r="F254" s="434"/>
      <c r="G254" s="434"/>
      <c r="H254" s="434"/>
      <c r="I254" s="434"/>
      <c r="J254" s="434"/>
      <c r="K254" s="434"/>
      <c r="L254" s="434"/>
      <c r="M254" s="434"/>
      <c r="N254" s="434"/>
      <c r="O254" s="434"/>
      <c r="P254" s="434"/>
      <c r="Q254" s="434"/>
      <c r="R254" s="434"/>
      <c r="S254" s="434"/>
      <c r="T254" s="434"/>
      <c r="U254" s="434"/>
      <c r="V254" s="434"/>
      <c r="W254" s="434"/>
      <c r="X254" s="434"/>
      <c r="Y254" s="434"/>
      <c r="Z254" s="434"/>
      <c r="AA254" s="434"/>
    </row>
    <row r="255" spans="1:27" ht="15.75" customHeight="1" x14ac:dyDescent="0.35">
      <c r="A255" s="434"/>
      <c r="B255" s="434"/>
      <c r="C255" s="434"/>
      <c r="D255" s="434"/>
      <c r="E255" s="434"/>
      <c r="F255" s="434"/>
      <c r="G255" s="434"/>
      <c r="H255" s="434"/>
      <c r="I255" s="434"/>
      <c r="J255" s="434"/>
      <c r="K255" s="434"/>
      <c r="L255" s="434"/>
      <c r="M255" s="434"/>
      <c r="N255" s="434"/>
      <c r="O255" s="434"/>
      <c r="P255" s="434"/>
      <c r="Q255" s="434"/>
      <c r="R255" s="434"/>
      <c r="S255" s="434"/>
      <c r="T255" s="434"/>
      <c r="U255" s="434"/>
      <c r="V255" s="434"/>
      <c r="W255" s="434"/>
      <c r="X255" s="434"/>
      <c r="Y255" s="434"/>
      <c r="Z255" s="434"/>
      <c r="AA255" s="434"/>
    </row>
    <row r="256" spans="1:27" ht="15.75" customHeight="1" x14ac:dyDescent="0.35">
      <c r="A256" s="434"/>
      <c r="B256" s="434"/>
      <c r="C256" s="434"/>
      <c r="D256" s="434"/>
      <c r="E256" s="434"/>
      <c r="F256" s="434"/>
      <c r="G256" s="434"/>
      <c r="H256" s="434"/>
      <c r="I256" s="434"/>
      <c r="J256" s="434"/>
      <c r="K256" s="434"/>
      <c r="L256" s="434"/>
      <c r="M256" s="434"/>
      <c r="N256" s="434"/>
      <c r="O256" s="434"/>
      <c r="P256" s="434"/>
      <c r="Q256" s="434"/>
      <c r="R256" s="434"/>
      <c r="S256" s="434"/>
      <c r="T256" s="434"/>
      <c r="U256" s="434"/>
      <c r="V256" s="434"/>
      <c r="W256" s="434"/>
      <c r="X256" s="434"/>
      <c r="Y256" s="434"/>
      <c r="Z256" s="434"/>
      <c r="AA256" s="434"/>
    </row>
    <row r="257" spans="1:27" ht="15.75" customHeight="1" x14ac:dyDescent="0.35">
      <c r="A257" s="434"/>
      <c r="B257" s="434"/>
      <c r="C257" s="434"/>
      <c r="D257" s="434"/>
      <c r="E257" s="434"/>
      <c r="F257" s="434"/>
      <c r="G257" s="434"/>
      <c r="H257" s="434"/>
      <c r="I257" s="434"/>
      <c r="J257" s="434"/>
      <c r="K257" s="434"/>
      <c r="L257" s="434"/>
      <c r="M257" s="434"/>
      <c r="N257" s="434"/>
      <c r="O257" s="434"/>
      <c r="P257" s="434"/>
      <c r="Q257" s="434"/>
      <c r="R257" s="434"/>
      <c r="S257" s="434"/>
      <c r="T257" s="434"/>
      <c r="U257" s="434"/>
      <c r="V257" s="434"/>
      <c r="W257" s="434"/>
      <c r="X257" s="434"/>
      <c r="Y257" s="434"/>
      <c r="Z257" s="434"/>
      <c r="AA257" s="434"/>
    </row>
    <row r="258" spans="1:27" ht="15.75" customHeight="1" x14ac:dyDescent="0.35">
      <c r="A258" s="434"/>
      <c r="B258" s="434"/>
      <c r="C258" s="434"/>
      <c r="D258" s="434"/>
      <c r="E258" s="434"/>
      <c r="F258" s="434"/>
      <c r="G258" s="434"/>
      <c r="H258" s="434"/>
      <c r="I258" s="434"/>
      <c r="J258" s="434"/>
      <c r="K258" s="434"/>
      <c r="L258" s="434"/>
      <c r="M258" s="434"/>
      <c r="N258" s="434"/>
      <c r="O258" s="434"/>
      <c r="P258" s="434"/>
      <c r="Q258" s="434"/>
      <c r="R258" s="434"/>
      <c r="S258" s="434"/>
      <c r="T258" s="434"/>
      <c r="U258" s="434"/>
      <c r="V258" s="434"/>
      <c r="W258" s="434"/>
      <c r="X258" s="434"/>
      <c r="Y258" s="434"/>
      <c r="Z258" s="434"/>
      <c r="AA258" s="434"/>
    </row>
    <row r="259" spans="1:27" ht="15.75" customHeight="1" x14ac:dyDescent="0.35">
      <c r="A259" s="434"/>
      <c r="B259" s="434"/>
      <c r="C259" s="434"/>
      <c r="D259" s="434"/>
      <c r="E259" s="434"/>
      <c r="F259" s="434"/>
      <c r="G259" s="434"/>
      <c r="H259" s="434"/>
      <c r="I259" s="434"/>
      <c r="J259" s="434"/>
      <c r="K259" s="434"/>
      <c r="L259" s="434"/>
      <c r="M259" s="434"/>
      <c r="N259" s="434"/>
      <c r="O259" s="434"/>
      <c r="P259" s="434"/>
      <c r="Q259" s="434"/>
      <c r="R259" s="434"/>
      <c r="S259" s="434"/>
      <c r="T259" s="434"/>
      <c r="U259" s="434"/>
      <c r="V259" s="434"/>
      <c r="W259" s="434"/>
      <c r="X259" s="434"/>
      <c r="Y259" s="434"/>
      <c r="Z259" s="434"/>
      <c r="AA259" s="434"/>
    </row>
    <row r="260" spans="1:27" ht="15.75" customHeight="1" x14ac:dyDescent="0.35">
      <c r="A260" s="434"/>
      <c r="B260" s="434"/>
      <c r="C260" s="434"/>
      <c r="D260" s="434"/>
      <c r="E260" s="434"/>
      <c r="F260" s="434"/>
      <c r="G260" s="434"/>
      <c r="H260" s="434"/>
      <c r="I260" s="434"/>
      <c r="J260" s="434"/>
      <c r="K260" s="434"/>
      <c r="L260" s="434"/>
      <c r="M260" s="434"/>
      <c r="N260" s="434"/>
      <c r="O260" s="434"/>
      <c r="P260" s="434"/>
      <c r="Q260" s="434"/>
      <c r="R260" s="434"/>
      <c r="S260" s="434"/>
      <c r="T260" s="434"/>
      <c r="U260" s="434"/>
      <c r="V260" s="434"/>
      <c r="W260" s="434"/>
      <c r="X260" s="434"/>
      <c r="Y260" s="434"/>
      <c r="Z260" s="434"/>
      <c r="AA260" s="434"/>
    </row>
    <row r="261" spans="1:27" ht="15.75" customHeight="1" x14ac:dyDescent="0.35">
      <c r="A261" s="434"/>
      <c r="B261" s="434"/>
      <c r="C261" s="434"/>
      <c r="D261" s="434"/>
      <c r="E261" s="434"/>
      <c r="F261" s="434"/>
      <c r="G261" s="434"/>
      <c r="H261" s="434"/>
      <c r="I261" s="434"/>
      <c r="J261" s="434"/>
      <c r="K261" s="434"/>
      <c r="L261" s="434"/>
      <c r="M261" s="434"/>
      <c r="N261" s="434"/>
      <c r="O261" s="434"/>
      <c r="P261" s="434"/>
      <c r="Q261" s="434"/>
      <c r="R261" s="434"/>
      <c r="S261" s="434"/>
      <c r="T261" s="434"/>
      <c r="U261" s="434"/>
      <c r="V261" s="434"/>
      <c r="W261" s="434"/>
      <c r="X261" s="434"/>
      <c r="Y261" s="434"/>
      <c r="Z261" s="434"/>
      <c r="AA261" s="434"/>
    </row>
    <row r="262" spans="1:27" ht="15.75" customHeight="1" x14ac:dyDescent="0.35">
      <c r="A262" s="434"/>
      <c r="B262" s="434"/>
      <c r="C262" s="434"/>
      <c r="D262" s="434"/>
      <c r="E262" s="434"/>
      <c r="F262" s="434"/>
      <c r="G262" s="434"/>
      <c r="H262" s="434"/>
      <c r="I262" s="434"/>
      <c r="J262" s="434"/>
      <c r="K262" s="434"/>
      <c r="L262" s="434"/>
      <c r="M262" s="434"/>
      <c r="N262" s="434"/>
      <c r="O262" s="434"/>
      <c r="P262" s="434"/>
      <c r="Q262" s="434"/>
      <c r="R262" s="434"/>
      <c r="S262" s="434"/>
      <c r="T262" s="434"/>
      <c r="U262" s="434"/>
      <c r="V262" s="434"/>
      <c r="W262" s="434"/>
      <c r="X262" s="434"/>
      <c r="Y262" s="434"/>
      <c r="Z262" s="434"/>
      <c r="AA262" s="434"/>
    </row>
    <row r="263" spans="1:27" ht="15.75" customHeight="1" x14ac:dyDescent="0.35">
      <c r="A263" s="434"/>
      <c r="B263" s="434"/>
      <c r="C263" s="434"/>
      <c r="D263" s="434"/>
      <c r="E263" s="434"/>
      <c r="F263" s="434"/>
      <c r="G263" s="434"/>
      <c r="H263" s="434"/>
      <c r="I263" s="434"/>
      <c r="J263" s="434"/>
      <c r="K263" s="434"/>
      <c r="L263" s="434"/>
      <c r="M263" s="434"/>
      <c r="N263" s="434"/>
      <c r="O263" s="434"/>
      <c r="P263" s="434"/>
      <c r="Q263" s="434"/>
      <c r="R263" s="434"/>
      <c r="S263" s="434"/>
      <c r="T263" s="434"/>
      <c r="U263" s="434"/>
      <c r="V263" s="434"/>
      <c r="W263" s="434"/>
      <c r="X263" s="434"/>
      <c r="Y263" s="434"/>
      <c r="Z263" s="434"/>
      <c r="AA263" s="434"/>
    </row>
    <row r="264" spans="1:27" ht="15.75" customHeight="1" x14ac:dyDescent="0.35">
      <c r="A264" s="434"/>
      <c r="B264" s="434"/>
      <c r="C264" s="434"/>
      <c r="D264" s="434"/>
      <c r="E264" s="434"/>
      <c r="F264" s="434"/>
      <c r="G264" s="434"/>
      <c r="H264" s="434"/>
      <c r="I264" s="434"/>
      <c r="J264" s="434"/>
      <c r="K264" s="434"/>
      <c r="L264" s="434"/>
      <c r="M264" s="434"/>
      <c r="N264" s="434"/>
      <c r="O264" s="434"/>
      <c r="P264" s="434"/>
      <c r="Q264" s="434"/>
      <c r="R264" s="434"/>
      <c r="S264" s="434"/>
      <c r="T264" s="434"/>
      <c r="U264" s="434"/>
      <c r="V264" s="434"/>
      <c r="W264" s="434"/>
      <c r="X264" s="434"/>
      <c r="Y264" s="434"/>
      <c r="Z264" s="434"/>
      <c r="AA264" s="434"/>
    </row>
    <row r="265" spans="1:27" ht="15.75" customHeight="1" x14ac:dyDescent="0.35">
      <c r="A265" s="434"/>
      <c r="B265" s="434"/>
      <c r="C265" s="434"/>
      <c r="D265" s="434"/>
      <c r="E265" s="434"/>
      <c r="F265" s="434"/>
      <c r="G265" s="434"/>
      <c r="H265" s="434"/>
      <c r="I265" s="434"/>
      <c r="J265" s="434"/>
      <c r="K265" s="434"/>
      <c r="L265" s="434"/>
      <c r="M265" s="434"/>
      <c r="N265" s="434"/>
      <c r="O265" s="434"/>
      <c r="P265" s="434"/>
      <c r="Q265" s="434"/>
      <c r="R265" s="434"/>
      <c r="S265" s="434"/>
      <c r="T265" s="434"/>
      <c r="U265" s="434"/>
      <c r="V265" s="434"/>
      <c r="W265" s="434"/>
      <c r="X265" s="434"/>
      <c r="Y265" s="434"/>
      <c r="Z265" s="434"/>
      <c r="AA265" s="434"/>
    </row>
    <row r="266" spans="1:27" ht="15.75" customHeight="1" x14ac:dyDescent="0.35">
      <c r="A266" s="434"/>
      <c r="B266" s="434"/>
      <c r="C266" s="434"/>
      <c r="D266" s="434"/>
      <c r="E266" s="434"/>
      <c r="F266" s="434"/>
      <c r="G266" s="434"/>
      <c r="H266" s="434"/>
      <c r="I266" s="434"/>
      <c r="J266" s="434"/>
      <c r="K266" s="434"/>
      <c r="L266" s="434"/>
      <c r="M266" s="434"/>
      <c r="N266" s="434"/>
      <c r="O266" s="434"/>
      <c r="P266" s="434"/>
      <c r="Q266" s="434"/>
      <c r="R266" s="434"/>
      <c r="S266" s="434"/>
      <c r="T266" s="434"/>
      <c r="U266" s="434"/>
      <c r="V266" s="434"/>
      <c r="W266" s="434"/>
      <c r="X266" s="434"/>
      <c r="Y266" s="434"/>
      <c r="Z266" s="434"/>
      <c r="AA266" s="434"/>
    </row>
    <row r="267" spans="1:27" ht="15.75" customHeight="1" x14ac:dyDescent="0.35">
      <c r="A267" s="434"/>
      <c r="B267" s="434"/>
      <c r="C267" s="434"/>
      <c r="D267" s="434"/>
      <c r="E267" s="434"/>
      <c r="F267" s="434"/>
      <c r="G267" s="434"/>
      <c r="H267" s="434"/>
      <c r="I267" s="434"/>
      <c r="J267" s="434"/>
      <c r="K267" s="434"/>
      <c r="L267" s="434"/>
      <c r="M267" s="434"/>
      <c r="N267" s="434"/>
      <c r="O267" s="434"/>
      <c r="P267" s="434"/>
      <c r="Q267" s="434"/>
      <c r="R267" s="434"/>
      <c r="S267" s="434"/>
      <c r="T267" s="434"/>
      <c r="U267" s="434"/>
      <c r="V267" s="434"/>
      <c r="W267" s="434"/>
      <c r="X267" s="434"/>
      <c r="Y267" s="434"/>
      <c r="Z267" s="434"/>
      <c r="AA267" s="434"/>
    </row>
    <row r="268" spans="1:27" ht="15.75" customHeight="1" x14ac:dyDescent="0.35">
      <c r="A268" s="434"/>
      <c r="B268" s="434"/>
      <c r="C268" s="434"/>
      <c r="D268" s="434"/>
      <c r="E268" s="434"/>
      <c r="F268" s="434"/>
      <c r="G268" s="434"/>
      <c r="H268" s="434"/>
      <c r="I268" s="434"/>
      <c r="J268" s="434"/>
      <c r="K268" s="434"/>
      <c r="L268" s="434"/>
      <c r="M268" s="434"/>
      <c r="N268" s="434"/>
      <c r="O268" s="434"/>
      <c r="P268" s="434"/>
      <c r="Q268" s="434"/>
      <c r="R268" s="434"/>
      <c r="S268" s="434"/>
      <c r="T268" s="434"/>
      <c r="U268" s="434"/>
      <c r="V268" s="434"/>
      <c r="W268" s="434"/>
      <c r="X268" s="434"/>
      <c r="Y268" s="434"/>
      <c r="Z268" s="434"/>
      <c r="AA268" s="434"/>
    </row>
    <row r="269" spans="1:27" ht="15.75" customHeight="1" x14ac:dyDescent="0.35">
      <c r="A269" s="434"/>
      <c r="B269" s="434"/>
      <c r="C269" s="434"/>
      <c r="D269" s="434"/>
      <c r="E269" s="434"/>
      <c r="F269" s="434"/>
      <c r="G269" s="434"/>
      <c r="H269" s="434"/>
      <c r="I269" s="434"/>
      <c r="J269" s="434"/>
      <c r="K269" s="434"/>
      <c r="L269" s="434"/>
      <c r="M269" s="434"/>
      <c r="N269" s="434"/>
      <c r="O269" s="434"/>
      <c r="P269" s="434"/>
      <c r="Q269" s="434"/>
      <c r="R269" s="434"/>
      <c r="S269" s="434"/>
      <c r="T269" s="434"/>
      <c r="U269" s="434"/>
      <c r="V269" s="434"/>
      <c r="W269" s="434"/>
      <c r="X269" s="434"/>
      <c r="Y269" s="434"/>
      <c r="Z269" s="434"/>
      <c r="AA269" s="434"/>
    </row>
    <row r="270" spans="1:27" ht="15.75" customHeight="1" x14ac:dyDescent="0.35">
      <c r="A270" s="434"/>
      <c r="B270" s="434"/>
      <c r="C270" s="434"/>
      <c r="D270" s="434"/>
      <c r="E270" s="434"/>
      <c r="F270" s="434"/>
      <c r="G270" s="434"/>
      <c r="H270" s="434"/>
      <c r="I270" s="434"/>
      <c r="J270" s="434"/>
      <c r="K270" s="434"/>
      <c r="L270" s="434"/>
      <c r="M270" s="434"/>
      <c r="N270" s="434"/>
      <c r="O270" s="434"/>
      <c r="P270" s="434"/>
      <c r="Q270" s="434"/>
      <c r="R270" s="434"/>
      <c r="S270" s="434"/>
      <c r="T270" s="434"/>
      <c r="U270" s="434"/>
      <c r="V270" s="434"/>
      <c r="W270" s="434"/>
      <c r="X270" s="434"/>
      <c r="Y270" s="434"/>
      <c r="Z270" s="434"/>
      <c r="AA270" s="434"/>
    </row>
    <row r="271" spans="1:27" ht="15.75" customHeight="1" x14ac:dyDescent="0.35">
      <c r="A271" s="434"/>
      <c r="B271" s="434"/>
      <c r="C271" s="434"/>
      <c r="D271" s="434"/>
      <c r="E271" s="434"/>
      <c r="F271" s="434"/>
      <c r="G271" s="434"/>
      <c r="H271" s="434"/>
      <c r="I271" s="434"/>
      <c r="J271" s="434"/>
      <c r="K271" s="434"/>
      <c r="L271" s="434"/>
      <c r="M271" s="434"/>
      <c r="N271" s="434"/>
      <c r="O271" s="434"/>
      <c r="P271" s="434"/>
      <c r="Q271" s="434"/>
      <c r="R271" s="434"/>
      <c r="S271" s="434"/>
      <c r="T271" s="434"/>
      <c r="U271" s="434"/>
      <c r="V271" s="434"/>
      <c r="W271" s="434"/>
      <c r="X271" s="434"/>
      <c r="Y271" s="434"/>
      <c r="Z271" s="434"/>
      <c r="AA271" s="434"/>
    </row>
    <row r="272" spans="1:27" ht="15.75" customHeight="1" x14ac:dyDescent="0.35">
      <c r="A272" s="434"/>
      <c r="B272" s="434"/>
      <c r="C272" s="434"/>
      <c r="D272" s="434"/>
      <c r="E272" s="434"/>
      <c r="F272" s="434"/>
      <c r="G272" s="434"/>
      <c r="H272" s="434"/>
      <c r="I272" s="434"/>
      <c r="J272" s="434"/>
      <c r="K272" s="434"/>
      <c r="L272" s="434"/>
      <c r="M272" s="434"/>
      <c r="N272" s="434"/>
      <c r="O272" s="434"/>
      <c r="P272" s="434"/>
      <c r="Q272" s="434"/>
      <c r="R272" s="434"/>
      <c r="S272" s="434"/>
      <c r="T272" s="434"/>
      <c r="U272" s="434"/>
      <c r="V272" s="434"/>
      <c r="W272" s="434"/>
      <c r="X272" s="434"/>
      <c r="Y272" s="434"/>
      <c r="Z272" s="434"/>
      <c r="AA272" s="434"/>
    </row>
    <row r="273" spans="1:27" ht="15.75" customHeight="1" x14ac:dyDescent="0.35">
      <c r="A273" s="434"/>
      <c r="B273" s="434"/>
      <c r="C273" s="434"/>
      <c r="D273" s="434"/>
      <c r="E273" s="434"/>
      <c r="F273" s="434"/>
      <c r="G273" s="434"/>
      <c r="H273" s="434"/>
      <c r="I273" s="434"/>
      <c r="J273" s="434"/>
      <c r="K273" s="434"/>
      <c r="L273" s="434"/>
      <c r="M273" s="434"/>
      <c r="N273" s="434"/>
      <c r="O273" s="434"/>
      <c r="P273" s="434"/>
      <c r="Q273" s="434"/>
      <c r="R273" s="434"/>
      <c r="S273" s="434"/>
      <c r="T273" s="434"/>
      <c r="U273" s="434"/>
      <c r="V273" s="434"/>
      <c r="W273" s="434"/>
      <c r="X273" s="434"/>
      <c r="Y273" s="434"/>
      <c r="Z273" s="434"/>
      <c r="AA273" s="434"/>
    </row>
    <row r="274" spans="1:27" ht="15.75" customHeight="1" x14ac:dyDescent="0.35">
      <c r="A274" s="434"/>
      <c r="B274" s="434"/>
      <c r="C274" s="434"/>
      <c r="D274" s="434"/>
      <c r="E274" s="434"/>
      <c r="F274" s="434"/>
      <c r="G274" s="434"/>
      <c r="H274" s="434"/>
      <c r="I274" s="434"/>
      <c r="J274" s="434"/>
      <c r="K274" s="434"/>
      <c r="L274" s="434"/>
      <c r="M274" s="434"/>
      <c r="N274" s="434"/>
      <c r="O274" s="434"/>
      <c r="P274" s="434"/>
      <c r="Q274" s="434"/>
      <c r="R274" s="434"/>
      <c r="S274" s="434"/>
      <c r="T274" s="434"/>
      <c r="U274" s="434"/>
      <c r="V274" s="434"/>
      <c r="W274" s="434"/>
      <c r="X274" s="434"/>
      <c r="Y274" s="434"/>
      <c r="Z274" s="434"/>
      <c r="AA274" s="434"/>
    </row>
    <row r="275" spans="1:27" ht="15.75" customHeight="1" x14ac:dyDescent="0.35">
      <c r="A275" s="434"/>
      <c r="B275" s="434"/>
      <c r="C275" s="434"/>
      <c r="D275" s="434"/>
      <c r="E275" s="434"/>
      <c r="F275" s="434"/>
      <c r="G275" s="434"/>
      <c r="H275" s="434"/>
      <c r="I275" s="434"/>
      <c r="J275" s="434"/>
      <c r="K275" s="434"/>
      <c r="L275" s="434"/>
      <c r="M275" s="434"/>
      <c r="N275" s="434"/>
      <c r="O275" s="434"/>
      <c r="P275" s="434"/>
      <c r="Q275" s="434"/>
      <c r="R275" s="434"/>
      <c r="S275" s="434"/>
      <c r="T275" s="434"/>
      <c r="U275" s="434"/>
      <c r="V275" s="434"/>
      <c r="W275" s="434"/>
      <c r="X275" s="434"/>
      <c r="Y275" s="434"/>
      <c r="Z275" s="434"/>
      <c r="AA275" s="434"/>
    </row>
    <row r="276" spans="1:27" ht="15.75" customHeight="1" x14ac:dyDescent="0.35">
      <c r="A276" s="434"/>
      <c r="B276" s="434"/>
      <c r="C276" s="434"/>
      <c r="D276" s="434"/>
      <c r="E276" s="434"/>
      <c r="F276" s="434"/>
      <c r="G276" s="434"/>
      <c r="H276" s="434"/>
      <c r="I276" s="434"/>
      <c r="J276" s="434"/>
      <c r="K276" s="434"/>
      <c r="L276" s="434"/>
      <c r="M276" s="434"/>
      <c r="N276" s="434"/>
      <c r="O276" s="434"/>
      <c r="P276" s="434"/>
      <c r="Q276" s="434"/>
      <c r="R276" s="434"/>
      <c r="S276" s="434"/>
      <c r="T276" s="434"/>
      <c r="U276" s="434"/>
      <c r="V276" s="434"/>
      <c r="W276" s="434"/>
      <c r="X276" s="434"/>
      <c r="Y276" s="434"/>
      <c r="Z276" s="434"/>
      <c r="AA276" s="434"/>
    </row>
    <row r="277" spans="1:27" ht="15.75" customHeight="1" x14ac:dyDescent="0.35">
      <c r="A277" s="434"/>
      <c r="B277" s="434"/>
      <c r="C277" s="434"/>
      <c r="D277" s="434"/>
      <c r="E277" s="434"/>
      <c r="F277" s="434"/>
      <c r="G277" s="434"/>
      <c r="H277" s="434"/>
      <c r="I277" s="434"/>
      <c r="J277" s="434"/>
      <c r="K277" s="434"/>
      <c r="L277" s="434"/>
      <c r="M277" s="434"/>
      <c r="N277" s="434"/>
      <c r="O277" s="434"/>
      <c r="P277" s="434"/>
      <c r="Q277" s="434"/>
      <c r="R277" s="434"/>
      <c r="S277" s="434"/>
      <c r="T277" s="434"/>
      <c r="U277" s="434"/>
      <c r="V277" s="434"/>
      <c r="W277" s="434"/>
      <c r="X277" s="434"/>
      <c r="Y277" s="434"/>
      <c r="Z277" s="434"/>
      <c r="AA277" s="434"/>
    </row>
    <row r="278" spans="1:27" ht="15.75" customHeight="1" x14ac:dyDescent="0.35">
      <c r="A278" s="434"/>
      <c r="B278" s="434"/>
      <c r="C278" s="434"/>
      <c r="D278" s="434"/>
      <c r="E278" s="434"/>
      <c r="F278" s="434"/>
      <c r="G278" s="434"/>
      <c r="H278" s="434"/>
      <c r="I278" s="434"/>
      <c r="J278" s="434"/>
      <c r="K278" s="434"/>
      <c r="L278" s="434"/>
      <c r="M278" s="434"/>
      <c r="N278" s="434"/>
      <c r="O278" s="434"/>
      <c r="P278" s="434"/>
      <c r="Q278" s="434"/>
      <c r="R278" s="434"/>
      <c r="S278" s="434"/>
      <c r="T278" s="434"/>
      <c r="U278" s="434"/>
      <c r="V278" s="434"/>
      <c r="W278" s="434"/>
      <c r="X278" s="434"/>
      <c r="Y278" s="434"/>
      <c r="Z278" s="434"/>
      <c r="AA278" s="434"/>
    </row>
    <row r="279" spans="1:27" ht="15.75" customHeight="1" x14ac:dyDescent="0.35">
      <c r="A279" s="434"/>
      <c r="B279" s="434"/>
      <c r="C279" s="434"/>
      <c r="D279" s="434"/>
      <c r="E279" s="434"/>
      <c r="F279" s="434"/>
      <c r="G279" s="434"/>
      <c r="H279" s="434"/>
      <c r="I279" s="434"/>
      <c r="J279" s="434"/>
      <c r="K279" s="434"/>
      <c r="L279" s="434"/>
      <c r="M279" s="434"/>
      <c r="N279" s="434"/>
      <c r="O279" s="434"/>
      <c r="P279" s="434"/>
      <c r="Q279" s="434"/>
      <c r="R279" s="434"/>
      <c r="S279" s="434"/>
      <c r="T279" s="434"/>
      <c r="U279" s="434"/>
      <c r="V279" s="434"/>
      <c r="W279" s="434"/>
      <c r="X279" s="434"/>
      <c r="Y279" s="434"/>
      <c r="Z279" s="434"/>
      <c r="AA279" s="434"/>
    </row>
    <row r="280" spans="1:27" ht="15.75" customHeight="1" x14ac:dyDescent="0.35">
      <c r="A280" s="434"/>
      <c r="B280" s="434"/>
      <c r="C280" s="434"/>
      <c r="D280" s="434"/>
      <c r="E280" s="434"/>
      <c r="F280" s="434"/>
      <c r="G280" s="434"/>
      <c r="H280" s="434"/>
      <c r="I280" s="434"/>
      <c r="J280" s="434"/>
      <c r="K280" s="434"/>
      <c r="L280" s="434"/>
      <c r="M280" s="434"/>
      <c r="N280" s="434"/>
      <c r="O280" s="434"/>
      <c r="P280" s="434"/>
      <c r="Q280" s="434"/>
      <c r="R280" s="434"/>
      <c r="S280" s="434"/>
      <c r="T280" s="434"/>
      <c r="U280" s="434"/>
      <c r="V280" s="434"/>
      <c r="W280" s="434"/>
      <c r="X280" s="434"/>
      <c r="Y280" s="434"/>
      <c r="Z280" s="434"/>
      <c r="AA280" s="434"/>
    </row>
    <row r="281" spans="1:27" ht="15.75" customHeight="1" x14ac:dyDescent="0.35">
      <c r="A281" s="434"/>
      <c r="B281" s="434"/>
      <c r="C281" s="434"/>
      <c r="D281" s="434"/>
      <c r="E281" s="434"/>
      <c r="F281" s="434"/>
      <c r="G281" s="434"/>
      <c r="H281" s="434"/>
      <c r="I281" s="434"/>
      <c r="J281" s="434"/>
      <c r="K281" s="434"/>
      <c r="L281" s="434"/>
      <c r="M281" s="434"/>
      <c r="N281" s="434"/>
      <c r="O281" s="434"/>
      <c r="P281" s="434"/>
      <c r="Q281" s="434"/>
      <c r="R281" s="434"/>
      <c r="S281" s="434"/>
      <c r="T281" s="434"/>
      <c r="U281" s="434"/>
      <c r="V281" s="434"/>
      <c r="W281" s="434"/>
      <c r="X281" s="434"/>
      <c r="Y281" s="434"/>
      <c r="Z281" s="434"/>
      <c r="AA281" s="434"/>
    </row>
    <row r="282" spans="1:27" ht="15.75" customHeight="1" x14ac:dyDescent="0.35">
      <c r="A282" s="434"/>
      <c r="B282" s="434"/>
      <c r="C282" s="434"/>
      <c r="D282" s="434"/>
      <c r="E282" s="434"/>
      <c r="F282" s="434"/>
      <c r="G282" s="434"/>
      <c r="H282" s="434"/>
      <c r="I282" s="434"/>
      <c r="J282" s="434"/>
      <c r="K282" s="434"/>
      <c r="L282" s="434"/>
      <c r="M282" s="434"/>
      <c r="N282" s="434"/>
      <c r="O282" s="434"/>
      <c r="P282" s="434"/>
      <c r="Q282" s="434"/>
      <c r="R282" s="434"/>
      <c r="S282" s="434"/>
      <c r="T282" s="434"/>
      <c r="U282" s="434"/>
      <c r="V282" s="434"/>
      <c r="W282" s="434"/>
      <c r="X282" s="434"/>
      <c r="Y282" s="434"/>
      <c r="Z282" s="434"/>
      <c r="AA282" s="434"/>
    </row>
    <row r="283" spans="1:27" ht="15.75" customHeight="1" x14ac:dyDescent="0.35">
      <c r="A283" s="434"/>
      <c r="B283" s="434"/>
      <c r="C283" s="434"/>
      <c r="D283" s="434"/>
      <c r="E283" s="434"/>
      <c r="F283" s="434"/>
      <c r="G283" s="434"/>
      <c r="H283" s="434"/>
      <c r="I283" s="434"/>
      <c r="J283" s="434"/>
      <c r="K283" s="434"/>
      <c r="L283" s="434"/>
      <c r="M283" s="434"/>
      <c r="N283" s="434"/>
      <c r="O283" s="434"/>
      <c r="P283" s="434"/>
      <c r="Q283" s="434"/>
      <c r="R283" s="434"/>
      <c r="S283" s="434"/>
      <c r="T283" s="434"/>
      <c r="U283" s="434"/>
      <c r="V283" s="434"/>
      <c r="W283" s="434"/>
      <c r="X283" s="434"/>
      <c r="Y283" s="434"/>
      <c r="Z283" s="434"/>
      <c r="AA283" s="434"/>
    </row>
    <row r="284" spans="1:27" ht="15.75" customHeight="1" x14ac:dyDescent="0.35">
      <c r="A284" s="434"/>
      <c r="B284" s="434"/>
      <c r="C284" s="434"/>
      <c r="D284" s="434"/>
      <c r="E284" s="434"/>
      <c r="F284" s="434"/>
      <c r="G284" s="434"/>
      <c r="H284" s="434"/>
      <c r="I284" s="434"/>
      <c r="J284" s="434"/>
      <c r="K284" s="434"/>
      <c r="L284" s="434"/>
      <c r="M284" s="434"/>
      <c r="N284" s="434"/>
      <c r="O284" s="434"/>
      <c r="P284" s="434"/>
      <c r="Q284" s="434"/>
      <c r="R284" s="434"/>
      <c r="S284" s="434"/>
      <c r="T284" s="434"/>
      <c r="U284" s="434"/>
      <c r="V284" s="434"/>
      <c r="W284" s="434"/>
      <c r="X284" s="434"/>
      <c r="Y284" s="434"/>
      <c r="Z284" s="434"/>
      <c r="AA284" s="434"/>
    </row>
    <row r="285" spans="1:27" ht="15.75" customHeight="1" x14ac:dyDescent="0.35">
      <c r="A285" s="434"/>
      <c r="B285" s="434"/>
      <c r="C285" s="434"/>
      <c r="D285" s="434"/>
      <c r="E285" s="434"/>
      <c r="F285" s="434"/>
      <c r="G285" s="434"/>
      <c r="H285" s="434"/>
      <c r="I285" s="434"/>
      <c r="J285" s="434"/>
      <c r="K285" s="434"/>
      <c r="L285" s="434"/>
      <c r="M285" s="434"/>
      <c r="N285" s="434"/>
      <c r="O285" s="434"/>
      <c r="P285" s="434"/>
      <c r="Q285" s="434"/>
      <c r="R285" s="434"/>
      <c r="S285" s="434"/>
      <c r="T285" s="434"/>
      <c r="U285" s="434"/>
      <c r="V285" s="434"/>
      <c r="W285" s="434"/>
      <c r="X285" s="434"/>
      <c r="Y285" s="434"/>
      <c r="Z285" s="434"/>
      <c r="AA285" s="434"/>
    </row>
    <row r="286" spans="1:27" ht="15.75" customHeight="1" x14ac:dyDescent="0.35">
      <c r="A286" s="434"/>
      <c r="B286" s="434"/>
      <c r="C286" s="434"/>
      <c r="D286" s="434"/>
      <c r="E286" s="434"/>
      <c r="F286" s="434"/>
      <c r="G286" s="434"/>
      <c r="H286" s="434"/>
      <c r="I286" s="434"/>
      <c r="J286" s="434"/>
      <c r="K286" s="434"/>
      <c r="L286" s="434"/>
      <c r="M286" s="434"/>
      <c r="N286" s="434"/>
      <c r="O286" s="434"/>
      <c r="P286" s="434"/>
      <c r="Q286" s="434"/>
      <c r="R286" s="434"/>
      <c r="S286" s="434"/>
      <c r="T286" s="434"/>
      <c r="U286" s="434"/>
      <c r="V286" s="434"/>
      <c r="W286" s="434"/>
      <c r="X286" s="434"/>
      <c r="Y286" s="434"/>
      <c r="Z286" s="434"/>
      <c r="AA286" s="434"/>
    </row>
    <row r="287" spans="1:27" ht="15.75" customHeight="1" x14ac:dyDescent="0.35">
      <c r="A287" s="434"/>
      <c r="B287" s="434"/>
      <c r="C287" s="434"/>
      <c r="D287" s="434"/>
      <c r="E287" s="434"/>
      <c r="F287" s="434"/>
      <c r="G287" s="434"/>
      <c r="H287" s="434"/>
      <c r="I287" s="434"/>
      <c r="J287" s="434"/>
      <c r="K287" s="434"/>
      <c r="L287" s="434"/>
      <c r="M287" s="434"/>
      <c r="N287" s="434"/>
      <c r="O287" s="434"/>
      <c r="P287" s="434"/>
      <c r="Q287" s="434"/>
      <c r="R287" s="434"/>
      <c r="S287" s="434"/>
      <c r="T287" s="434"/>
      <c r="U287" s="434"/>
      <c r="V287" s="434"/>
      <c r="W287" s="434"/>
      <c r="X287" s="434"/>
      <c r="Y287" s="434"/>
      <c r="Z287" s="434"/>
      <c r="AA287" s="434"/>
    </row>
    <row r="288" spans="1:27" ht="15.75" customHeight="1" x14ac:dyDescent="0.35">
      <c r="A288" s="434"/>
      <c r="B288" s="434"/>
      <c r="C288" s="434"/>
      <c r="D288" s="434"/>
      <c r="E288" s="434"/>
      <c r="F288" s="434"/>
      <c r="G288" s="434"/>
      <c r="H288" s="434"/>
      <c r="I288" s="434"/>
      <c r="J288" s="434"/>
      <c r="K288" s="434"/>
      <c r="L288" s="434"/>
      <c r="M288" s="434"/>
      <c r="N288" s="434"/>
      <c r="O288" s="434"/>
      <c r="P288" s="434"/>
      <c r="Q288" s="434"/>
      <c r="R288" s="434"/>
      <c r="S288" s="434"/>
      <c r="T288" s="434"/>
      <c r="U288" s="434"/>
      <c r="V288" s="434"/>
      <c r="W288" s="434"/>
      <c r="X288" s="434"/>
      <c r="Y288" s="434"/>
      <c r="Z288" s="434"/>
      <c r="AA288" s="434"/>
    </row>
    <row r="289" spans="1:27" ht="15.75" customHeight="1" x14ac:dyDescent="0.35">
      <c r="A289" s="434"/>
      <c r="B289" s="434"/>
      <c r="C289" s="434"/>
      <c r="D289" s="434"/>
      <c r="E289" s="434"/>
      <c r="F289" s="434"/>
      <c r="G289" s="434"/>
      <c r="H289" s="434"/>
      <c r="I289" s="434"/>
      <c r="J289" s="434"/>
      <c r="K289" s="434"/>
      <c r="L289" s="434"/>
      <c r="M289" s="434"/>
      <c r="N289" s="434"/>
      <c r="O289" s="434"/>
      <c r="P289" s="434"/>
      <c r="Q289" s="434"/>
      <c r="R289" s="434"/>
      <c r="S289" s="434"/>
      <c r="T289" s="434"/>
      <c r="U289" s="434"/>
      <c r="V289" s="434"/>
      <c r="W289" s="434"/>
      <c r="X289" s="434"/>
      <c r="Y289" s="434"/>
      <c r="Z289" s="434"/>
      <c r="AA289" s="434"/>
    </row>
    <row r="290" spans="1:27" ht="15.75" customHeight="1" x14ac:dyDescent="0.35">
      <c r="A290" s="434"/>
      <c r="B290" s="434"/>
      <c r="C290" s="434"/>
      <c r="D290" s="434"/>
      <c r="E290" s="434"/>
      <c r="F290" s="434"/>
      <c r="G290" s="434"/>
      <c r="H290" s="434"/>
      <c r="I290" s="434"/>
      <c r="J290" s="434"/>
      <c r="K290" s="434"/>
      <c r="L290" s="434"/>
      <c r="M290" s="434"/>
      <c r="N290" s="434"/>
      <c r="O290" s="434"/>
      <c r="P290" s="434"/>
      <c r="Q290" s="434"/>
      <c r="R290" s="434"/>
      <c r="S290" s="434"/>
      <c r="T290" s="434"/>
      <c r="U290" s="434"/>
      <c r="V290" s="434"/>
      <c r="W290" s="434"/>
      <c r="X290" s="434"/>
      <c r="Y290" s="434"/>
      <c r="Z290" s="434"/>
      <c r="AA290" s="434"/>
    </row>
    <row r="291" spans="1:27" ht="15.75" customHeight="1" x14ac:dyDescent="0.35">
      <c r="A291" s="434"/>
      <c r="B291" s="434"/>
      <c r="C291" s="434"/>
      <c r="D291" s="434"/>
      <c r="E291" s="434"/>
      <c r="F291" s="434"/>
      <c r="G291" s="434"/>
      <c r="H291" s="434"/>
      <c r="I291" s="434"/>
      <c r="J291" s="434"/>
      <c r="K291" s="434"/>
      <c r="L291" s="434"/>
      <c r="M291" s="434"/>
      <c r="N291" s="434"/>
      <c r="O291" s="434"/>
      <c r="P291" s="434"/>
      <c r="Q291" s="434"/>
      <c r="R291" s="434"/>
      <c r="S291" s="434"/>
      <c r="T291" s="434"/>
      <c r="U291" s="434"/>
      <c r="V291" s="434"/>
      <c r="W291" s="434"/>
      <c r="X291" s="434"/>
      <c r="Y291" s="434"/>
      <c r="Z291" s="434"/>
      <c r="AA291" s="434"/>
    </row>
    <row r="292" spans="1:27" ht="15.75" customHeight="1" x14ac:dyDescent="0.35">
      <c r="A292" s="434"/>
      <c r="B292" s="434"/>
      <c r="C292" s="434"/>
      <c r="D292" s="434"/>
      <c r="E292" s="434"/>
      <c r="F292" s="434"/>
      <c r="G292" s="434"/>
      <c r="H292" s="434"/>
      <c r="I292" s="434"/>
      <c r="J292" s="434"/>
      <c r="K292" s="434"/>
      <c r="L292" s="434"/>
      <c r="M292" s="434"/>
      <c r="N292" s="434"/>
      <c r="O292" s="434"/>
      <c r="P292" s="434"/>
      <c r="Q292" s="434"/>
      <c r="R292" s="434"/>
      <c r="S292" s="434"/>
      <c r="T292" s="434"/>
      <c r="U292" s="434"/>
      <c r="V292" s="434"/>
      <c r="W292" s="434"/>
      <c r="X292" s="434"/>
      <c r="Y292" s="434"/>
      <c r="Z292" s="434"/>
      <c r="AA292" s="434"/>
    </row>
    <row r="293" spans="1:27" ht="15.75" customHeight="1" x14ac:dyDescent="0.35">
      <c r="A293" s="434"/>
      <c r="B293" s="434"/>
      <c r="C293" s="434"/>
      <c r="D293" s="434"/>
      <c r="E293" s="434"/>
      <c r="F293" s="434"/>
      <c r="G293" s="434"/>
      <c r="H293" s="434"/>
      <c r="I293" s="434"/>
      <c r="J293" s="434"/>
      <c r="K293" s="434"/>
      <c r="L293" s="434"/>
      <c r="M293" s="434"/>
      <c r="N293" s="434"/>
      <c r="O293" s="434"/>
      <c r="P293" s="434"/>
      <c r="Q293" s="434"/>
      <c r="R293" s="434"/>
      <c r="S293" s="434"/>
      <c r="T293" s="434"/>
      <c r="U293" s="434"/>
      <c r="V293" s="434"/>
      <c r="W293" s="434"/>
      <c r="X293" s="434"/>
      <c r="Y293" s="434"/>
      <c r="Z293" s="434"/>
      <c r="AA293" s="434"/>
    </row>
    <row r="294" spans="1:27" ht="15.75" customHeight="1" x14ac:dyDescent="0.35">
      <c r="A294" s="434"/>
      <c r="B294" s="434"/>
      <c r="C294" s="434"/>
      <c r="D294" s="434"/>
      <c r="E294" s="434"/>
      <c r="F294" s="434"/>
      <c r="G294" s="434"/>
      <c r="H294" s="434"/>
      <c r="I294" s="434"/>
      <c r="J294" s="434"/>
      <c r="K294" s="434"/>
      <c r="L294" s="434"/>
      <c r="M294" s="434"/>
      <c r="N294" s="434"/>
      <c r="O294" s="434"/>
      <c r="P294" s="434"/>
      <c r="Q294" s="434"/>
      <c r="R294" s="434"/>
      <c r="S294" s="434"/>
      <c r="T294" s="434"/>
      <c r="U294" s="434"/>
      <c r="V294" s="434"/>
      <c r="W294" s="434"/>
      <c r="X294" s="434"/>
      <c r="Y294" s="434"/>
      <c r="Z294" s="434"/>
      <c r="AA294" s="434"/>
    </row>
    <row r="295" spans="1:27" ht="15.75" customHeight="1" x14ac:dyDescent="0.35">
      <c r="A295" s="434"/>
      <c r="B295" s="434"/>
      <c r="C295" s="434"/>
      <c r="D295" s="434"/>
      <c r="E295" s="434"/>
      <c r="F295" s="434"/>
      <c r="G295" s="434"/>
      <c r="H295" s="434"/>
      <c r="I295" s="434"/>
      <c r="J295" s="434"/>
      <c r="K295" s="434"/>
      <c r="L295" s="434"/>
      <c r="M295" s="434"/>
      <c r="N295" s="434"/>
      <c r="O295" s="434"/>
      <c r="P295" s="434"/>
      <c r="Q295" s="434"/>
      <c r="R295" s="434"/>
      <c r="S295" s="434"/>
      <c r="T295" s="434"/>
      <c r="U295" s="434"/>
      <c r="V295" s="434"/>
      <c r="W295" s="434"/>
      <c r="X295" s="434"/>
      <c r="Y295" s="434"/>
      <c r="Z295" s="434"/>
      <c r="AA295" s="434"/>
    </row>
    <row r="296" spans="1:27" ht="15.75" customHeight="1" x14ac:dyDescent="0.35">
      <c r="A296" s="434"/>
      <c r="B296" s="434"/>
      <c r="C296" s="434"/>
      <c r="D296" s="434"/>
      <c r="E296" s="434"/>
      <c r="F296" s="434"/>
      <c r="G296" s="434"/>
      <c r="H296" s="434"/>
      <c r="I296" s="434"/>
      <c r="J296" s="434"/>
      <c r="K296" s="434"/>
      <c r="L296" s="434"/>
      <c r="M296" s="434"/>
      <c r="N296" s="434"/>
      <c r="O296" s="434"/>
      <c r="P296" s="434"/>
      <c r="Q296" s="434"/>
      <c r="R296" s="434"/>
      <c r="S296" s="434"/>
      <c r="T296" s="434"/>
      <c r="U296" s="434"/>
      <c r="V296" s="434"/>
      <c r="W296" s="434"/>
      <c r="X296" s="434"/>
      <c r="Y296" s="434"/>
      <c r="Z296" s="434"/>
      <c r="AA296" s="434"/>
    </row>
    <row r="297" spans="1:27" ht="15.75" customHeight="1" x14ac:dyDescent="0.35">
      <c r="A297" s="434"/>
      <c r="B297" s="434"/>
      <c r="C297" s="434"/>
      <c r="D297" s="434"/>
      <c r="E297" s="434"/>
      <c r="F297" s="434"/>
      <c r="G297" s="434"/>
      <c r="H297" s="434"/>
      <c r="I297" s="434"/>
      <c r="J297" s="434"/>
      <c r="K297" s="434"/>
      <c r="L297" s="434"/>
      <c r="M297" s="434"/>
      <c r="N297" s="434"/>
      <c r="O297" s="434"/>
      <c r="P297" s="434"/>
      <c r="Q297" s="434"/>
      <c r="R297" s="434"/>
      <c r="S297" s="434"/>
      <c r="T297" s="434"/>
      <c r="U297" s="434"/>
      <c r="V297" s="434"/>
      <c r="W297" s="434"/>
      <c r="X297" s="434"/>
      <c r="Y297" s="434"/>
      <c r="Z297" s="434"/>
      <c r="AA297" s="434"/>
    </row>
    <row r="298" spans="1:27" ht="15.75" customHeight="1" x14ac:dyDescent="0.35">
      <c r="A298" s="434"/>
      <c r="B298" s="434"/>
      <c r="C298" s="434"/>
      <c r="D298" s="434"/>
      <c r="E298" s="434"/>
      <c r="F298" s="434"/>
      <c r="G298" s="434"/>
      <c r="H298" s="434"/>
      <c r="I298" s="434"/>
      <c r="J298" s="434"/>
      <c r="K298" s="434"/>
      <c r="L298" s="434"/>
      <c r="M298" s="434"/>
      <c r="N298" s="434"/>
      <c r="O298" s="434"/>
      <c r="P298" s="434"/>
      <c r="Q298" s="434"/>
      <c r="R298" s="434"/>
      <c r="S298" s="434"/>
      <c r="T298" s="434"/>
      <c r="U298" s="434"/>
      <c r="V298" s="434"/>
      <c r="W298" s="434"/>
      <c r="X298" s="434"/>
      <c r="Y298" s="434"/>
      <c r="Z298" s="434"/>
      <c r="AA298" s="434"/>
    </row>
    <row r="299" spans="1:27" ht="15.75" customHeight="1" x14ac:dyDescent="0.35">
      <c r="A299" s="434"/>
      <c r="B299" s="434"/>
      <c r="C299" s="434"/>
      <c r="D299" s="434"/>
      <c r="E299" s="434"/>
      <c r="F299" s="434"/>
      <c r="G299" s="434"/>
      <c r="H299" s="434"/>
      <c r="I299" s="434"/>
      <c r="J299" s="434"/>
      <c r="K299" s="434"/>
      <c r="L299" s="434"/>
      <c r="M299" s="434"/>
      <c r="N299" s="434"/>
      <c r="O299" s="434"/>
      <c r="P299" s="434"/>
      <c r="Q299" s="434"/>
      <c r="R299" s="434"/>
      <c r="S299" s="434"/>
      <c r="T299" s="434"/>
      <c r="U299" s="434"/>
      <c r="V299" s="434"/>
      <c r="W299" s="434"/>
      <c r="X299" s="434"/>
      <c r="Y299" s="434"/>
      <c r="Z299" s="434"/>
      <c r="AA299" s="434"/>
    </row>
    <row r="300" spans="1:27" ht="15.75" customHeight="1" x14ac:dyDescent="0.35">
      <c r="A300" s="434"/>
      <c r="B300" s="434"/>
      <c r="C300" s="434"/>
      <c r="D300" s="434"/>
      <c r="E300" s="434"/>
      <c r="F300" s="434"/>
      <c r="G300" s="434"/>
      <c r="H300" s="434"/>
      <c r="I300" s="434"/>
      <c r="J300" s="434"/>
      <c r="K300" s="434"/>
      <c r="L300" s="434"/>
      <c r="M300" s="434"/>
      <c r="N300" s="434"/>
      <c r="O300" s="434"/>
      <c r="P300" s="434"/>
      <c r="Q300" s="434"/>
      <c r="R300" s="434"/>
      <c r="S300" s="434"/>
      <c r="T300" s="434"/>
      <c r="U300" s="434"/>
      <c r="V300" s="434"/>
      <c r="W300" s="434"/>
      <c r="X300" s="434"/>
      <c r="Y300" s="434"/>
      <c r="Z300" s="434"/>
      <c r="AA300" s="434"/>
    </row>
    <row r="301" spans="1:27" ht="15.75" customHeight="1" x14ac:dyDescent="0.35">
      <c r="A301" s="434"/>
      <c r="B301" s="434"/>
      <c r="C301" s="434"/>
      <c r="D301" s="434"/>
      <c r="E301" s="434"/>
      <c r="F301" s="434"/>
      <c r="G301" s="434"/>
      <c r="H301" s="434"/>
      <c r="I301" s="434"/>
      <c r="J301" s="434"/>
      <c r="K301" s="434"/>
      <c r="L301" s="434"/>
      <c r="M301" s="434"/>
      <c r="N301" s="434"/>
      <c r="O301" s="434"/>
      <c r="P301" s="434"/>
      <c r="Q301" s="434"/>
      <c r="R301" s="434"/>
      <c r="S301" s="434"/>
      <c r="T301" s="434"/>
      <c r="U301" s="434"/>
      <c r="V301" s="434"/>
      <c r="W301" s="434"/>
      <c r="X301" s="434"/>
      <c r="Y301" s="434"/>
      <c r="Z301" s="434"/>
      <c r="AA301" s="434"/>
    </row>
    <row r="302" spans="1:27" ht="15.75" customHeight="1" x14ac:dyDescent="0.35">
      <c r="A302" s="434"/>
      <c r="B302" s="434"/>
      <c r="C302" s="434"/>
      <c r="D302" s="434"/>
      <c r="E302" s="434"/>
      <c r="F302" s="434"/>
      <c r="G302" s="434"/>
      <c r="H302" s="434"/>
      <c r="I302" s="434"/>
      <c r="J302" s="434"/>
      <c r="K302" s="434"/>
      <c r="L302" s="434"/>
      <c r="M302" s="434"/>
      <c r="N302" s="434"/>
      <c r="O302" s="434"/>
      <c r="P302" s="434"/>
      <c r="Q302" s="434"/>
      <c r="R302" s="434"/>
      <c r="S302" s="434"/>
      <c r="T302" s="434"/>
      <c r="U302" s="434"/>
      <c r="V302" s="434"/>
      <c r="W302" s="434"/>
      <c r="X302" s="434"/>
      <c r="Y302" s="434"/>
      <c r="Z302" s="434"/>
      <c r="AA302" s="434"/>
    </row>
    <row r="303" spans="1:27" ht="15.75" customHeight="1" x14ac:dyDescent="0.35">
      <c r="A303" s="434"/>
      <c r="B303" s="434"/>
      <c r="C303" s="434"/>
      <c r="D303" s="434"/>
      <c r="E303" s="434"/>
      <c r="F303" s="434"/>
      <c r="G303" s="434"/>
      <c r="H303" s="434"/>
      <c r="I303" s="434"/>
      <c r="J303" s="434"/>
      <c r="K303" s="434"/>
      <c r="L303" s="434"/>
      <c r="M303" s="434"/>
      <c r="N303" s="434"/>
      <c r="O303" s="434"/>
      <c r="P303" s="434"/>
      <c r="Q303" s="434"/>
      <c r="R303" s="434"/>
      <c r="S303" s="434"/>
      <c r="T303" s="434"/>
      <c r="U303" s="434"/>
      <c r="V303" s="434"/>
      <c r="W303" s="434"/>
      <c r="X303" s="434"/>
      <c r="Y303" s="434"/>
      <c r="Z303" s="434"/>
      <c r="AA303" s="434"/>
    </row>
    <row r="304" spans="1:27" ht="15.75" customHeight="1" x14ac:dyDescent="0.35">
      <c r="A304" s="434"/>
      <c r="B304" s="434"/>
      <c r="C304" s="434"/>
      <c r="D304" s="434"/>
      <c r="E304" s="434"/>
      <c r="F304" s="434"/>
      <c r="G304" s="434"/>
      <c r="H304" s="434"/>
      <c r="I304" s="434"/>
      <c r="J304" s="434"/>
      <c r="K304" s="434"/>
      <c r="L304" s="434"/>
      <c r="M304" s="434"/>
      <c r="N304" s="434"/>
      <c r="O304" s="434"/>
      <c r="P304" s="434"/>
      <c r="Q304" s="434"/>
      <c r="R304" s="434"/>
      <c r="S304" s="434"/>
      <c r="T304" s="434"/>
      <c r="U304" s="434"/>
      <c r="V304" s="434"/>
      <c r="W304" s="434"/>
      <c r="X304" s="434"/>
      <c r="Y304" s="434"/>
      <c r="Z304" s="434"/>
      <c r="AA304" s="434"/>
    </row>
    <row r="305" spans="1:27" ht="15.75" customHeight="1" x14ac:dyDescent="0.35">
      <c r="A305" s="434"/>
      <c r="B305" s="434"/>
      <c r="C305" s="434"/>
      <c r="D305" s="434"/>
      <c r="E305" s="434"/>
      <c r="F305" s="434"/>
      <c r="G305" s="434"/>
      <c r="H305" s="434"/>
      <c r="I305" s="434"/>
      <c r="J305" s="434"/>
      <c r="K305" s="434"/>
      <c r="L305" s="434"/>
      <c r="M305" s="434"/>
      <c r="N305" s="434"/>
      <c r="O305" s="434"/>
      <c r="P305" s="434"/>
      <c r="Q305" s="434"/>
      <c r="R305" s="434"/>
      <c r="S305" s="434"/>
      <c r="T305" s="434"/>
      <c r="U305" s="434"/>
      <c r="V305" s="434"/>
      <c r="W305" s="434"/>
      <c r="X305" s="434"/>
      <c r="Y305" s="434"/>
      <c r="Z305" s="434"/>
      <c r="AA305" s="434"/>
    </row>
    <row r="306" spans="1:27" ht="15.75" customHeight="1" x14ac:dyDescent="0.35">
      <c r="A306" s="434"/>
      <c r="B306" s="434"/>
      <c r="C306" s="434"/>
      <c r="D306" s="434"/>
      <c r="E306" s="434"/>
      <c r="F306" s="434"/>
      <c r="G306" s="434"/>
      <c r="H306" s="434"/>
      <c r="I306" s="434"/>
      <c r="J306" s="434"/>
      <c r="K306" s="434"/>
      <c r="L306" s="434"/>
      <c r="M306" s="434"/>
      <c r="N306" s="434"/>
      <c r="O306" s="434"/>
      <c r="P306" s="434"/>
      <c r="Q306" s="434"/>
      <c r="R306" s="434"/>
      <c r="S306" s="434"/>
      <c r="T306" s="434"/>
      <c r="U306" s="434"/>
      <c r="V306" s="434"/>
      <c r="W306" s="434"/>
      <c r="X306" s="434"/>
      <c r="Y306" s="434"/>
      <c r="Z306" s="434"/>
      <c r="AA306" s="434"/>
    </row>
    <row r="307" spans="1:27" ht="15.75" customHeight="1" x14ac:dyDescent="0.35">
      <c r="A307" s="434"/>
      <c r="B307" s="434"/>
      <c r="C307" s="434"/>
      <c r="D307" s="434"/>
      <c r="E307" s="434"/>
      <c r="F307" s="434"/>
      <c r="G307" s="434"/>
      <c r="H307" s="434"/>
      <c r="I307" s="434"/>
      <c r="J307" s="434"/>
      <c r="K307" s="434"/>
      <c r="L307" s="434"/>
      <c r="M307" s="434"/>
      <c r="N307" s="434"/>
      <c r="O307" s="434"/>
      <c r="P307" s="434"/>
      <c r="Q307" s="434"/>
      <c r="R307" s="434"/>
      <c r="S307" s="434"/>
      <c r="T307" s="434"/>
      <c r="U307" s="434"/>
      <c r="V307" s="434"/>
      <c r="W307" s="434"/>
      <c r="X307" s="434"/>
      <c r="Y307" s="434"/>
      <c r="Z307" s="434"/>
      <c r="AA307" s="434"/>
    </row>
    <row r="308" spans="1:27" ht="15.75" customHeight="1" x14ac:dyDescent="0.35">
      <c r="A308" s="434"/>
      <c r="B308" s="434"/>
      <c r="C308" s="434"/>
      <c r="D308" s="434"/>
      <c r="E308" s="434"/>
      <c r="F308" s="434"/>
      <c r="G308" s="434"/>
      <c r="H308" s="434"/>
      <c r="I308" s="434"/>
      <c r="J308" s="434"/>
      <c r="K308" s="434"/>
      <c r="L308" s="434"/>
      <c r="M308" s="434"/>
      <c r="N308" s="434"/>
      <c r="O308" s="434"/>
      <c r="P308" s="434"/>
      <c r="Q308" s="434"/>
      <c r="R308" s="434"/>
      <c r="S308" s="434"/>
      <c r="T308" s="434"/>
      <c r="U308" s="434"/>
      <c r="V308" s="434"/>
      <c r="W308" s="434"/>
      <c r="X308" s="434"/>
      <c r="Y308" s="434"/>
      <c r="Z308" s="434"/>
      <c r="AA308" s="434"/>
    </row>
    <row r="309" spans="1:27" ht="15.75" customHeight="1" x14ac:dyDescent="0.35">
      <c r="A309" s="434"/>
      <c r="B309" s="434"/>
      <c r="C309" s="434"/>
      <c r="D309" s="434"/>
      <c r="E309" s="434"/>
      <c r="F309" s="434"/>
      <c r="G309" s="434"/>
      <c r="H309" s="434"/>
      <c r="I309" s="434"/>
      <c r="J309" s="434"/>
      <c r="K309" s="434"/>
      <c r="L309" s="434"/>
      <c r="M309" s="434"/>
      <c r="N309" s="434"/>
      <c r="O309" s="434"/>
      <c r="P309" s="434"/>
      <c r="Q309" s="434"/>
      <c r="R309" s="434"/>
      <c r="S309" s="434"/>
      <c r="T309" s="434"/>
      <c r="U309" s="434"/>
      <c r="V309" s="434"/>
      <c r="W309" s="434"/>
      <c r="X309" s="434"/>
      <c r="Y309" s="434"/>
      <c r="Z309" s="434"/>
      <c r="AA309" s="434"/>
    </row>
    <row r="310" spans="1:27" ht="15.75" customHeight="1" x14ac:dyDescent="0.35">
      <c r="A310" s="434"/>
      <c r="B310" s="434"/>
      <c r="C310" s="434"/>
      <c r="D310" s="434"/>
      <c r="E310" s="434"/>
      <c r="F310" s="434"/>
      <c r="G310" s="434"/>
      <c r="H310" s="434"/>
      <c r="I310" s="434"/>
      <c r="J310" s="434"/>
      <c r="K310" s="434"/>
      <c r="L310" s="434"/>
      <c r="M310" s="434"/>
      <c r="N310" s="434"/>
      <c r="O310" s="434"/>
      <c r="P310" s="434"/>
      <c r="Q310" s="434"/>
      <c r="R310" s="434"/>
      <c r="S310" s="434"/>
      <c r="T310" s="434"/>
      <c r="U310" s="434"/>
      <c r="V310" s="434"/>
      <c r="W310" s="434"/>
      <c r="X310" s="434"/>
      <c r="Y310" s="434"/>
      <c r="Z310" s="434"/>
      <c r="AA310" s="434"/>
    </row>
    <row r="311" spans="1:27" ht="15.75" customHeight="1" x14ac:dyDescent="0.35">
      <c r="A311" s="434"/>
      <c r="B311" s="434"/>
      <c r="C311" s="434"/>
      <c r="D311" s="434"/>
      <c r="E311" s="434"/>
      <c r="F311" s="434"/>
      <c r="G311" s="434"/>
      <c r="H311" s="434"/>
      <c r="I311" s="434"/>
      <c r="J311" s="434"/>
      <c r="K311" s="434"/>
      <c r="L311" s="434"/>
      <c r="M311" s="434"/>
      <c r="N311" s="434"/>
      <c r="O311" s="434"/>
      <c r="P311" s="434"/>
      <c r="Q311" s="434"/>
      <c r="R311" s="434"/>
      <c r="S311" s="434"/>
      <c r="T311" s="434"/>
      <c r="U311" s="434"/>
      <c r="V311" s="434"/>
      <c r="W311" s="434"/>
      <c r="X311" s="434"/>
      <c r="Y311" s="434"/>
      <c r="Z311" s="434"/>
      <c r="AA311" s="434"/>
    </row>
    <row r="312" spans="1:27" ht="15.75" customHeight="1" x14ac:dyDescent="0.35">
      <c r="A312" s="434"/>
      <c r="B312" s="434"/>
      <c r="C312" s="434"/>
      <c r="D312" s="434"/>
      <c r="E312" s="434"/>
      <c r="F312" s="434"/>
      <c r="G312" s="434"/>
      <c r="H312" s="434"/>
      <c r="I312" s="434"/>
      <c r="J312" s="434"/>
      <c r="K312" s="434"/>
      <c r="L312" s="434"/>
      <c r="M312" s="434"/>
      <c r="N312" s="434"/>
      <c r="O312" s="434"/>
      <c r="P312" s="434"/>
      <c r="Q312" s="434"/>
      <c r="R312" s="434"/>
      <c r="S312" s="434"/>
      <c r="T312" s="434"/>
      <c r="U312" s="434"/>
      <c r="V312" s="434"/>
      <c r="W312" s="434"/>
      <c r="X312" s="434"/>
      <c r="Y312" s="434"/>
      <c r="Z312" s="434"/>
      <c r="AA312" s="434"/>
    </row>
    <row r="313" spans="1:27" ht="15.75" customHeight="1" x14ac:dyDescent="0.35">
      <c r="A313" s="434"/>
      <c r="B313" s="434"/>
      <c r="C313" s="434"/>
      <c r="D313" s="434"/>
      <c r="E313" s="434"/>
      <c r="F313" s="434"/>
      <c r="G313" s="434"/>
      <c r="H313" s="434"/>
      <c r="I313" s="434"/>
      <c r="J313" s="434"/>
      <c r="K313" s="434"/>
      <c r="L313" s="434"/>
      <c r="M313" s="434"/>
      <c r="N313" s="434"/>
      <c r="O313" s="434"/>
      <c r="P313" s="434"/>
      <c r="Q313" s="434"/>
      <c r="R313" s="434"/>
      <c r="S313" s="434"/>
      <c r="T313" s="434"/>
      <c r="U313" s="434"/>
      <c r="V313" s="434"/>
      <c r="W313" s="434"/>
      <c r="X313" s="434"/>
      <c r="Y313" s="434"/>
      <c r="Z313" s="434"/>
      <c r="AA313" s="434"/>
    </row>
    <row r="314" spans="1:27" ht="15.75" customHeight="1" x14ac:dyDescent="0.35">
      <c r="A314" s="434"/>
      <c r="B314" s="434"/>
      <c r="C314" s="434"/>
      <c r="D314" s="434"/>
      <c r="E314" s="434"/>
      <c r="F314" s="434"/>
      <c r="G314" s="434"/>
      <c r="H314" s="434"/>
      <c r="I314" s="434"/>
      <c r="J314" s="434"/>
      <c r="K314" s="434"/>
      <c r="L314" s="434"/>
      <c r="M314" s="434"/>
      <c r="N314" s="434"/>
      <c r="O314" s="434"/>
      <c r="P314" s="434"/>
      <c r="Q314" s="434"/>
      <c r="R314" s="434"/>
      <c r="S314" s="434"/>
      <c r="T314" s="434"/>
      <c r="U314" s="434"/>
      <c r="V314" s="434"/>
      <c r="W314" s="434"/>
      <c r="X314" s="434"/>
      <c r="Y314" s="434"/>
      <c r="Z314" s="434"/>
      <c r="AA314" s="434"/>
    </row>
    <row r="315" spans="1:27" ht="15.75" customHeight="1" x14ac:dyDescent="0.35">
      <c r="A315" s="434"/>
      <c r="B315" s="434"/>
      <c r="C315" s="434"/>
      <c r="D315" s="434"/>
      <c r="E315" s="434"/>
      <c r="F315" s="434"/>
      <c r="G315" s="434"/>
      <c r="H315" s="434"/>
      <c r="I315" s="434"/>
      <c r="J315" s="434"/>
      <c r="K315" s="434"/>
      <c r="L315" s="434"/>
      <c r="M315" s="434"/>
      <c r="N315" s="434"/>
      <c r="O315" s="434"/>
      <c r="P315" s="434"/>
      <c r="Q315" s="434"/>
      <c r="R315" s="434"/>
      <c r="S315" s="434"/>
      <c r="T315" s="434"/>
      <c r="U315" s="434"/>
      <c r="V315" s="434"/>
      <c r="W315" s="434"/>
      <c r="X315" s="434"/>
      <c r="Y315" s="434"/>
      <c r="Z315" s="434"/>
      <c r="AA315" s="434"/>
    </row>
    <row r="316" spans="1:27" ht="15.75" customHeight="1" x14ac:dyDescent="0.35">
      <c r="A316" s="434"/>
      <c r="B316" s="434"/>
      <c r="C316" s="434"/>
      <c r="D316" s="434"/>
      <c r="E316" s="434"/>
      <c r="F316" s="434"/>
      <c r="G316" s="434"/>
      <c r="H316" s="434"/>
      <c r="I316" s="434"/>
      <c r="J316" s="434"/>
      <c r="K316" s="434"/>
      <c r="L316" s="434"/>
      <c r="M316" s="434"/>
      <c r="N316" s="434"/>
      <c r="O316" s="434"/>
      <c r="P316" s="434"/>
      <c r="Q316" s="434"/>
      <c r="R316" s="434"/>
      <c r="S316" s="434"/>
      <c r="T316" s="434"/>
      <c r="U316" s="434"/>
      <c r="V316" s="434"/>
      <c r="W316" s="434"/>
      <c r="X316" s="434"/>
      <c r="Y316" s="434"/>
      <c r="Z316" s="434"/>
      <c r="AA316" s="434"/>
    </row>
    <row r="317" spans="1:27" ht="15.75" customHeight="1" x14ac:dyDescent="0.35">
      <c r="A317" s="434"/>
      <c r="B317" s="434"/>
      <c r="C317" s="434"/>
      <c r="D317" s="434"/>
      <c r="E317" s="434"/>
      <c r="F317" s="434"/>
      <c r="G317" s="434"/>
      <c r="H317" s="434"/>
      <c r="I317" s="434"/>
      <c r="J317" s="434"/>
      <c r="K317" s="434"/>
      <c r="L317" s="434"/>
      <c r="M317" s="434"/>
      <c r="N317" s="434"/>
      <c r="O317" s="434"/>
      <c r="P317" s="434"/>
      <c r="Q317" s="434"/>
      <c r="R317" s="434"/>
      <c r="S317" s="434"/>
      <c r="T317" s="434"/>
      <c r="U317" s="434"/>
      <c r="V317" s="434"/>
      <c r="W317" s="434"/>
      <c r="X317" s="434"/>
      <c r="Y317" s="434"/>
      <c r="Z317" s="434"/>
      <c r="AA317" s="434"/>
    </row>
    <row r="318" spans="1:27" ht="15.75" customHeight="1" x14ac:dyDescent="0.35">
      <c r="A318" s="434"/>
      <c r="B318" s="434"/>
      <c r="C318" s="434"/>
      <c r="D318" s="434"/>
      <c r="E318" s="434"/>
      <c r="F318" s="434"/>
      <c r="G318" s="434"/>
      <c r="H318" s="434"/>
      <c r="I318" s="434"/>
      <c r="J318" s="434"/>
      <c r="K318" s="434"/>
      <c r="L318" s="434"/>
      <c r="M318" s="434"/>
      <c r="N318" s="434"/>
      <c r="O318" s="434"/>
      <c r="P318" s="434"/>
      <c r="Q318" s="434"/>
      <c r="R318" s="434"/>
      <c r="S318" s="434"/>
      <c r="T318" s="434"/>
      <c r="U318" s="434"/>
      <c r="V318" s="434"/>
      <c r="W318" s="434"/>
      <c r="X318" s="434"/>
      <c r="Y318" s="434"/>
      <c r="Z318" s="434"/>
      <c r="AA318" s="434"/>
    </row>
    <row r="319" spans="1:27" ht="15.75" customHeight="1" x14ac:dyDescent="0.35">
      <c r="A319" s="434"/>
      <c r="B319" s="434"/>
      <c r="C319" s="434"/>
      <c r="D319" s="434"/>
      <c r="E319" s="434"/>
      <c r="F319" s="434"/>
      <c r="G319" s="434"/>
      <c r="H319" s="434"/>
      <c r="I319" s="434"/>
      <c r="J319" s="434"/>
      <c r="K319" s="434"/>
      <c r="L319" s="434"/>
      <c r="M319" s="434"/>
      <c r="N319" s="434"/>
      <c r="O319" s="434"/>
      <c r="P319" s="434"/>
      <c r="Q319" s="434"/>
      <c r="R319" s="434"/>
      <c r="S319" s="434"/>
      <c r="T319" s="434"/>
      <c r="U319" s="434"/>
      <c r="V319" s="434"/>
      <c r="W319" s="434"/>
      <c r="X319" s="434"/>
      <c r="Y319" s="434"/>
      <c r="Z319" s="434"/>
      <c r="AA319" s="434"/>
    </row>
    <row r="320" spans="1:27" ht="15.75" customHeight="1" x14ac:dyDescent="0.35">
      <c r="A320" s="434"/>
      <c r="B320" s="434"/>
      <c r="C320" s="434"/>
      <c r="D320" s="434"/>
      <c r="E320" s="434"/>
      <c r="F320" s="434"/>
      <c r="G320" s="434"/>
      <c r="H320" s="434"/>
      <c r="I320" s="434"/>
      <c r="J320" s="434"/>
      <c r="K320" s="434"/>
      <c r="L320" s="434"/>
      <c r="M320" s="434"/>
      <c r="N320" s="434"/>
      <c r="O320" s="434"/>
      <c r="P320" s="434"/>
      <c r="Q320" s="434"/>
      <c r="R320" s="434"/>
      <c r="S320" s="434"/>
      <c r="T320" s="434"/>
      <c r="U320" s="434"/>
      <c r="V320" s="434"/>
      <c r="W320" s="434"/>
      <c r="X320" s="434"/>
      <c r="Y320" s="434"/>
      <c r="Z320" s="434"/>
      <c r="AA320" s="434"/>
    </row>
    <row r="321" spans="1:27" ht="15.75" customHeight="1" x14ac:dyDescent="0.35">
      <c r="A321" s="434"/>
      <c r="B321" s="434"/>
      <c r="C321" s="434"/>
      <c r="D321" s="434"/>
      <c r="E321" s="434"/>
      <c r="F321" s="434"/>
      <c r="G321" s="434"/>
      <c r="H321" s="434"/>
      <c r="I321" s="434"/>
      <c r="J321" s="434"/>
      <c r="K321" s="434"/>
      <c r="L321" s="434"/>
      <c r="M321" s="434"/>
      <c r="N321" s="434"/>
      <c r="O321" s="434"/>
      <c r="P321" s="434"/>
      <c r="Q321" s="434"/>
      <c r="R321" s="434"/>
      <c r="S321" s="434"/>
      <c r="T321" s="434"/>
      <c r="U321" s="434"/>
      <c r="V321" s="434"/>
      <c r="W321" s="434"/>
      <c r="X321" s="434"/>
      <c r="Y321" s="434"/>
      <c r="Z321" s="434"/>
      <c r="AA321" s="434"/>
    </row>
    <row r="322" spans="1:27" ht="15.75" customHeight="1" x14ac:dyDescent="0.35">
      <c r="A322" s="434"/>
      <c r="B322" s="434"/>
      <c r="C322" s="434"/>
      <c r="D322" s="434"/>
      <c r="E322" s="434"/>
      <c r="F322" s="434"/>
      <c r="G322" s="434"/>
      <c r="H322" s="434"/>
      <c r="I322" s="434"/>
      <c r="J322" s="434"/>
      <c r="K322" s="434"/>
      <c r="L322" s="434"/>
      <c r="M322" s="434"/>
      <c r="N322" s="434"/>
      <c r="O322" s="434"/>
      <c r="P322" s="434"/>
      <c r="Q322" s="434"/>
      <c r="R322" s="434"/>
      <c r="S322" s="434"/>
      <c r="T322" s="434"/>
      <c r="U322" s="434"/>
      <c r="V322" s="434"/>
      <c r="W322" s="434"/>
      <c r="X322" s="434"/>
      <c r="Y322" s="434"/>
      <c r="Z322" s="434"/>
      <c r="AA322" s="434"/>
    </row>
    <row r="323" spans="1:27" ht="15.75" customHeight="1" x14ac:dyDescent="0.35">
      <c r="A323" s="434"/>
      <c r="B323" s="434"/>
      <c r="C323" s="434"/>
      <c r="D323" s="434"/>
      <c r="E323" s="434"/>
      <c r="F323" s="434"/>
      <c r="G323" s="434"/>
      <c r="H323" s="434"/>
      <c r="I323" s="434"/>
      <c r="J323" s="434"/>
      <c r="K323" s="434"/>
      <c r="L323" s="434"/>
      <c r="M323" s="434"/>
      <c r="N323" s="434"/>
      <c r="O323" s="434"/>
      <c r="P323" s="434"/>
      <c r="Q323" s="434"/>
      <c r="R323" s="434"/>
      <c r="S323" s="434"/>
      <c r="T323" s="434"/>
      <c r="U323" s="434"/>
      <c r="V323" s="434"/>
      <c r="W323" s="434"/>
      <c r="X323" s="434"/>
      <c r="Y323" s="434"/>
      <c r="Z323" s="434"/>
      <c r="AA323" s="434"/>
    </row>
    <row r="324" spans="1:27" ht="15.75" customHeight="1" x14ac:dyDescent="0.35">
      <c r="A324" s="434"/>
      <c r="B324" s="434"/>
      <c r="C324" s="434"/>
      <c r="D324" s="434"/>
      <c r="E324" s="434"/>
      <c r="F324" s="434"/>
      <c r="G324" s="434"/>
      <c r="H324" s="434"/>
      <c r="I324" s="434"/>
      <c r="J324" s="434"/>
      <c r="K324" s="434"/>
      <c r="L324" s="434"/>
      <c r="M324" s="434"/>
      <c r="N324" s="434"/>
      <c r="O324" s="434"/>
      <c r="P324" s="434"/>
      <c r="Q324" s="434"/>
      <c r="R324" s="434"/>
      <c r="S324" s="434"/>
      <c r="T324" s="434"/>
      <c r="U324" s="434"/>
      <c r="V324" s="434"/>
      <c r="W324" s="434"/>
      <c r="X324" s="434"/>
      <c r="Y324" s="434"/>
      <c r="Z324" s="434"/>
      <c r="AA324" s="434"/>
    </row>
    <row r="325" spans="1:27" ht="15.75" customHeight="1" x14ac:dyDescent="0.35">
      <c r="A325" s="434"/>
      <c r="B325" s="434"/>
      <c r="C325" s="434"/>
      <c r="D325" s="434"/>
      <c r="E325" s="434"/>
      <c r="F325" s="434"/>
      <c r="G325" s="434"/>
      <c r="H325" s="434"/>
      <c r="I325" s="434"/>
      <c r="J325" s="434"/>
      <c r="K325" s="434"/>
      <c r="L325" s="434"/>
      <c r="M325" s="434"/>
      <c r="N325" s="434"/>
      <c r="O325" s="434"/>
      <c r="P325" s="434"/>
      <c r="Q325" s="434"/>
      <c r="R325" s="434"/>
      <c r="S325" s="434"/>
      <c r="T325" s="434"/>
      <c r="U325" s="434"/>
      <c r="V325" s="434"/>
      <c r="W325" s="434"/>
      <c r="X325" s="434"/>
      <c r="Y325" s="434"/>
      <c r="Z325" s="434"/>
      <c r="AA325" s="434"/>
    </row>
    <row r="326" spans="1:27" ht="15.75" customHeight="1" x14ac:dyDescent="0.35">
      <c r="A326" s="434"/>
      <c r="B326" s="434"/>
      <c r="C326" s="434"/>
      <c r="D326" s="434"/>
      <c r="E326" s="434"/>
      <c r="F326" s="434"/>
      <c r="G326" s="434"/>
      <c r="H326" s="434"/>
      <c r="I326" s="434"/>
      <c r="J326" s="434"/>
      <c r="K326" s="434"/>
      <c r="L326" s="434"/>
      <c r="M326" s="434"/>
      <c r="N326" s="434"/>
      <c r="O326" s="434"/>
      <c r="P326" s="434"/>
      <c r="Q326" s="434"/>
      <c r="R326" s="434"/>
      <c r="S326" s="434"/>
      <c r="T326" s="434"/>
      <c r="U326" s="434"/>
      <c r="V326" s="434"/>
      <c r="W326" s="434"/>
      <c r="X326" s="434"/>
      <c r="Y326" s="434"/>
      <c r="Z326" s="434"/>
      <c r="AA326" s="434"/>
    </row>
    <row r="327" spans="1:27" ht="15.75" customHeight="1" x14ac:dyDescent="0.35">
      <c r="A327" s="434"/>
      <c r="B327" s="434"/>
      <c r="C327" s="434"/>
      <c r="D327" s="434"/>
      <c r="E327" s="434"/>
      <c r="F327" s="434"/>
      <c r="G327" s="434"/>
      <c r="H327" s="434"/>
      <c r="I327" s="434"/>
      <c r="J327" s="434"/>
      <c r="K327" s="434"/>
      <c r="L327" s="434"/>
      <c r="M327" s="434"/>
      <c r="N327" s="434"/>
      <c r="O327" s="434"/>
      <c r="P327" s="434"/>
      <c r="Q327" s="434"/>
      <c r="R327" s="434"/>
      <c r="S327" s="434"/>
      <c r="T327" s="434"/>
      <c r="U327" s="434"/>
      <c r="V327" s="434"/>
      <c r="W327" s="434"/>
      <c r="X327" s="434"/>
      <c r="Y327" s="434"/>
      <c r="Z327" s="434"/>
      <c r="AA327" s="434"/>
    </row>
    <row r="328" spans="1:27" ht="15.75" customHeight="1" x14ac:dyDescent="0.35">
      <c r="A328" s="434"/>
      <c r="B328" s="434"/>
      <c r="C328" s="434"/>
      <c r="D328" s="434"/>
      <c r="E328" s="434"/>
      <c r="F328" s="434"/>
      <c r="G328" s="434"/>
      <c r="H328" s="434"/>
      <c r="I328" s="434"/>
      <c r="J328" s="434"/>
      <c r="K328" s="434"/>
      <c r="L328" s="434"/>
      <c r="M328" s="434"/>
      <c r="N328" s="434"/>
      <c r="O328" s="434"/>
      <c r="P328" s="434"/>
      <c r="Q328" s="434"/>
      <c r="R328" s="434"/>
      <c r="S328" s="434"/>
      <c r="T328" s="434"/>
      <c r="U328" s="434"/>
      <c r="V328" s="434"/>
      <c r="W328" s="434"/>
      <c r="X328" s="434"/>
      <c r="Y328" s="434"/>
      <c r="Z328" s="434"/>
      <c r="AA328" s="434"/>
    </row>
    <row r="329" spans="1:27" ht="15.75" customHeight="1" x14ac:dyDescent="0.35">
      <c r="A329" s="434"/>
      <c r="B329" s="434"/>
      <c r="C329" s="434"/>
      <c r="D329" s="434"/>
      <c r="E329" s="434"/>
      <c r="F329" s="434"/>
      <c r="G329" s="434"/>
      <c r="H329" s="434"/>
      <c r="I329" s="434"/>
      <c r="J329" s="434"/>
      <c r="K329" s="434"/>
      <c r="L329" s="434"/>
      <c r="M329" s="434"/>
      <c r="N329" s="434"/>
      <c r="O329" s="434"/>
      <c r="P329" s="434"/>
      <c r="Q329" s="434"/>
      <c r="R329" s="434"/>
      <c r="S329" s="434"/>
      <c r="T329" s="434"/>
      <c r="U329" s="434"/>
      <c r="V329" s="434"/>
      <c r="W329" s="434"/>
      <c r="X329" s="434"/>
      <c r="Y329" s="434"/>
      <c r="Z329" s="434"/>
      <c r="AA329" s="434"/>
    </row>
    <row r="330" spans="1:27" ht="15.75" customHeight="1" x14ac:dyDescent="0.35">
      <c r="A330" s="434"/>
      <c r="B330" s="434"/>
      <c r="C330" s="434"/>
      <c r="D330" s="434"/>
      <c r="E330" s="434"/>
      <c r="F330" s="434"/>
      <c r="G330" s="434"/>
      <c r="H330" s="434"/>
      <c r="I330" s="434"/>
      <c r="J330" s="434"/>
      <c r="K330" s="434"/>
      <c r="L330" s="434"/>
      <c r="M330" s="434"/>
      <c r="N330" s="434"/>
      <c r="O330" s="434"/>
      <c r="P330" s="434"/>
      <c r="Q330" s="434"/>
      <c r="R330" s="434"/>
      <c r="S330" s="434"/>
      <c r="T330" s="434"/>
      <c r="U330" s="434"/>
      <c r="V330" s="434"/>
      <c r="W330" s="434"/>
      <c r="X330" s="434"/>
      <c r="Y330" s="434"/>
      <c r="Z330" s="434"/>
      <c r="AA330" s="434"/>
    </row>
    <row r="331" spans="1:27" ht="15.75" customHeight="1" x14ac:dyDescent="0.35">
      <c r="A331" s="434"/>
      <c r="B331" s="434"/>
      <c r="C331" s="434"/>
      <c r="D331" s="434"/>
      <c r="E331" s="434"/>
      <c r="F331" s="434"/>
      <c r="G331" s="434"/>
      <c r="H331" s="434"/>
      <c r="I331" s="434"/>
      <c r="J331" s="434"/>
      <c r="K331" s="434"/>
      <c r="L331" s="434"/>
      <c r="M331" s="434"/>
      <c r="N331" s="434"/>
      <c r="O331" s="434"/>
      <c r="P331" s="434"/>
      <c r="Q331" s="434"/>
      <c r="R331" s="434"/>
      <c r="S331" s="434"/>
      <c r="T331" s="434"/>
      <c r="U331" s="434"/>
      <c r="V331" s="434"/>
      <c r="W331" s="434"/>
      <c r="X331" s="434"/>
      <c r="Y331" s="434"/>
      <c r="Z331" s="434"/>
      <c r="AA331" s="434"/>
    </row>
    <row r="332" spans="1:27" ht="15.75" customHeight="1" x14ac:dyDescent="0.35">
      <c r="A332" s="434"/>
      <c r="B332" s="434"/>
      <c r="C332" s="434"/>
      <c r="D332" s="434"/>
      <c r="E332" s="434"/>
      <c r="F332" s="434"/>
      <c r="G332" s="434"/>
      <c r="H332" s="434"/>
      <c r="I332" s="434"/>
      <c r="J332" s="434"/>
      <c r="K332" s="434"/>
      <c r="L332" s="434"/>
      <c r="M332" s="434"/>
      <c r="N332" s="434"/>
      <c r="O332" s="434"/>
      <c r="P332" s="434"/>
      <c r="Q332" s="434"/>
      <c r="R332" s="434"/>
      <c r="S332" s="434"/>
      <c r="T332" s="434"/>
      <c r="U332" s="434"/>
      <c r="V332" s="434"/>
      <c r="W332" s="434"/>
      <c r="X332" s="434"/>
      <c r="Y332" s="434"/>
      <c r="Z332" s="434"/>
      <c r="AA332" s="434"/>
    </row>
    <row r="333" spans="1:27" ht="15.75" customHeight="1" x14ac:dyDescent="0.35">
      <c r="A333" s="434"/>
      <c r="B333" s="434"/>
      <c r="C333" s="434"/>
      <c r="D333" s="434"/>
      <c r="E333" s="434"/>
      <c r="F333" s="434"/>
      <c r="G333" s="434"/>
      <c r="H333" s="434"/>
      <c r="I333" s="434"/>
      <c r="J333" s="434"/>
      <c r="K333" s="434"/>
      <c r="L333" s="434"/>
      <c r="M333" s="434"/>
      <c r="N333" s="434"/>
      <c r="O333" s="434"/>
      <c r="P333" s="434"/>
      <c r="Q333" s="434"/>
      <c r="R333" s="434"/>
      <c r="S333" s="434"/>
      <c r="T333" s="434"/>
      <c r="U333" s="434"/>
      <c r="V333" s="434"/>
      <c r="W333" s="434"/>
      <c r="X333" s="434"/>
      <c r="Y333" s="434"/>
      <c r="Z333" s="434"/>
      <c r="AA333" s="434"/>
    </row>
    <row r="334" spans="1:27" ht="15.75" customHeight="1" x14ac:dyDescent="0.35">
      <c r="A334" s="434"/>
      <c r="B334" s="434"/>
      <c r="C334" s="434"/>
      <c r="D334" s="434"/>
      <c r="E334" s="434"/>
      <c r="F334" s="434"/>
      <c r="G334" s="434"/>
      <c r="H334" s="434"/>
      <c r="I334" s="434"/>
      <c r="J334" s="434"/>
      <c r="K334" s="434"/>
      <c r="L334" s="434"/>
      <c r="M334" s="434"/>
      <c r="N334" s="434"/>
      <c r="O334" s="434"/>
      <c r="P334" s="434"/>
      <c r="Q334" s="434"/>
      <c r="R334" s="434"/>
      <c r="S334" s="434"/>
      <c r="T334" s="434"/>
      <c r="U334" s="434"/>
      <c r="V334" s="434"/>
      <c r="W334" s="434"/>
      <c r="X334" s="434"/>
      <c r="Y334" s="434"/>
      <c r="Z334" s="434"/>
      <c r="AA334" s="434"/>
    </row>
    <row r="335" spans="1:27" ht="15.75" customHeight="1" x14ac:dyDescent="0.35">
      <c r="A335" s="434"/>
      <c r="B335" s="434"/>
      <c r="C335" s="434"/>
      <c r="D335" s="434"/>
      <c r="E335" s="434"/>
      <c r="F335" s="434"/>
      <c r="G335" s="434"/>
      <c r="H335" s="434"/>
      <c r="I335" s="434"/>
      <c r="J335" s="434"/>
      <c r="K335" s="434"/>
      <c r="L335" s="434"/>
      <c r="M335" s="434"/>
      <c r="N335" s="434"/>
      <c r="O335" s="434"/>
      <c r="P335" s="434"/>
      <c r="Q335" s="434"/>
      <c r="R335" s="434"/>
      <c r="S335" s="434"/>
      <c r="T335" s="434"/>
      <c r="U335" s="434"/>
      <c r="V335" s="434"/>
      <c r="W335" s="434"/>
      <c r="X335" s="434"/>
      <c r="Y335" s="434"/>
      <c r="Z335" s="434"/>
      <c r="AA335" s="434"/>
    </row>
    <row r="336" spans="1:27" ht="15.75" customHeight="1" x14ac:dyDescent="0.35">
      <c r="A336" s="434"/>
      <c r="B336" s="434"/>
      <c r="C336" s="434"/>
      <c r="D336" s="434"/>
      <c r="E336" s="434"/>
      <c r="F336" s="434"/>
      <c r="G336" s="434"/>
      <c r="H336" s="434"/>
      <c r="I336" s="434"/>
      <c r="J336" s="434"/>
      <c r="K336" s="434"/>
      <c r="L336" s="434"/>
      <c r="M336" s="434"/>
      <c r="N336" s="434"/>
      <c r="O336" s="434"/>
      <c r="P336" s="434"/>
      <c r="Q336" s="434"/>
      <c r="R336" s="434"/>
      <c r="S336" s="434"/>
      <c r="T336" s="434"/>
      <c r="U336" s="434"/>
      <c r="V336" s="434"/>
      <c r="W336" s="434"/>
      <c r="X336" s="434"/>
      <c r="Y336" s="434"/>
      <c r="Z336" s="434"/>
      <c r="AA336" s="434"/>
    </row>
    <row r="337" spans="1:27" ht="15.75" customHeight="1" x14ac:dyDescent="0.35">
      <c r="A337" s="434"/>
      <c r="B337" s="434"/>
      <c r="C337" s="434"/>
      <c r="D337" s="434"/>
      <c r="E337" s="434"/>
      <c r="F337" s="434"/>
      <c r="G337" s="434"/>
      <c r="H337" s="434"/>
      <c r="I337" s="434"/>
      <c r="J337" s="434"/>
      <c r="K337" s="434"/>
      <c r="L337" s="434"/>
      <c r="M337" s="434"/>
      <c r="N337" s="434"/>
      <c r="O337" s="434"/>
      <c r="P337" s="434"/>
      <c r="Q337" s="434"/>
      <c r="R337" s="434"/>
      <c r="S337" s="434"/>
      <c r="T337" s="434"/>
      <c r="U337" s="434"/>
      <c r="V337" s="434"/>
      <c r="W337" s="434"/>
      <c r="X337" s="434"/>
      <c r="Y337" s="434"/>
      <c r="Z337" s="434"/>
      <c r="AA337" s="434"/>
    </row>
    <row r="338" spans="1:27" ht="15.75" customHeight="1" x14ac:dyDescent="0.35">
      <c r="A338" s="434"/>
      <c r="B338" s="434"/>
      <c r="C338" s="434"/>
      <c r="D338" s="434"/>
      <c r="E338" s="434"/>
      <c r="F338" s="434"/>
      <c r="G338" s="434"/>
      <c r="H338" s="434"/>
      <c r="I338" s="434"/>
      <c r="J338" s="434"/>
      <c r="K338" s="434"/>
      <c r="L338" s="434"/>
      <c r="M338" s="434"/>
      <c r="N338" s="434"/>
      <c r="O338" s="434"/>
      <c r="P338" s="434"/>
      <c r="Q338" s="434"/>
      <c r="R338" s="434"/>
      <c r="S338" s="434"/>
      <c r="T338" s="434"/>
      <c r="U338" s="434"/>
      <c r="V338" s="434"/>
      <c r="W338" s="434"/>
      <c r="X338" s="434"/>
      <c r="Y338" s="434"/>
      <c r="Z338" s="434"/>
      <c r="AA338" s="434"/>
    </row>
    <row r="339" spans="1:27" ht="15.75" customHeight="1" x14ac:dyDescent="0.35">
      <c r="A339" s="434"/>
      <c r="B339" s="434"/>
      <c r="C339" s="434"/>
      <c r="D339" s="434"/>
      <c r="E339" s="434"/>
      <c r="F339" s="434"/>
      <c r="G339" s="434"/>
      <c r="H339" s="434"/>
      <c r="I339" s="434"/>
      <c r="J339" s="434"/>
      <c r="K339" s="434"/>
      <c r="L339" s="434"/>
      <c r="M339" s="434"/>
      <c r="N339" s="434"/>
      <c r="O339" s="434"/>
      <c r="P339" s="434"/>
      <c r="Q339" s="434"/>
      <c r="R339" s="434"/>
      <c r="S339" s="434"/>
      <c r="T339" s="434"/>
      <c r="U339" s="434"/>
      <c r="V339" s="434"/>
      <c r="W339" s="434"/>
      <c r="X339" s="434"/>
      <c r="Y339" s="434"/>
      <c r="Z339" s="434"/>
      <c r="AA339" s="434"/>
    </row>
    <row r="340" spans="1:27" ht="15.75" customHeight="1" x14ac:dyDescent="0.35">
      <c r="A340" s="434"/>
      <c r="B340" s="434"/>
      <c r="C340" s="434"/>
      <c r="D340" s="434"/>
      <c r="E340" s="434"/>
      <c r="F340" s="434"/>
      <c r="G340" s="434"/>
      <c r="H340" s="434"/>
      <c r="I340" s="434"/>
      <c r="J340" s="434"/>
      <c r="K340" s="434"/>
      <c r="L340" s="434"/>
      <c r="M340" s="434"/>
      <c r="N340" s="434"/>
      <c r="O340" s="434"/>
      <c r="P340" s="434"/>
      <c r="Q340" s="434"/>
      <c r="R340" s="434"/>
      <c r="S340" s="434"/>
      <c r="T340" s="434"/>
      <c r="U340" s="434"/>
      <c r="V340" s="434"/>
      <c r="W340" s="434"/>
      <c r="X340" s="434"/>
      <c r="Y340" s="434"/>
      <c r="Z340" s="434"/>
      <c r="AA340" s="434"/>
    </row>
    <row r="341" spans="1:27" ht="15.75" customHeight="1" x14ac:dyDescent="0.35">
      <c r="A341" s="434"/>
      <c r="B341" s="434"/>
      <c r="C341" s="434"/>
      <c r="D341" s="434"/>
      <c r="E341" s="434"/>
      <c r="F341" s="434"/>
      <c r="G341" s="434"/>
      <c r="H341" s="434"/>
      <c r="I341" s="434"/>
      <c r="J341" s="434"/>
      <c r="K341" s="434"/>
      <c r="L341" s="434"/>
      <c r="M341" s="434"/>
      <c r="N341" s="434"/>
      <c r="O341" s="434"/>
      <c r="P341" s="434"/>
      <c r="Q341" s="434"/>
      <c r="R341" s="434"/>
      <c r="S341" s="434"/>
      <c r="T341" s="434"/>
      <c r="U341" s="434"/>
      <c r="V341" s="434"/>
      <c r="W341" s="434"/>
      <c r="X341" s="434"/>
      <c r="Y341" s="434"/>
      <c r="Z341" s="434"/>
      <c r="AA341" s="434"/>
    </row>
    <row r="342" spans="1:27" ht="15.75" customHeight="1" x14ac:dyDescent="0.35">
      <c r="A342" s="434"/>
      <c r="B342" s="434"/>
      <c r="C342" s="434"/>
      <c r="D342" s="434"/>
      <c r="E342" s="434"/>
      <c r="F342" s="434"/>
      <c r="G342" s="434"/>
      <c r="H342" s="434"/>
      <c r="I342" s="434"/>
      <c r="J342" s="434"/>
      <c r="K342" s="434"/>
      <c r="L342" s="434"/>
      <c r="M342" s="434"/>
      <c r="N342" s="434"/>
      <c r="O342" s="434"/>
      <c r="P342" s="434"/>
      <c r="Q342" s="434"/>
      <c r="R342" s="434"/>
      <c r="S342" s="434"/>
      <c r="T342" s="434"/>
      <c r="U342" s="434"/>
      <c r="V342" s="434"/>
      <c r="W342" s="434"/>
      <c r="X342" s="434"/>
      <c r="Y342" s="434"/>
      <c r="Z342" s="434"/>
      <c r="AA342" s="434"/>
    </row>
    <row r="343" spans="1:27" ht="15.75" customHeight="1" x14ac:dyDescent="0.35">
      <c r="A343" s="434"/>
      <c r="B343" s="434"/>
      <c r="C343" s="434"/>
      <c r="D343" s="434"/>
      <c r="E343" s="434"/>
      <c r="F343" s="434"/>
      <c r="G343" s="434"/>
      <c r="H343" s="434"/>
      <c r="I343" s="434"/>
      <c r="J343" s="434"/>
      <c r="K343" s="434"/>
      <c r="L343" s="434"/>
      <c r="M343" s="434"/>
      <c r="N343" s="434"/>
      <c r="O343" s="434"/>
      <c r="P343" s="434"/>
      <c r="Q343" s="434"/>
      <c r="R343" s="434"/>
      <c r="S343" s="434"/>
      <c r="T343" s="434"/>
      <c r="U343" s="434"/>
      <c r="V343" s="434"/>
      <c r="W343" s="434"/>
      <c r="X343" s="434"/>
      <c r="Y343" s="434"/>
      <c r="Z343" s="434"/>
      <c r="AA343" s="434"/>
    </row>
    <row r="344" spans="1:27" ht="15.75" customHeight="1" x14ac:dyDescent="0.35">
      <c r="A344" s="434"/>
      <c r="B344" s="434"/>
      <c r="C344" s="434"/>
      <c r="D344" s="434"/>
      <c r="E344" s="434"/>
      <c r="F344" s="434"/>
      <c r="G344" s="434"/>
      <c r="H344" s="434"/>
      <c r="I344" s="434"/>
      <c r="J344" s="434"/>
      <c r="K344" s="434"/>
      <c r="L344" s="434"/>
      <c r="M344" s="434"/>
      <c r="N344" s="434"/>
      <c r="O344" s="434"/>
      <c r="P344" s="434"/>
      <c r="Q344" s="434"/>
      <c r="R344" s="434"/>
      <c r="S344" s="434"/>
      <c r="T344" s="434"/>
      <c r="U344" s="434"/>
      <c r="V344" s="434"/>
      <c r="W344" s="434"/>
      <c r="X344" s="434"/>
      <c r="Y344" s="434"/>
      <c r="Z344" s="434"/>
      <c r="AA344" s="434"/>
    </row>
    <row r="345" spans="1:27" ht="15.75" customHeight="1" x14ac:dyDescent="0.35">
      <c r="A345" s="434"/>
      <c r="B345" s="434"/>
      <c r="C345" s="434"/>
      <c r="D345" s="434"/>
      <c r="E345" s="434"/>
      <c r="F345" s="434"/>
      <c r="G345" s="434"/>
      <c r="H345" s="434"/>
      <c r="I345" s="434"/>
      <c r="J345" s="434"/>
      <c r="K345" s="434"/>
      <c r="L345" s="434"/>
      <c r="M345" s="434"/>
      <c r="N345" s="434"/>
      <c r="O345" s="434"/>
      <c r="P345" s="434"/>
      <c r="Q345" s="434"/>
      <c r="R345" s="434"/>
      <c r="S345" s="434"/>
      <c r="T345" s="434"/>
      <c r="U345" s="434"/>
      <c r="V345" s="434"/>
      <c r="W345" s="434"/>
      <c r="X345" s="434"/>
      <c r="Y345" s="434"/>
      <c r="Z345" s="434"/>
      <c r="AA345" s="434"/>
    </row>
    <row r="346" spans="1:27" ht="15.75" customHeight="1" x14ac:dyDescent="0.35">
      <c r="A346" s="434"/>
      <c r="B346" s="434"/>
      <c r="C346" s="434"/>
      <c r="D346" s="434"/>
      <c r="E346" s="434"/>
      <c r="F346" s="434"/>
      <c r="G346" s="434"/>
      <c r="H346" s="434"/>
      <c r="I346" s="434"/>
      <c r="J346" s="434"/>
      <c r="K346" s="434"/>
      <c r="L346" s="434"/>
      <c r="M346" s="434"/>
      <c r="N346" s="434"/>
      <c r="O346" s="434"/>
      <c r="P346" s="434"/>
      <c r="Q346" s="434"/>
      <c r="R346" s="434"/>
      <c r="S346" s="434"/>
      <c r="T346" s="434"/>
      <c r="U346" s="434"/>
      <c r="V346" s="434"/>
      <c r="W346" s="434"/>
      <c r="X346" s="434"/>
      <c r="Y346" s="434"/>
      <c r="Z346" s="434"/>
      <c r="AA346" s="434"/>
    </row>
    <row r="347" spans="1:27" ht="15.75" customHeight="1" x14ac:dyDescent="0.35">
      <c r="A347" s="434"/>
      <c r="B347" s="434"/>
      <c r="C347" s="434"/>
      <c r="D347" s="434"/>
      <c r="E347" s="434"/>
      <c r="F347" s="434"/>
      <c r="G347" s="434"/>
      <c r="H347" s="434"/>
      <c r="I347" s="434"/>
      <c r="J347" s="434"/>
      <c r="K347" s="434"/>
      <c r="L347" s="434"/>
      <c r="M347" s="434"/>
      <c r="N347" s="434"/>
      <c r="O347" s="434"/>
      <c r="P347" s="434"/>
      <c r="Q347" s="434"/>
      <c r="R347" s="434"/>
      <c r="S347" s="434"/>
      <c r="T347" s="434"/>
      <c r="U347" s="434"/>
      <c r="V347" s="434"/>
      <c r="W347" s="434"/>
      <c r="X347" s="434"/>
      <c r="Y347" s="434"/>
      <c r="Z347" s="434"/>
      <c r="AA347" s="434"/>
    </row>
    <row r="348" spans="1:27" ht="15.75" customHeight="1" x14ac:dyDescent="0.35">
      <c r="A348" s="434"/>
      <c r="B348" s="434"/>
      <c r="C348" s="434"/>
      <c r="D348" s="434"/>
      <c r="E348" s="434"/>
      <c r="F348" s="434"/>
      <c r="G348" s="434"/>
      <c r="H348" s="434"/>
      <c r="I348" s="434"/>
      <c r="J348" s="434"/>
      <c r="K348" s="434"/>
      <c r="L348" s="434"/>
      <c r="M348" s="434"/>
      <c r="N348" s="434"/>
      <c r="O348" s="434"/>
      <c r="P348" s="434"/>
      <c r="Q348" s="434"/>
      <c r="R348" s="434"/>
      <c r="S348" s="434"/>
      <c r="T348" s="434"/>
      <c r="U348" s="434"/>
      <c r="V348" s="434"/>
      <c r="W348" s="434"/>
      <c r="X348" s="434"/>
      <c r="Y348" s="434"/>
      <c r="Z348" s="434"/>
      <c r="AA348" s="434"/>
    </row>
    <row r="349" spans="1:27" ht="15.75" customHeight="1" x14ac:dyDescent="0.35">
      <c r="A349" s="434"/>
      <c r="B349" s="434"/>
      <c r="C349" s="434"/>
      <c r="D349" s="434"/>
      <c r="E349" s="434"/>
      <c r="F349" s="434"/>
      <c r="G349" s="434"/>
      <c r="H349" s="434"/>
      <c r="I349" s="434"/>
      <c r="J349" s="434"/>
      <c r="K349" s="434"/>
      <c r="L349" s="434"/>
      <c r="M349" s="434"/>
      <c r="N349" s="434"/>
      <c r="O349" s="434"/>
      <c r="P349" s="434"/>
      <c r="Q349" s="434"/>
      <c r="R349" s="434"/>
      <c r="S349" s="434"/>
      <c r="T349" s="434"/>
      <c r="U349" s="434"/>
      <c r="V349" s="434"/>
      <c r="W349" s="434"/>
      <c r="X349" s="434"/>
      <c r="Y349" s="434"/>
      <c r="Z349" s="434"/>
      <c r="AA349" s="434"/>
    </row>
    <row r="350" spans="1:27" ht="15.75" customHeight="1" x14ac:dyDescent="0.35">
      <c r="A350" s="434"/>
      <c r="B350" s="434"/>
      <c r="C350" s="434"/>
      <c r="D350" s="434"/>
      <c r="E350" s="434"/>
      <c r="F350" s="434"/>
      <c r="G350" s="434"/>
      <c r="H350" s="434"/>
      <c r="I350" s="434"/>
      <c r="J350" s="434"/>
      <c r="K350" s="434"/>
      <c r="L350" s="434"/>
      <c r="M350" s="434"/>
      <c r="N350" s="434"/>
      <c r="O350" s="434"/>
      <c r="P350" s="434"/>
      <c r="Q350" s="434"/>
      <c r="R350" s="434"/>
      <c r="S350" s="434"/>
      <c r="T350" s="434"/>
      <c r="U350" s="434"/>
      <c r="V350" s="434"/>
      <c r="W350" s="434"/>
      <c r="X350" s="434"/>
      <c r="Y350" s="434"/>
      <c r="Z350" s="434"/>
      <c r="AA350" s="434"/>
    </row>
    <row r="351" spans="1:27" ht="15.75" customHeight="1" x14ac:dyDescent="0.35">
      <c r="A351" s="434"/>
      <c r="B351" s="434"/>
      <c r="C351" s="434"/>
      <c r="D351" s="434"/>
      <c r="E351" s="434"/>
      <c r="F351" s="434"/>
      <c r="G351" s="434"/>
      <c r="H351" s="434"/>
      <c r="I351" s="434"/>
      <c r="J351" s="434"/>
      <c r="K351" s="434"/>
      <c r="L351" s="434"/>
      <c r="M351" s="434"/>
      <c r="N351" s="434"/>
      <c r="O351" s="434"/>
      <c r="P351" s="434"/>
      <c r="Q351" s="434"/>
      <c r="R351" s="434"/>
      <c r="S351" s="434"/>
      <c r="T351" s="434"/>
      <c r="U351" s="434"/>
      <c r="V351" s="434"/>
      <c r="W351" s="434"/>
      <c r="X351" s="434"/>
      <c r="Y351" s="434"/>
      <c r="Z351" s="434"/>
      <c r="AA351" s="434"/>
    </row>
    <row r="352" spans="1:27" ht="15.75" customHeight="1" x14ac:dyDescent="0.35">
      <c r="A352" s="434"/>
      <c r="B352" s="434"/>
      <c r="C352" s="434"/>
      <c r="D352" s="434"/>
      <c r="E352" s="434"/>
      <c r="F352" s="434"/>
      <c r="G352" s="434"/>
      <c r="H352" s="434"/>
      <c r="I352" s="434"/>
      <c r="J352" s="434"/>
      <c r="K352" s="434"/>
      <c r="L352" s="434"/>
      <c r="M352" s="434"/>
      <c r="N352" s="434"/>
      <c r="O352" s="434"/>
      <c r="P352" s="434"/>
      <c r="Q352" s="434"/>
      <c r="R352" s="434"/>
      <c r="S352" s="434"/>
      <c r="T352" s="434"/>
      <c r="U352" s="434"/>
      <c r="V352" s="434"/>
      <c r="W352" s="434"/>
      <c r="X352" s="434"/>
      <c r="Y352" s="434"/>
      <c r="Z352" s="434"/>
      <c r="AA352" s="434"/>
    </row>
    <row r="353" spans="1:27" ht="15.75" customHeight="1" x14ac:dyDescent="0.35">
      <c r="A353" s="434"/>
      <c r="B353" s="434"/>
      <c r="C353" s="434"/>
      <c r="D353" s="434"/>
      <c r="E353" s="434"/>
      <c r="F353" s="434"/>
      <c r="G353" s="434"/>
      <c r="H353" s="434"/>
      <c r="I353" s="434"/>
      <c r="J353" s="434"/>
      <c r="K353" s="434"/>
      <c r="L353" s="434"/>
      <c r="M353" s="434"/>
      <c r="N353" s="434"/>
      <c r="O353" s="434"/>
      <c r="P353" s="434"/>
      <c r="Q353" s="434"/>
      <c r="R353" s="434"/>
      <c r="S353" s="434"/>
      <c r="T353" s="434"/>
      <c r="U353" s="434"/>
      <c r="V353" s="434"/>
      <c r="W353" s="434"/>
      <c r="X353" s="434"/>
      <c r="Y353" s="434"/>
      <c r="Z353" s="434"/>
      <c r="AA353" s="434"/>
    </row>
    <row r="354" spans="1:27" ht="15.75" customHeight="1" x14ac:dyDescent="0.35">
      <c r="A354" s="434"/>
      <c r="B354" s="434"/>
      <c r="C354" s="434"/>
      <c r="D354" s="434"/>
      <c r="E354" s="434"/>
      <c r="F354" s="434"/>
      <c r="G354" s="434"/>
      <c r="H354" s="434"/>
      <c r="I354" s="434"/>
      <c r="J354" s="434"/>
      <c r="K354" s="434"/>
      <c r="L354" s="434"/>
      <c r="M354" s="434"/>
      <c r="N354" s="434"/>
      <c r="O354" s="434"/>
      <c r="P354" s="434"/>
      <c r="Q354" s="434"/>
      <c r="R354" s="434"/>
      <c r="S354" s="434"/>
      <c r="T354" s="434"/>
      <c r="U354" s="434"/>
      <c r="V354" s="434"/>
      <c r="W354" s="434"/>
      <c r="X354" s="434"/>
      <c r="Y354" s="434"/>
      <c r="Z354" s="434"/>
      <c r="AA354" s="434"/>
    </row>
    <row r="355" spans="1:27" ht="15.75" customHeight="1" x14ac:dyDescent="0.35">
      <c r="A355" s="434"/>
      <c r="B355" s="434"/>
      <c r="C355" s="434"/>
      <c r="D355" s="434"/>
      <c r="E355" s="434"/>
      <c r="F355" s="434"/>
      <c r="G355" s="434"/>
      <c r="H355" s="434"/>
      <c r="I355" s="434"/>
      <c r="J355" s="434"/>
      <c r="K355" s="434"/>
      <c r="L355" s="434"/>
      <c r="M355" s="434"/>
      <c r="N355" s="434"/>
      <c r="O355" s="434"/>
      <c r="P355" s="434"/>
      <c r="Q355" s="434"/>
      <c r="R355" s="434"/>
      <c r="S355" s="434"/>
      <c r="T355" s="434"/>
      <c r="U355" s="434"/>
      <c r="V355" s="434"/>
      <c r="W355" s="434"/>
      <c r="X355" s="434"/>
      <c r="Y355" s="434"/>
      <c r="Z355" s="434"/>
      <c r="AA355" s="434"/>
    </row>
    <row r="356" spans="1:27" ht="15.75" customHeight="1" x14ac:dyDescent="0.35">
      <c r="A356" s="434"/>
      <c r="B356" s="434"/>
      <c r="C356" s="434"/>
      <c r="D356" s="434"/>
      <c r="E356" s="434"/>
      <c r="F356" s="434"/>
      <c r="G356" s="434"/>
      <c r="H356" s="434"/>
      <c r="I356" s="434"/>
      <c r="J356" s="434"/>
      <c r="K356" s="434"/>
      <c r="L356" s="434"/>
      <c r="M356" s="434"/>
      <c r="N356" s="434"/>
      <c r="O356" s="434"/>
      <c r="P356" s="434"/>
      <c r="Q356" s="434"/>
      <c r="R356" s="434"/>
      <c r="S356" s="434"/>
      <c r="T356" s="434"/>
      <c r="U356" s="434"/>
      <c r="V356" s="434"/>
      <c r="W356" s="434"/>
      <c r="X356" s="434"/>
      <c r="Y356" s="434"/>
      <c r="Z356" s="434"/>
      <c r="AA356" s="434"/>
    </row>
    <row r="357" spans="1:27" ht="15.75" customHeight="1" x14ac:dyDescent="0.35">
      <c r="A357" s="434"/>
      <c r="B357" s="434"/>
      <c r="C357" s="434"/>
      <c r="D357" s="434"/>
      <c r="E357" s="434"/>
      <c r="F357" s="434"/>
      <c r="G357" s="434"/>
      <c r="H357" s="434"/>
      <c r="I357" s="434"/>
      <c r="J357" s="434"/>
      <c r="K357" s="434"/>
      <c r="L357" s="434"/>
      <c r="M357" s="434"/>
      <c r="N357" s="434"/>
      <c r="O357" s="434"/>
      <c r="P357" s="434"/>
      <c r="Q357" s="434"/>
      <c r="R357" s="434"/>
      <c r="S357" s="434"/>
      <c r="T357" s="434"/>
      <c r="U357" s="434"/>
      <c r="V357" s="434"/>
      <c r="W357" s="434"/>
      <c r="X357" s="434"/>
      <c r="Y357" s="434"/>
      <c r="Z357" s="434"/>
      <c r="AA357" s="434"/>
    </row>
    <row r="358" spans="1:27" ht="15.75" customHeight="1" x14ac:dyDescent="0.35">
      <c r="A358" s="434"/>
      <c r="B358" s="434"/>
      <c r="C358" s="434"/>
      <c r="D358" s="434"/>
      <c r="E358" s="434"/>
      <c r="F358" s="434"/>
      <c r="G358" s="434"/>
      <c r="H358" s="434"/>
      <c r="I358" s="434"/>
      <c r="J358" s="434"/>
      <c r="K358" s="434"/>
      <c r="L358" s="434"/>
      <c r="M358" s="434"/>
      <c r="N358" s="434"/>
      <c r="O358" s="434"/>
      <c r="P358" s="434"/>
      <c r="Q358" s="434"/>
      <c r="R358" s="434"/>
      <c r="S358" s="434"/>
      <c r="T358" s="434"/>
      <c r="U358" s="434"/>
      <c r="V358" s="434"/>
      <c r="W358" s="434"/>
      <c r="X358" s="434"/>
      <c r="Y358" s="434"/>
      <c r="Z358" s="434"/>
      <c r="AA358" s="434"/>
    </row>
    <row r="359" spans="1:27" ht="15.75" customHeight="1" x14ac:dyDescent="0.35">
      <c r="A359" s="434"/>
      <c r="B359" s="434"/>
      <c r="C359" s="434"/>
      <c r="D359" s="434"/>
      <c r="E359" s="434"/>
      <c r="F359" s="434"/>
      <c r="G359" s="434"/>
      <c r="H359" s="434"/>
      <c r="I359" s="434"/>
      <c r="J359" s="434"/>
      <c r="K359" s="434"/>
      <c r="L359" s="434"/>
      <c r="M359" s="434"/>
      <c r="N359" s="434"/>
      <c r="O359" s="434"/>
      <c r="P359" s="434"/>
      <c r="Q359" s="434"/>
      <c r="R359" s="434"/>
      <c r="S359" s="434"/>
      <c r="T359" s="434"/>
      <c r="U359" s="434"/>
      <c r="V359" s="434"/>
      <c r="W359" s="434"/>
      <c r="X359" s="434"/>
      <c r="Y359" s="434"/>
      <c r="Z359" s="434"/>
      <c r="AA359" s="434"/>
    </row>
    <row r="360" spans="1:27" ht="15.75" customHeight="1" x14ac:dyDescent="0.35">
      <c r="A360" s="434"/>
      <c r="B360" s="434"/>
      <c r="C360" s="434"/>
      <c r="D360" s="434"/>
      <c r="E360" s="434"/>
      <c r="F360" s="434"/>
      <c r="G360" s="434"/>
      <c r="H360" s="434"/>
      <c r="I360" s="434"/>
      <c r="J360" s="434"/>
      <c r="K360" s="434"/>
      <c r="L360" s="434"/>
      <c r="M360" s="434"/>
      <c r="N360" s="434"/>
      <c r="O360" s="434"/>
      <c r="P360" s="434"/>
      <c r="Q360" s="434"/>
      <c r="R360" s="434"/>
      <c r="S360" s="434"/>
      <c r="T360" s="434"/>
      <c r="U360" s="434"/>
      <c r="V360" s="434"/>
      <c r="W360" s="434"/>
      <c r="X360" s="434"/>
      <c r="Y360" s="434"/>
      <c r="Z360" s="434"/>
      <c r="AA360" s="434"/>
    </row>
    <row r="361" spans="1:27" ht="15.75" customHeight="1" x14ac:dyDescent="0.35">
      <c r="A361" s="434"/>
      <c r="B361" s="434"/>
      <c r="C361" s="434"/>
      <c r="D361" s="434"/>
      <c r="E361" s="434"/>
      <c r="F361" s="434"/>
      <c r="G361" s="434"/>
      <c r="H361" s="434"/>
      <c r="I361" s="434"/>
      <c r="J361" s="434"/>
      <c r="K361" s="434"/>
      <c r="L361" s="434"/>
      <c r="M361" s="434"/>
      <c r="N361" s="434"/>
      <c r="O361" s="434"/>
      <c r="P361" s="434"/>
      <c r="Q361" s="434"/>
      <c r="R361" s="434"/>
      <c r="S361" s="434"/>
      <c r="T361" s="434"/>
      <c r="U361" s="434"/>
      <c r="V361" s="434"/>
      <c r="W361" s="434"/>
      <c r="X361" s="434"/>
      <c r="Y361" s="434"/>
      <c r="Z361" s="434"/>
      <c r="AA361" s="434"/>
    </row>
    <row r="362" spans="1:27" ht="15.75" customHeight="1" x14ac:dyDescent="0.35">
      <c r="A362" s="434"/>
      <c r="B362" s="434"/>
      <c r="C362" s="434"/>
      <c r="D362" s="434"/>
      <c r="E362" s="434"/>
      <c r="F362" s="434"/>
      <c r="G362" s="434"/>
      <c r="H362" s="434"/>
      <c r="I362" s="434"/>
      <c r="J362" s="434"/>
      <c r="K362" s="434"/>
      <c r="L362" s="434"/>
      <c r="M362" s="434"/>
      <c r="N362" s="434"/>
      <c r="O362" s="434"/>
      <c r="P362" s="434"/>
      <c r="Q362" s="434"/>
      <c r="R362" s="434"/>
      <c r="S362" s="434"/>
      <c r="T362" s="434"/>
      <c r="U362" s="434"/>
      <c r="V362" s="434"/>
      <c r="W362" s="434"/>
      <c r="X362" s="434"/>
      <c r="Y362" s="434"/>
      <c r="Z362" s="434"/>
      <c r="AA362" s="434"/>
    </row>
    <row r="363" spans="1:27" ht="15.75" customHeight="1" x14ac:dyDescent="0.35">
      <c r="A363" s="434"/>
      <c r="B363" s="434"/>
      <c r="C363" s="434"/>
      <c r="D363" s="434"/>
      <c r="E363" s="434"/>
      <c r="F363" s="434"/>
      <c r="G363" s="434"/>
      <c r="H363" s="434"/>
      <c r="I363" s="434"/>
      <c r="J363" s="434"/>
      <c r="K363" s="434"/>
      <c r="L363" s="434"/>
      <c r="M363" s="434"/>
      <c r="N363" s="434"/>
      <c r="O363" s="434"/>
      <c r="P363" s="434"/>
      <c r="Q363" s="434"/>
      <c r="R363" s="434"/>
      <c r="S363" s="434"/>
      <c r="T363" s="434"/>
      <c r="U363" s="434"/>
      <c r="V363" s="434"/>
      <c r="W363" s="434"/>
      <c r="X363" s="434"/>
      <c r="Y363" s="434"/>
      <c r="Z363" s="434"/>
      <c r="AA363" s="434"/>
    </row>
    <row r="364" spans="1:27" ht="15.75" customHeight="1" x14ac:dyDescent="0.35">
      <c r="A364" s="434"/>
      <c r="B364" s="434"/>
      <c r="C364" s="434"/>
      <c r="D364" s="434"/>
      <c r="E364" s="434"/>
      <c r="F364" s="434"/>
      <c r="G364" s="434"/>
      <c r="H364" s="434"/>
      <c r="I364" s="434"/>
      <c r="J364" s="434"/>
      <c r="K364" s="434"/>
      <c r="L364" s="434"/>
      <c r="M364" s="434"/>
      <c r="N364" s="434"/>
      <c r="O364" s="434"/>
      <c r="P364" s="434"/>
      <c r="Q364" s="434"/>
      <c r="R364" s="434"/>
      <c r="S364" s="434"/>
      <c r="T364" s="434"/>
      <c r="U364" s="434"/>
      <c r="V364" s="434"/>
      <c r="W364" s="434"/>
      <c r="X364" s="434"/>
      <c r="Y364" s="434"/>
      <c r="Z364" s="434"/>
      <c r="AA364" s="434"/>
    </row>
    <row r="365" spans="1:27" ht="15.75" customHeight="1" x14ac:dyDescent="0.35">
      <c r="A365" s="434"/>
      <c r="B365" s="434"/>
      <c r="C365" s="434"/>
      <c r="D365" s="434"/>
      <c r="E365" s="434"/>
      <c r="F365" s="434"/>
      <c r="G365" s="434"/>
      <c r="H365" s="434"/>
      <c r="I365" s="434"/>
      <c r="J365" s="434"/>
      <c r="K365" s="434"/>
      <c r="L365" s="434"/>
      <c r="M365" s="434"/>
      <c r="N365" s="434"/>
      <c r="O365" s="434"/>
      <c r="P365" s="434"/>
      <c r="Q365" s="434"/>
      <c r="R365" s="434"/>
      <c r="S365" s="434"/>
      <c r="T365" s="434"/>
      <c r="U365" s="434"/>
      <c r="V365" s="434"/>
      <c r="W365" s="434"/>
      <c r="X365" s="434"/>
      <c r="Y365" s="434"/>
      <c r="Z365" s="434"/>
      <c r="AA365" s="434"/>
    </row>
    <row r="366" spans="1:27" ht="15.75" customHeight="1" x14ac:dyDescent="0.35">
      <c r="A366" s="434"/>
      <c r="B366" s="434"/>
      <c r="C366" s="434"/>
      <c r="D366" s="434"/>
      <c r="E366" s="434"/>
      <c r="F366" s="434"/>
      <c r="G366" s="434"/>
      <c r="H366" s="434"/>
      <c r="I366" s="434"/>
      <c r="J366" s="434"/>
      <c r="K366" s="434"/>
      <c r="L366" s="434"/>
      <c r="M366" s="434"/>
      <c r="N366" s="434"/>
      <c r="O366" s="434"/>
      <c r="P366" s="434"/>
      <c r="Q366" s="434"/>
      <c r="R366" s="434"/>
      <c r="S366" s="434"/>
      <c r="T366" s="434"/>
      <c r="U366" s="434"/>
      <c r="V366" s="434"/>
      <c r="W366" s="434"/>
      <c r="X366" s="434"/>
      <c r="Y366" s="434"/>
      <c r="Z366" s="434"/>
      <c r="AA366" s="434"/>
    </row>
    <row r="367" spans="1:27" ht="15.75" customHeight="1" x14ac:dyDescent="0.35">
      <c r="A367" s="434"/>
      <c r="B367" s="434"/>
      <c r="C367" s="434"/>
      <c r="D367" s="434"/>
      <c r="E367" s="434"/>
      <c r="F367" s="434"/>
      <c r="G367" s="434"/>
      <c r="H367" s="434"/>
      <c r="I367" s="434"/>
      <c r="J367" s="434"/>
      <c r="K367" s="434"/>
      <c r="L367" s="434"/>
      <c r="M367" s="434"/>
      <c r="N367" s="434"/>
      <c r="O367" s="434"/>
      <c r="P367" s="434"/>
      <c r="Q367" s="434"/>
      <c r="R367" s="434"/>
      <c r="S367" s="434"/>
      <c r="T367" s="434"/>
      <c r="U367" s="434"/>
      <c r="V367" s="434"/>
      <c r="W367" s="434"/>
      <c r="X367" s="434"/>
      <c r="Y367" s="434"/>
      <c r="Z367" s="434"/>
      <c r="AA367" s="434"/>
    </row>
    <row r="368" spans="1:27" ht="15.75" customHeight="1" x14ac:dyDescent="0.35">
      <c r="A368" s="434"/>
      <c r="B368" s="434"/>
      <c r="C368" s="434"/>
      <c r="D368" s="434"/>
      <c r="E368" s="434"/>
      <c r="F368" s="434"/>
      <c r="G368" s="434"/>
      <c r="H368" s="434"/>
      <c r="I368" s="434"/>
      <c r="J368" s="434"/>
      <c r="K368" s="434"/>
      <c r="L368" s="434"/>
      <c r="M368" s="434"/>
      <c r="N368" s="434"/>
      <c r="O368" s="434"/>
      <c r="P368" s="434"/>
      <c r="Q368" s="434"/>
      <c r="R368" s="434"/>
      <c r="S368" s="434"/>
      <c r="T368" s="434"/>
      <c r="U368" s="434"/>
      <c r="V368" s="434"/>
      <c r="W368" s="434"/>
      <c r="X368" s="434"/>
      <c r="Y368" s="434"/>
      <c r="Z368" s="434"/>
      <c r="AA368" s="434"/>
    </row>
    <row r="369" spans="1:27" ht="15.75" customHeight="1" x14ac:dyDescent="0.35">
      <c r="A369" s="434"/>
      <c r="B369" s="434"/>
      <c r="C369" s="434"/>
      <c r="D369" s="434"/>
      <c r="E369" s="434"/>
      <c r="F369" s="434"/>
      <c r="G369" s="434"/>
      <c r="H369" s="434"/>
      <c r="I369" s="434"/>
      <c r="J369" s="434"/>
      <c r="K369" s="434"/>
      <c r="L369" s="434"/>
      <c r="M369" s="434"/>
      <c r="N369" s="434"/>
      <c r="O369" s="434"/>
      <c r="P369" s="434"/>
      <c r="Q369" s="434"/>
      <c r="R369" s="434"/>
      <c r="S369" s="434"/>
      <c r="T369" s="434"/>
      <c r="U369" s="434"/>
      <c r="V369" s="434"/>
      <c r="W369" s="434"/>
      <c r="X369" s="434"/>
      <c r="Y369" s="434"/>
      <c r="Z369" s="434"/>
      <c r="AA369" s="434"/>
    </row>
    <row r="370" spans="1:27" ht="15.75" customHeight="1" x14ac:dyDescent="0.35">
      <c r="A370" s="434"/>
      <c r="B370" s="434"/>
      <c r="C370" s="434"/>
      <c r="D370" s="434"/>
      <c r="E370" s="434"/>
      <c r="F370" s="434"/>
      <c r="G370" s="434"/>
      <c r="H370" s="434"/>
      <c r="I370" s="434"/>
      <c r="J370" s="434"/>
      <c r="K370" s="434"/>
      <c r="L370" s="434"/>
      <c r="M370" s="434"/>
      <c r="N370" s="434"/>
      <c r="O370" s="434"/>
      <c r="P370" s="434"/>
      <c r="Q370" s="434"/>
      <c r="R370" s="434"/>
      <c r="S370" s="434"/>
      <c r="T370" s="434"/>
      <c r="U370" s="434"/>
      <c r="V370" s="434"/>
      <c r="W370" s="434"/>
      <c r="X370" s="434"/>
      <c r="Y370" s="434"/>
      <c r="Z370" s="434"/>
      <c r="AA370" s="434"/>
    </row>
    <row r="371" spans="1:27" ht="15.75" customHeight="1" x14ac:dyDescent="0.35">
      <c r="A371" s="434"/>
      <c r="B371" s="434"/>
      <c r="C371" s="434"/>
      <c r="D371" s="434"/>
      <c r="E371" s="434"/>
      <c r="F371" s="434"/>
      <c r="G371" s="434"/>
      <c r="H371" s="434"/>
      <c r="I371" s="434"/>
      <c r="J371" s="434"/>
      <c r="K371" s="434"/>
      <c r="L371" s="434"/>
      <c r="M371" s="434"/>
      <c r="N371" s="434"/>
      <c r="O371" s="434"/>
      <c r="P371" s="434"/>
      <c r="Q371" s="434"/>
      <c r="R371" s="434"/>
      <c r="S371" s="434"/>
      <c r="T371" s="434"/>
      <c r="U371" s="434"/>
      <c r="V371" s="434"/>
      <c r="W371" s="434"/>
      <c r="X371" s="434"/>
      <c r="Y371" s="434"/>
      <c r="Z371" s="434"/>
      <c r="AA371" s="434"/>
    </row>
    <row r="372" spans="1:27" ht="15.75" customHeight="1" x14ac:dyDescent="0.35">
      <c r="A372" s="434"/>
      <c r="B372" s="434"/>
      <c r="C372" s="434"/>
      <c r="D372" s="434"/>
      <c r="E372" s="434"/>
      <c r="F372" s="434"/>
      <c r="G372" s="434"/>
      <c r="H372" s="434"/>
      <c r="I372" s="434"/>
      <c r="J372" s="434"/>
      <c r="K372" s="434"/>
      <c r="L372" s="434"/>
      <c r="M372" s="434"/>
      <c r="N372" s="434"/>
      <c r="O372" s="434"/>
      <c r="P372" s="434"/>
      <c r="Q372" s="434"/>
      <c r="R372" s="434"/>
      <c r="S372" s="434"/>
      <c r="T372" s="434"/>
      <c r="U372" s="434"/>
      <c r="V372" s="434"/>
      <c r="W372" s="434"/>
      <c r="X372" s="434"/>
      <c r="Y372" s="434"/>
      <c r="Z372" s="434"/>
      <c r="AA372" s="434"/>
    </row>
    <row r="373" spans="1:27" ht="15.75" customHeight="1" x14ac:dyDescent="0.35">
      <c r="A373" s="434"/>
      <c r="B373" s="434"/>
      <c r="C373" s="434"/>
      <c r="D373" s="434"/>
      <c r="E373" s="434"/>
      <c r="F373" s="434"/>
      <c r="G373" s="434"/>
      <c r="H373" s="434"/>
      <c r="I373" s="434"/>
      <c r="J373" s="434"/>
      <c r="K373" s="434"/>
      <c r="L373" s="434"/>
      <c r="M373" s="434"/>
      <c r="N373" s="434"/>
      <c r="O373" s="434"/>
      <c r="P373" s="434"/>
      <c r="Q373" s="434"/>
      <c r="R373" s="434"/>
      <c r="S373" s="434"/>
      <c r="T373" s="434"/>
      <c r="U373" s="434"/>
      <c r="V373" s="434"/>
      <c r="W373" s="434"/>
      <c r="X373" s="434"/>
      <c r="Y373" s="434"/>
      <c r="Z373" s="434"/>
      <c r="AA373" s="434"/>
    </row>
    <row r="374" spans="1:27" ht="15.75" customHeight="1" x14ac:dyDescent="0.35">
      <c r="A374" s="434"/>
      <c r="B374" s="434"/>
      <c r="C374" s="434"/>
      <c r="D374" s="434"/>
      <c r="E374" s="434"/>
      <c r="F374" s="434"/>
      <c r="G374" s="434"/>
      <c r="H374" s="434"/>
      <c r="I374" s="434"/>
      <c r="J374" s="434"/>
      <c r="K374" s="434"/>
      <c r="L374" s="434"/>
      <c r="M374" s="434"/>
      <c r="N374" s="434"/>
      <c r="O374" s="434"/>
      <c r="P374" s="434"/>
      <c r="Q374" s="434"/>
      <c r="R374" s="434"/>
      <c r="S374" s="434"/>
      <c r="T374" s="434"/>
      <c r="U374" s="434"/>
      <c r="V374" s="434"/>
      <c r="W374" s="434"/>
      <c r="X374" s="434"/>
      <c r="Y374" s="434"/>
      <c r="Z374" s="434"/>
      <c r="AA374" s="434"/>
    </row>
    <row r="375" spans="1:27" ht="15.75" customHeight="1" x14ac:dyDescent="0.35">
      <c r="A375" s="434"/>
      <c r="B375" s="434"/>
      <c r="C375" s="434"/>
      <c r="D375" s="434"/>
      <c r="E375" s="434"/>
      <c r="F375" s="434"/>
      <c r="G375" s="434"/>
      <c r="H375" s="434"/>
      <c r="I375" s="434"/>
      <c r="J375" s="434"/>
      <c r="K375" s="434"/>
      <c r="L375" s="434"/>
      <c r="M375" s="434"/>
      <c r="N375" s="434"/>
      <c r="O375" s="434"/>
      <c r="P375" s="434"/>
      <c r="Q375" s="434"/>
      <c r="R375" s="434"/>
      <c r="S375" s="434"/>
      <c r="T375" s="434"/>
      <c r="U375" s="434"/>
      <c r="V375" s="434"/>
      <c r="W375" s="434"/>
      <c r="X375" s="434"/>
      <c r="Y375" s="434"/>
      <c r="Z375" s="434"/>
      <c r="AA375" s="434"/>
    </row>
    <row r="376" spans="1:27" ht="15.75" customHeight="1" x14ac:dyDescent="0.35">
      <c r="A376" s="434"/>
      <c r="B376" s="434"/>
      <c r="C376" s="434"/>
      <c r="D376" s="434"/>
      <c r="E376" s="434"/>
      <c r="F376" s="434"/>
      <c r="G376" s="434"/>
      <c r="H376" s="434"/>
      <c r="I376" s="434"/>
      <c r="J376" s="434"/>
      <c r="K376" s="434"/>
      <c r="L376" s="434"/>
      <c r="M376" s="434"/>
      <c r="N376" s="434"/>
      <c r="O376" s="434"/>
      <c r="P376" s="434"/>
      <c r="Q376" s="434"/>
      <c r="R376" s="434"/>
      <c r="S376" s="434"/>
      <c r="T376" s="434"/>
      <c r="U376" s="434"/>
      <c r="V376" s="434"/>
      <c r="W376" s="434"/>
      <c r="X376" s="434"/>
      <c r="Y376" s="434"/>
      <c r="Z376" s="434"/>
      <c r="AA376" s="434"/>
    </row>
    <row r="377" spans="1:27" ht="15.75" customHeight="1" x14ac:dyDescent="0.35">
      <c r="A377" s="434"/>
      <c r="B377" s="434"/>
      <c r="C377" s="434"/>
      <c r="D377" s="434"/>
      <c r="E377" s="434"/>
      <c r="F377" s="434"/>
      <c r="G377" s="434"/>
      <c r="H377" s="434"/>
      <c r="I377" s="434"/>
      <c r="J377" s="434"/>
      <c r="K377" s="434"/>
      <c r="L377" s="434"/>
      <c r="M377" s="434"/>
      <c r="N377" s="434"/>
      <c r="O377" s="434"/>
      <c r="P377" s="434"/>
      <c r="Q377" s="434"/>
      <c r="R377" s="434"/>
      <c r="S377" s="434"/>
      <c r="T377" s="434"/>
      <c r="U377" s="434"/>
      <c r="V377" s="434"/>
      <c r="W377" s="434"/>
      <c r="X377" s="434"/>
      <c r="Y377" s="434"/>
      <c r="Z377" s="434"/>
      <c r="AA377" s="434"/>
    </row>
    <row r="378" spans="1:27" ht="15.75" customHeight="1" x14ac:dyDescent="0.35">
      <c r="A378" s="434"/>
      <c r="B378" s="434"/>
      <c r="C378" s="434"/>
      <c r="D378" s="434"/>
      <c r="E378" s="434"/>
      <c r="F378" s="434"/>
      <c r="G378" s="434"/>
      <c r="H378" s="434"/>
      <c r="I378" s="434"/>
      <c r="J378" s="434"/>
      <c r="K378" s="434"/>
      <c r="L378" s="434"/>
      <c r="M378" s="434"/>
      <c r="N378" s="434"/>
      <c r="O378" s="434"/>
      <c r="P378" s="434"/>
      <c r="Q378" s="434"/>
      <c r="R378" s="434"/>
      <c r="S378" s="434"/>
      <c r="T378" s="434"/>
      <c r="U378" s="434"/>
      <c r="V378" s="434"/>
      <c r="W378" s="434"/>
      <c r="X378" s="434"/>
      <c r="Y378" s="434"/>
      <c r="Z378" s="434"/>
      <c r="AA378" s="434"/>
    </row>
    <row r="379" spans="1:27" ht="15.75" customHeight="1" x14ac:dyDescent="0.35">
      <c r="A379" s="434"/>
      <c r="B379" s="434"/>
      <c r="C379" s="434"/>
      <c r="D379" s="434"/>
      <c r="E379" s="434"/>
      <c r="F379" s="434"/>
      <c r="G379" s="434"/>
      <c r="H379" s="434"/>
      <c r="I379" s="434"/>
      <c r="J379" s="434"/>
      <c r="K379" s="434"/>
      <c r="L379" s="434"/>
      <c r="M379" s="434"/>
      <c r="N379" s="434"/>
      <c r="O379" s="434"/>
      <c r="P379" s="434"/>
      <c r="Q379" s="434"/>
      <c r="R379" s="434"/>
      <c r="S379" s="434"/>
      <c r="T379" s="434"/>
      <c r="U379" s="434"/>
      <c r="V379" s="434"/>
      <c r="W379" s="434"/>
      <c r="X379" s="434"/>
      <c r="Y379" s="434"/>
      <c r="Z379" s="434"/>
      <c r="AA379" s="434"/>
    </row>
    <row r="380" spans="1:27" ht="15.75" customHeight="1" x14ac:dyDescent="0.35">
      <c r="A380" s="434"/>
      <c r="B380" s="434"/>
      <c r="C380" s="434"/>
      <c r="D380" s="434"/>
      <c r="E380" s="434"/>
      <c r="F380" s="434"/>
      <c r="G380" s="434"/>
      <c r="H380" s="434"/>
      <c r="I380" s="434"/>
      <c r="J380" s="434"/>
      <c r="K380" s="434"/>
      <c r="L380" s="434"/>
      <c r="M380" s="434"/>
      <c r="N380" s="434"/>
      <c r="O380" s="434"/>
      <c r="P380" s="434"/>
      <c r="Q380" s="434"/>
      <c r="R380" s="434"/>
      <c r="S380" s="434"/>
      <c r="T380" s="434"/>
      <c r="U380" s="434"/>
      <c r="V380" s="434"/>
      <c r="W380" s="434"/>
      <c r="X380" s="434"/>
      <c r="Y380" s="434"/>
      <c r="Z380" s="434"/>
      <c r="AA380" s="434"/>
    </row>
    <row r="381" spans="1:27" ht="15.75" customHeight="1" x14ac:dyDescent="0.35">
      <c r="A381" s="434"/>
      <c r="B381" s="434"/>
      <c r="C381" s="434"/>
      <c r="D381" s="434"/>
      <c r="E381" s="434"/>
      <c r="F381" s="434"/>
      <c r="G381" s="434"/>
      <c r="H381" s="434"/>
      <c r="I381" s="434"/>
      <c r="J381" s="434"/>
      <c r="K381" s="434"/>
      <c r="L381" s="434"/>
      <c r="M381" s="434"/>
      <c r="N381" s="434"/>
      <c r="O381" s="434"/>
      <c r="P381" s="434"/>
      <c r="Q381" s="434"/>
      <c r="R381" s="434"/>
      <c r="S381" s="434"/>
      <c r="T381" s="434"/>
      <c r="U381" s="434"/>
      <c r="V381" s="434"/>
      <c r="W381" s="434"/>
      <c r="X381" s="434"/>
      <c r="Y381" s="434"/>
      <c r="Z381" s="434"/>
      <c r="AA381" s="434"/>
    </row>
    <row r="382" spans="1:27" ht="15.75" customHeight="1" x14ac:dyDescent="0.35">
      <c r="A382" s="434"/>
      <c r="B382" s="434"/>
      <c r="C382" s="434"/>
      <c r="D382" s="434"/>
      <c r="E382" s="434"/>
      <c r="F382" s="434"/>
      <c r="G382" s="434"/>
      <c r="H382" s="434"/>
      <c r="I382" s="434"/>
      <c r="J382" s="434"/>
      <c r="K382" s="434"/>
      <c r="L382" s="434"/>
      <c r="M382" s="434"/>
      <c r="N382" s="434"/>
      <c r="O382" s="434"/>
      <c r="P382" s="434"/>
      <c r="Q382" s="434"/>
      <c r="R382" s="434"/>
      <c r="S382" s="434"/>
      <c r="T382" s="434"/>
      <c r="U382" s="434"/>
      <c r="V382" s="434"/>
      <c r="W382" s="434"/>
      <c r="X382" s="434"/>
      <c r="Y382" s="434"/>
      <c r="Z382" s="434"/>
      <c r="AA382" s="434"/>
    </row>
    <row r="383" spans="1:27" ht="15.75" customHeight="1" x14ac:dyDescent="0.35">
      <c r="A383" s="434"/>
      <c r="B383" s="434"/>
      <c r="C383" s="434"/>
      <c r="D383" s="434"/>
      <c r="E383" s="434"/>
      <c r="F383" s="434"/>
      <c r="G383" s="434"/>
      <c r="H383" s="434"/>
      <c r="I383" s="434"/>
      <c r="J383" s="434"/>
      <c r="K383" s="434"/>
      <c r="L383" s="434"/>
      <c r="M383" s="434"/>
      <c r="N383" s="434"/>
      <c r="O383" s="434"/>
      <c r="P383" s="434"/>
      <c r="Q383" s="434"/>
      <c r="R383" s="434"/>
      <c r="S383" s="434"/>
      <c r="T383" s="434"/>
      <c r="U383" s="434"/>
      <c r="V383" s="434"/>
      <c r="W383" s="434"/>
      <c r="X383" s="434"/>
      <c r="Y383" s="434"/>
      <c r="Z383" s="434"/>
      <c r="AA383" s="434"/>
    </row>
    <row r="384" spans="1:27" ht="15.75" customHeight="1" x14ac:dyDescent="0.35">
      <c r="A384" s="434"/>
      <c r="B384" s="434"/>
      <c r="C384" s="434"/>
      <c r="D384" s="434"/>
      <c r="E384" s="434"/>
      <c r="F384" s="434"/>
      <c r="G384" s="434"/>
      <c r="H384" s="434"/>
      <c r="I384" s="434"/>
      <c r="J384" s="434"/>
      <c r="K384" s="434"/>
      <c r="L384" s="434"/>
      <c r="M384" s="434"/>
      <c r="N384" s="434"/>
      <c r="O384" s="434"/>
      <c r="P384" s="434"/>
      <c r="Q384" s="434"/>
      <c r="R384" s="434"/>
      <c r="S384" s="434"/>
      <c r="T384" s="434"/>
      <c r="U384" s="434"/>
      <c r="V384" s="434"/>
      <c r="W384" s="434"/>
      <c r="X384" s="434"/>
      <c r="Y384" s="434"/>
      <c r="Z384" s="434"/>
      <c r="AA384" s="434"/>
    </row>
    <row r="385" spans="1:27" ht="15.75" customHeight="1" x14ac:dyDescent="0.35">
      <c r="A385" s="434"/>
      <c r="B385" s="434"/>
      <c r="C385" s="434"/>
      <c r="D385" s="434"/>
      <c r="E385" s="434"/>
      <c r="F385" s="434"/>
      <c r="G385" s="434"/>
      <c r="H385" s="434"/>
      <c r="I385" s="434"/>
      <c r="J385" s="434"/>
      <c r="K385" s="434"/>
      <c r="L385" s="434"/>
      <c r="M385" s="434"/>
      <c r="N385" s="434"/>
      <c r="O385" s="434"/>
      <c r="P385" s="434"/>
      <c r="Q385" s="434"/>
      <c r="R385" s="434"/>
      <c r="S385" s="434"/>
      <c r="T385" s="434"/>
      <c r="U385" s="434"/>
      <c r="V385" s="434"/>
      <c r="W385" s="434"/>
      <c r="X385" s="434"/>
      <c r="Y385" s="434"/>
      <c r="Z385" s="434"/>
      <c r="AA385" s="434"/>
    </row>
    <row r="386" spans="1:27" ht="15.75" customHeight="1" x14ac:dyDescent="0.35">
      <c r="A386" s="434"/>
      <c r="B386" s="434"/>
      <c r="C386" s="434"/>
      <c r="D386" s="434"/>
      <c r="E386" s="434"/>
      <c r="F386" s="434"/>
      <c r="G386" s="434"/>
      <c r="H386" s="434"/>
      <c r="I386" s="434"/>
      <c r="J386" s="434"/>
      <c r="K386" s="434"/>
      <c r="L386" s="434"/>
      <c r="M386" s="434"/>
      <c r="N386" s="434"/>
      <c r="O386" s="434"/>
      <c r="P386" s="434"/>
      <c r="Q386" s="434"/>
      <c r="R386" s="434"/>
      <c r="S386" s="434"/>
      <c r="T386" s="434"/>
      <c r="U386" s="434"/>
      <c r="V386" s="434"/>
      <c r="W386" s="434"/>
      <c r="X386" s="434"/>
      <c r="Y386" s="434"/>
      <c r="Z386" s="434"/>
      <c r="AA386" s="434"/>
    </row>
    <row r="387" spans="1:27" ht="15.75" customHeight="1" x14ac:dyDescent="0.35">
      <c r="A387" s="434"/>
      <c r="B387" s="434"/>
      <c r="C387" s="434"/>
      <c r="D387" s="434"/>
      <c r="E387" s="434"/>
      <c r="F387" s="434"/>
      <c r="G387" s="434"/>
      <c r="H387" s="434"/>
      <c r="I387" s="434"/>
      <c r="J387" s="434"/>
      <c r="K387" s="434"/>
      <c r="L387" s="434"/>
      <c r="M387" s="434"/>
      <c r="N387" s="434"/>
      <c r="O387" s="434"/>
      <c r="P387" s="434"/>
      <c r="Q387" s="434"/>
      <c r="R387" s="434"/>
      <c r="S387" s="434"/>
      <c r="T387" s="434"/>
      <c r="U387" s="434"/>
      <c r="V387" s="434"/>
      <c r="W387" s="434"/>
      <c r="X387" s="434"/>
      <c r="Y387" s="434"/>
      <c r="Z387" s="434"/>
      <c r="AA387" s="434"/>
    </row>
    <row r="388" spans="1:27" ht="15.75" customHeight="1" x14ac:dyDescent="0.35">
      <c r="A388" s="434"/>
      <c r="B388" s="434"/>
      <c r="C388" s="434"/>
      <c r="D388" s="434"/>
      <c r="E388" s="434"/>
      <c r="F388" s="434"/>
      <c r="G388" s="434"/>
      <c r="H388" s="434"/>
      <c r="I388" s="434"/>
      <c r="J388" s="434"/>
      <c r="K388" s="434"/>
      <c r="L388" s="434"/>
      <c r="M388" s="434"/>
      <c r="N388" s="434"/>
      <c r="O388" s="434"/>
      <c r="P388" s="434"/>
      <c r="Q388" s="434"/>
      <c r="R388" s="434"/>
      <c r="S388" s="434"/>
      <c r="T388" s="434"/>
      <c r="U388" s="434"/>
      <c r="V388" s="434"/>
      <c r="W388" s="434"/>
      <c r="X388" s="434"/>
      <c r="Y388" s="434"/>
      <c r="Z388" s="434"/>
      <c r="AA388" s="434"/>
    </row>
    <row r="389" spans="1:27" ht="15.75" customHeight="1" x14ac:dyDescent="0.35">
      <c r="A389" s="434"/>
      <c r="B389" s="434"/>
      <c r="C389" s="434"/>
      <c r="D389" s="434"/>
      <c r="E389" s="434"/>
      <c r="F389" s="434"/>
      <c r="G389" s="434"/>
      <c r="H389" s="434"/>
      <c r="I389" s="434"/>
      <c r="J389" s="434"/>
      <c r="K389" s="434"/>
      <c r="L389" s="434"/>
      <c r="M389" s="434"/>
      <c r="N389" s="434"/>
      <c r="O389" s="434"/>
      <c r="P389" s="434"/>
      <c r="Q389" s="434"/>
      <c r="R389" s="434"/>
      <c r="S389" s="434"/>
      <c r="T389" s="434"/>
      <c r="U389" s="434"/>
      <c r="V389" s="434"/>
      <c r="W389" s="434"/>
      <c r="X389" s="434"/>
      <c r="Y389" s="434"/>
      <c r="Z389" s="434"/>
      <c r="AA389" s="434"/>
    </row>
    <row r="390" spans="1:27" ht="15.75" customHeight="1" x14ac:dyDescent="0.35">
      <c r="A390" s="434"/>
      <c r="B390" s="434"/>
      <c r="C390" s="434"/>
      <c r="D390" s="434"/>
      <c r="E390" s="434"/>
      <c r="F390" s="434"/>
      <c r="G390" s="434"/>
      <c r="H390" s="434"/>
      <c r="I390" s="434"/>
      <c r="J390" s="434"/>
      <c r="K390" s="434"/>
      <c r="L390" s="434"/>
      <c r="M390" s="434"/>
      <c r="N390" s="434"/>
      <c r="O390" s="434"/>
      <c r="P390" s="434"/>
      <c r="Q390" s="434"/>
      <c r="R390" s="434"/>
      <c r="S390" s="434"/>
      <c r="T390" s="434"/>
      <c r="U390" s="434"/>
      <c r="V390" s="434"/>
      <c r="W390" s="434"/>
      <c r="X390" s="434"/>
      <c r="Y390" s="434"/>
      <c r="Z390" s="434"/>
      <c r="AA390" s="434"/>
    </row>
    <row r="391" spans="1:27" ht="15.75" customHeight="1" x14ac:dyDescent="0.35">
      <c r="A391" s="434"/>
      <c r="B391" s="434"/>
      <c r="C391" s="434"/>
      <c r="D391" s="434"/>
      <c r="E391" s="434"/>
      <c r="F391" s="434"/>
      <c r="G391" s="434"/>
      <c r="H391" s="434"/>
      <c r="I391" s="434"/>
      <c r="J391" s="434"/>
      <c r="K391" s="434"/>
      <c r="L391" s="434"/>
      <c r="M391" s="434"/>
      <c r="N391" s="434"/>
      <c r="O391" s="434"/>
      <c r="P391" s="434"/>
      <c r="Q391" s="434"/>
      <c r="R391" s="434"/>
      <c r="S391" s="434"/>
      <c r="T391" s="434"/>
      <c r="U391" s="434"/>
      <c r="V391" s="434"/>
      <c r="W391" s="434"/>
      <c r="X391" s="434"/>
      <c r="Y391" s="434"/>
      <c r="Z391" s="434"/>
      <c r="AA391" s="434"/>
    </row>
    <row r="392" spans="1:27" ht="15.75" customHeight="1" x14ac:dyDescent="0.35">
      <c r="A392" s="434"/>
      <c r="B392" s="434"/>
      <c r="C392" s="434"/>
      <c r="D392" s="434"/>
      <c r="E392" s="434"/>
      <c r="F392" s="434"/>
      <c r="G392" s="434"/>
      <c r="H392" s="434"/>
      <c r="I392" s="434"/>
      <c r="J392" s="434"/>
      <c r="K392" s="434"/>
      <c r="L392" s="434"/>
      <c r="M392" s="434"/>
      <c r="N392" s="434"/>
      <c r="O392" s="434"/>
      <c r="P392" s="434"/>
      <c r="Q392" s="434"/>
      <c r="R392" s="434"/>
      <c r="S392" s="434"/>
      <c r="T392" s="434"/>
      <c r="U392" s="434"/>
      <c r="V392" s="434"/>
      <c r="W392" s="434"/>
      <c r="X392" s="434"/>
      <c r="Y392" s="434"/>
      <c r="Z392" s="434"/>
      <c r="AA392" s="434"/>
    </row>
    <row r="393" spans="1:27" ht="15.75" customHeight="1" x14ac:dyDescent="0.35">
      <c r="A393" s="434"/>
      <c r="B393" s="434"/>
      <c r="C393" s="434"/>
      <c r="D393" s="434"/>
      <c r="E393" s="434"/>
      <c r="F393" s="434"/>
      <c r="G393" s="434"/>
      <c r="H393" s="434"/>
      <c r="I393" s="434"/>
      <c r="J393" s="434"/>
      <c r="K393" s="434"/>
      <c r="L393" s="434"/>
      <c r="M393" s="434"/>
      <c r="N393" s="434"/>
      <c r="O393" s="434"/>
      <c r="P393" s="434"/>
      <c r="Q393" s="434"/>
      <c r="R393" s="434"/>
      <c r="S393" s="434"/>
      <c r="T393" s="434"/>
      <c r="U393" s="434"/>
      <c r="V393" s="434"/>
      <c r="W393" s="434"/>
      <c r="X393" s="434"/>
      <c r="Y393" s="434"/>
      <c r="Z393" s="434"/>
      <c r="AA393" s="434"/>
    </row>
    <row r="394" spans="1:27" ht="15.75" customHeight="1" x14ac:dyDescent="0.35">
      <c r="A394" s="434"/>
      <c r="B394" s="434"/>
      <c r="C394" s="434"/>
      <c r="D394" s="434"/>
      <c r="E394" s="434"/>
      <c r="F394" s="434"/>
      <c r="G394" s="434"/>
      <c r="H394" s="434"/>
      <c r="I394" s="434"/>
      <c r="J394" s="434"/>
      <c r="K394" s="434"/>
      <c r="L394" s="434"/>
      <c r="M394" s="434"/>
      <c r="N394" s="434"/>
      <c r="O394" s="434"/>
      <c r="P394" s="434"/>
      <c r="Q394" s="434"/>
      <c r="R394" s="434"/>
      <c r="S394" s="434"/>
      <c r="T394" s="434"/>
      <c r="U394" s="434"/>
      <c r="V394" s="434"/>
      <c r="W394" s="434"/>
      <c r="X394" s="434"/>
      <c r="Y394" s="434"/>
      <c r="Z394" s="434"/>
      <c r="AA394" s="434"/>
    </row>
    <row r="395" spans="1:27" ht="15.75" customHeight="1" x14ac:dyDescent="0.35">
      <c r="A395" s="434"/>
      <c r="B395" s="434"/>
      <c r="C395" s="434"/>
      <c r="D395" s="434"/>
      <c r="E395" s="434"/>
      <c r="F395" s="434"/>
      <c r="G395" s="434"/>
      <c r="H395" s="434"/>
      <c r="I395" s="434"/>
      <c r="J395" s="434"/>
      <c r="K395" s="434"/>
      <c r="L395" s="434"/>
      <c r="M395" s="434"/>
      <c r="N395" s="434"/>
      <c r="O395" s="434"/>
      <c r="P395" s="434"/>
      <c r="Q395" s="434"/>
      <c r="R395" s="434"/>
      <c r="S395" s="434"/>
      <c r="T395" s="434"/>
      <c r="U395" s="434"/>
      <c r="V395" s="434"/>
      <c r="W395" s="434"/>
      <c r="X395" s="434"/>
      <c r="Y395" s="434"/>
      <c r="Z395" s="434"/>
      <c r="AA395" s="434"/>
    </row>
    <row r="396" spans="1:27" ht="15.75" customHeight="1" x14ac:dyDescent="0.35">
      <c r="A396" s="434"/>
      <c r="B396" s="434"/>
      <c r="C396" s="434"/>
      <c r="D396" s="434"/>
      <c r="E396" s="434"/>
      <c r="F396" s="434"/>
      <c r="G396" s="434"/>
      <c r="H396" s="434"/>
      <c r="I396" s="434"/>
      <c r="J396" s="434"/>
      <c r="K396" s="434"/>
      <c r="L396" s="434"/>
      <c r="M396" s="434"/>
      <c r="N396" s="434"/>
      <c r="O396" s="434"/>
      <c r="P396" s="434"/>
      <c r="Q396" s="434"/>
      <c r="R396" s="434"/>
      <c r="S396" s="434"/>
      <c r="T396" s="434"/>
      <c r="U396" s="434"/>
      <c r="V396" s="434"/>
      <c r="W396" s="434"/>
      <c r="X396" s="434"/>
      <c r="Y396" s="434"/>
      <c r="Z396" s="434"/>
      <c r="AA396" s="434"/>
    </row>
    <row r="397" spans="1:27" ht="15.75" customHeight="1" x14ac:dyDescent="0.35">
      <c r="A397" s="434"/>
      <c r="B397" s="434"/>
      <c r="C397" s="434"/>
      <c r="D397" s="434"/>
      <c r="E397" s="434"/>
      <c r="F397" s="434"/>
      <c r="G397" s="434"/>
      <c r="H397" s="434"/>
      <c r="I397" s="434"/>
      <c r="J397" s="434"/>
      <c r="K397" s="434"/>
      <c r="L397" s="434"/>
      <c r="M397" s="434"/>
      <c r="N397" s="434"/>
      <c r="O397" s="434"/>
      <c r="P397" s="434"/>
      <c r="Q397" s="434"/>
      <c r="R397" s="434"/>
      <c r="S397" s="434"/>
      <c r="T397" s="434"/>
      <c r="U397" s="434"/>
      <c r="V397" s="434"/>
      <c r="W397" s="434"/>
      <c r="X397" s="434"/>
      <c r="Y397" s="434"/>
      <c r="Z397" s="434"/>
      <c r="AA397" s="434"/>
    </row>
    <row r="398" spans="1:27" ht="15.75" customHeight="1" x14ac:dyDescent="0.35">
      <c r="A398" s="434"/>
      <c r="B398" s="434"/>
      <c r="C398" s="434"/>
      <c r="D398" s="434"/>
      <c r="E398" s="434"/>
      <c r="F398" s="434"/>
      <c r="G398" s="434"/>
      <c r="H398" s="434"/>
      <c r="I398" s="434"/>
      <c r="J398" s="434"/>
      <c r="K398" s="434"/>
      <c r="L398" s="434"/>
      <c r="M398" s="434"/>
      <c r="N398" s="434"/>
      <c r="O398" s="434"/>
      <c r="P398" s="434"/>
      <c r="Q398" s="434"/>
      <c r="R398" s="434"/>
      <c r="S398" s="434"/>
      <c r="T398" s="434"/>
      <c r="U398" s="434"/>
      <c r="V398" s="434"/>
      <c r="W398" s="434"/>
      <c r="X398" s="434"/>
      <c r="Y398" s="434"/>
      <c r="Z398" s="434"/>
      <c r="AA398" s="434"/>
    </row>
    <row r="399" spans="1:27" ht="15.75" customHeight="1" x14ac:dyDescent="0.35">
      <c r="A399" s="434"/>
      <c r="B399" s="434"/>
      <c r="C399" s="434"/>
      <c r="D399" s="434"/>
      <c r="E399" s="434"/>
      <c r="F399" s="434"/>
      <c r="G399" s="434"/>
      <c r="H399" s="434"/>
      <c r="I399" s="434"/>
      <c r="J399" s="434"/>
      <c r="K399" s="434"/>
      <c r="L399" s="434"/>
      <c r="M399" s="434"/>
      <c r="N399" s="434"/>
      <c r="O399" s="434"/>
      <c r="P399" s="434"/>
      <c r="Q399" s="434"/>
      <c r="R399" s="434"/>
      <c r="S399" s="434"/>
      <c r="T399" s="434"/>
      <c r="U399" s="434"/>
      <c r="V399" s="434"/>
      <c r="W399" s="434"/>
      <c r="X399" s="434"/>
      <c r="Y399" s="434"/>
      <c r="Z399" s="434"/>
      <c r="AA399" s="434"/>
    </row>
    <row r="400" spans="1:27" ht="15.75" customHeight="1" x14ac:dyDescent="0.35">
      <c r="A400" s="434"/>
      <c r="B400" s="434"/>
      <c r="C400" s="434"/>
      <c r="D400" s="434"/>
      <c r="E400" s="434"/>
      <c r="F400" s="434"/>
      <c r="G400" s="434"/>
      <c r="H400" s="434"/>
      <c r="I400" s="434"/>
      <c r="J400" s="434"/>
      <c r="K400" s="434"/>
      <c r="L400" s="434"/>
      <c r="M400" s="434"/>
      <c r="N400" s="434"/>
      <c r="O400" s="434"/>
      <c r="P400" s="434"/>
      <c r="Q400" s="434"/>
      <c r="R400" s="434"/>
      <c r="S400" s="434"/>
      <c r="T400" s="434"/>
      <c r="U400" s="434"/>
      <c r="V400" s="434"/>
      <c r="W400" s="434"/>
      <c r="X400" s="434"/>
      <c r="Y400" s="434"/>
      <c r="Z400" s="434"/>
      <c r="AA400" s="434"/>
    </row>
    <row r="401" spans="1:27" ht="15.75" customHeight="1" x14ac:dyDescent="0.35">
      <c r="A401" s="434"/>
      <c r="B401" s="434"/>
      <c r="C401" s="434"/>
      <c r="D401" s="434"/>
      <c r="E401" s="434"/>
      <c r="F401" s="434"/>
      <c r="G401" s="434"/>
      <c r="H401" s="434"/>
      <c r="I401" s="434"/>
      <c r="J401" s="434"/>
      <c r="K401" s="434"/>
      <c r="L401" s="434"/>
      <c r="M401" s="434"/>
      <c r="N401" s="434"/>
      <c r="O401" s="434"/>
      <c r="P401" s="434"/>
      <c r="Q401" s="434"/>
      <c r="R401" s="434"/>
      <c r="S401" s="434"/>
      <c r="T401" s="434"/>
      <c r="U401" s="434"/>
      <c r="V401" s="434"/>
      <c r="W401" s="434"/>
      <c r="X401" s="434"/>
      <c r="Y401" s="434"/>
      <c r="Z401" s="434"/>
      <c r="AA401" s="434"/>
    </row>
    <row r="402" spans="1:27" ht="15.75" customHeight="1" x14ac:dyDescent="0.35">
      <c r="A402" s="434"/>
      <c r="B402" s="434"/>
      <c r="C402" s="434"/>
      <c r="D402" s="434"/>
      <c r="E402" s="434"/>
      <c r="F402" s="434"/>
      <c r="G402" s="434"/>
      <c r="H402" s="434"/>
      <c r="I402" s="434"/>
      <c r="J402" s="434"/>
      <c r="K402" s="434"/>
      <c r="L402" s="434"/>
      <c r="M402" s="434"/>
      <c r="N402" s="434"/>
      <c r="O402" s="434"/>
      <c r="P402" s="434"/>
      <c r="Q402" s="434"/>
      <c r="R402" s="434"/>
      <c r="S402" s="434"/>
      <c r="T402" s="434"/>
      <c r="U402" s="434"/>
      <c r="V402" s="434"/>
      <c r="W402" s="434"/>
      <c r="X402" s="434"/>
      <c r="Y402" s="434"/>
      <c r="Z402" s="434"/>
      <c r="AA402" s="434"/>
    </row>
    <row r="403" spans="1:27" ht="15.75" customHeight="1" x14ac:dyDescent="0.35">
      <c r="A403" s="434"/>
      <c r="B403" s="434"/>
      <c r="C403" s="434"/>
      <c r="D403" s="434"/>
      <c r="E403" s="434"/>
      <c r="F403" s="434"/>
      <c r="G403" s="434"/>
      <c r="H403" s="434"/>
      <c r="I403" s="434"/>
      <c r="J403" s="434"/>
      <c r="K403" s="434"/>
      <c r="L403" s="434"/>
      <c r="M403" s="434"/>
      <c r="N403" s="434"/>
      <c r="O403" s="434"/>
      <c r="P403" s="434"/>
      <c r="Q403" s="434"/>
      <c r="R403" s="434"/>
      <c r="S403" s="434"/>
      <c r="T403" s="434"/>
      <c r="U403" s="434"/>
      <c r="V403" s="434"/>
      <c r="W403" s="434"/>
      <c r="X403" s="434"/>
      <c r="Y403" s="434"/>
      <c r="Z403" s="434"/>
      <c r="AA403" s="434"/>
    </row>
    <row r="404" spans="1:27" ht="15.75" customHeight="1" x14ac:dyDescent="0.35">
      <c r="A404" s="434"/>
      <c r="B404" s="434"/>
      <c r="C404" s="434"/>
      <c r="D404" s="434"/>
      <c r="E404" s="434"/>
      <c r="F404" s="434"/>
      <c r="G404" s="434"/>
      <c r="H404" s="434"/>
      <c r="I404" s="434"/>
      <c r="J404" s="434"/>
      <c r="K404" s="434"/>
      <c r="L404" s="434"/>
      <c r="M404" s="434"/>
      <c r="N404" s="434"/>
      <c r="O404" s="434"/>
      <c r="P404" s="434"/>
      <c r="Q404" s="434"/>
      <c r="R404" s="434"/>
      <c r="S404" s="434"/>
      <c r="T404" s="434"/>
      <c r="U404" s="434"/>
      <c r="V404" s="434"/>
      <c r="W404" s="434"/>
      <c r="X404" s="434"/>
      <c r="Y404" s="434"/>
      <c r="Z404" s="434"/>
      <c r="AA404" s="434"/>
    </row>
    <row r="405" spans="1:27" ht="15.75" customHeight="1" x14ac:dyDescent="0.35">
      <c r="A405" s="434"/>
      <c r="B405" s="434"/>
      <c r="C405" s="434"/>
      <c r="D405" s="434"/>
      <c r="E405" s="434"/>
      <c r="F405" s="434"/>
      <c r="G405" s="434"/>
      <c r="H405" s="434"/>
      <c r="I405" s="434"/>
      <c r="J405" s="434"/>
      <c r="K405" s="434"/>
      <c r="L405" s="434"/>
      <c r="M405" s="434"/>
      <c r="N405" s="434"/>
      <c r="O405" s="434"/>
      <c r="P405" s="434"/>
      <c r="Q405" s="434"/>
      <c r="R405" s="434"/>
      <c r="S405" s="434"/>
      <c r="T405" s="434"/>
      <c r="U405" s="434"/>
      <c r="V405" s="434"/>
      <c r="W405" s="434"/>
      <c r="X405" s="434"/>
      <c r="Y405" s="434"/>
      <c r="Z405" s="434"/>
      <c r="AA405" s="434"/>
    </row>
    <row r="406" spans="1:27" ht="15.75" customHeight="1" x14ac:dyDescent="0.35">
      <c r="A406" s="434"/>
      <c r="B406" s="434"/>
      <c r="C406" s="434"/>
      <c r="D406" s="434"/>
      <c r="E406" s="434"/>
      <c r="F406" s="434"/>
      <c r="G406" s="434"/>
      <c r="H406" s="434"/>
      <c r="I406" s="434"/>
      <c r="J406" s="434"/>
      <c r="K406" s="434"/>
      <c r="L406" s="434"/>
      <c r="M406" s="434"/>
      <c r="N406" s="434"/>
      <c r="O406" s="434"/>
      <c r="P406" s="434"/>
      <c r="Q406" s="434"/>
      <c r="R406" s="434"/>
      <c r="S406" s="434"/>
      <c r="T406" s="434"/>
      <c r="U406" s="434"/>
      <c r="V406" s="434"/>
      <c r="W406" s="434"/>
      <c r="X406" s="434"/>
      <c r="Y406" s="434"/>
      <c r="Z406" s="434"/>
      <c r="AA406" s="434"/>
    </row>
    <row r="407" spans="1:27" ht="15.75" customHeight="1" x14ac:dyDescent="0.35">
      <c r="A407" s="434"/>
      <c r="B407" s="434"/>
      <c r="C407" s="434"/>
      <c r="D407" s="434"/>
      <c r="E407" s="434"/>
      <c r="F407" s="434"/>
      <c r="G407" s="434"/>
      <c r="H407" s="434"/>
      <c r="I407" s="434"/>
      <c r="J407" s="434"/>
      <c r="K407" s="434"/>
      <c r="L407" s="434"/>
      <c r="M407" s="434"/>
      <c r="N407" s="434"/>
      <c r="O407" s="434"/>
      <c r="P407" s="434"/>
      <c r="Q407" s="434"/>
      <c r="R407" s="434"/>
      <c r="S407" s="434"/>
      <c r="T407" s="434"/>
      <c r="U407" s="434"/>
      <c r="V407" s="434"/>
      <c r="W407" s="434"/>
      <c r="X407" s="434"/>
      <c r="Y407" s="434"/>
      <c r="Z407" s="434"/>
      <c r="AA407" s="434"/>
    </row>
    <row r="408" spans="1:27" ht="15.75" customHeight="1" x14ac:dyDescent="0.35">
      <c r="A408" s="434"/>
      <c r="B408" s="434"/>
      <c r="C408" s="434"/>
      <c r="D408" s="434"/>
      <c r="E408" s="434"/>
      <c r="F408" s="434"/>
      <c r="G408" s="434"/>
      <c r="H408" s="434"/>
      <c r="I408" s="434"/>
      <c r="J408" s="434"/>
      <c r="K408" s="434"/>
      <c r="L408" s="434"/>
      <c r="M408" s="434"/>
      <c r="N408" s="434"/>
      <c r="O408" s="434"/>
      <c r="P408" s="434"/>
      <c r="Q408" s="434"/>
      <c r="R408" s="434"/>
      <c r="S408" s="434"/>
      <c r="T408" s="434"/>
      <c r="U408" s="434"/>
      <c r="V408" s="434"/>
      <c r="W408" s="434"/>
      <c r="X408" s="434"/>
      <c r="Y408" s="434"/>
      <c r="Z408" s="434"/>
      <c r="AA408" s="434"/>
    </row>
    <row r="409" spans="1:27" ht="15.75" customHeight="1" x14ac:dyDescent="0.35">
      <c r="A409" s="434"/>
      <c r="B409" s="434"/>
      <c r="C409" s="434"/>
      <c r="D409" s="434"/>
      <c r="E409" s="434"/>
      <c r="F409" s="434"/>
      <c r="G409" s="434"/>
      <c r="H409" s="434"/>
      <c r="I409" s="434"/>
      <c r="J409" s="434"/>
      <c r="K409" s="434"/>
      <c r="L409" s="434"/>
      <c r="M409" s="434"/>
      <c r="N409" s="434"/>
      <c r="O409" s="434"/>
      <c r="P409" s="434"/>
      <c r="Q409" s="434"/>
      <c r="R409" s="434"/>
      <c r="S409" s="434"/>
      <c r="T409" s="434"/>
      <c r="U409" s="434"/>
      <c r="V409" s="434"/>
      <c r="W409" s="434"/>
      <c r="X409" s="434"/>
      <c r="Y409" s="434"/>
      <c r="Z409" s="434"/>
      <c r="AA409" s="434"/>
    </row>
    <row r="410" spans="1:27" ht="15.75" customHeight="1" x14ac:dyDescent="0.35">
      <c r="A410" s="434"/>
      <c r="B410" s="434"/>
      <c r="C410" s="434"/>
      <c r="D410" s="434"/>
      <c r="E410" s="434"/>
      <c r="F410" s="434"/>
      <c r="G410" s="434"/>
      <c r="H410" s="434"/>
      <c r="I410" s="434"/>
      <c r="J410" s="434"/>
      <c r="K410" s="434"/>
      <c r="L410" s="434"/>
      <c r="M410" s="434"/>
      <c r="N410" s="434"/>
      <c r="O410" s="434"/>
      <c r="P410" s="434"/>
      <c r="Q410" s="434"/>
      <c r="R410" s="434"/>
      <c r="S410" s="434"/>
      <c r="T410" s="434"/>
      <c r="U410" s="434"/>
      <c r="V410" s="434"/>
      <c r="W410" s="434"/>
      <c r="X410" s="434"/>
      <c r="Y410" s="434"/>
      <c r="Z410" s="434"/>
      <c r="AA410" s="434"/>
    </row>
    <row r="411" spans="1:27" ht="15.75" customHeight="1" x14ac:dyDescent="0.35">
      <c r="A411" s="434"/>
      <c r="B411" s="434"/>
      <c r="C411" s="434"/>
      <c r="D411" s="434"/>
      <c r="E411" s="434"/>
      <c r="F411" s="434"/>
      <c r="G411" s="434"/>
      <c r="H411" s="434"/>
      <c r="I411" s="434"/>
      <c r="J411" s="434"/>
      <c r="K411" s="434"/>
      <c r="L411" s="434"/>
      <c r="M411" s="434"/>
      <c r="N411" s="434"/>
      <c r="O411" s="434"/>
      <c r="P411" s="434"/>
      <c r="Q411" s="434"/>
      <c r="R411" s="434"/>
      <c r="S411" s="434"/>
      <c r="T411" s="434"/>
      <c r="U411" s="434"/>
      <c r="V411" s="434"/>
      <c r="W411" s="434"/>
      <c r="X411" s="434"/>
      <c r="Y411" s="434"/>
      <c r="Z411" s="434"/>
      <c r="AA411" s="434"/>
    </row>
    <row r="412" spans="1:27" ht="15.75" customHeight="1" x14ac:dyDescent="0.35">
      <c r="A412" s="434"/>
      <c r="B412" s="434"/>
      <c r="C412" s="434"/>
      <c r="D412" s="434"/>
      <c r="E412" s="434"/>
      <c r="F412" s="434"/>
      <c r="G412" s="434"/>
      <c r="H412" s="434"/>
      <c r="I412" s="434"/>
      <c r="J412" s="434"/>
      <c r="K412" s="434"/>
      <c r="L412" s="434"/>
      <c r="M412" s="434"/>
      <c r="N412" s="434"/>
      <c r="O412" s="434"/>
      <c r="P412" s="434"/>
      <c r="Q412" s="434"/>
      <c r="R412" s="434"/>
      <c r="S412" s="434"/>
      <c r="T412" s="434"/>
      <c r="U412" s="434"/>
      <c r="V412" s="434"/>
      <c r="W412" s="434"/>
      <c r="X412" s="434"/>
      <c r="Y412" s="434"/>
      <c r="Z412" s="434"/>
      <c r="AA412" s="434"/>
    </row>
    <row r="413" spans="1:27" ht="15.75" customHeight="1" x14ac:dyDescent="0.35">
      <c r="A413" s="434"/>
      <c r="B413" s="434"/>
      <c r="C413" s="434"/>
      <c r="D413" s="434"/>
      <c r="E413" s="434"/>
      <c r="F413" s="434"/>
      <c r="G413" s="434"/>
      <c r="H413" s="434"/>
      <c r="I413" s="434"/>
      <c r="J413" s="434"/>
      <c r="K413" s="434"/>
      <c r="L413" s="434"/>
      <c r="M413" s="434"/>
      <c r="N413" s="434"/>
      <c r="O413" s="434"/>
      <c r="P413" s="434"/>
      <c r="Q413" s="434"/>
      <c r="R413" s="434"/>
      <c r="S413" s="434"/>
      <c r="T413" s="434"/>
      <c r="U413" s="434"/>
      <c r="V413" s="434"/>
      <c r="W413" s="434"/>
      <c r="X413" s="434"/>
      <c r="Y413" s="434"/>
      <c r="Z413" s="434"/>
      <c r="AA413" s="434"/>
    </row>
    <row r="414" spans="1:27" ht="15.75" customHeight="1" x14ac:dyDescent="0.35">
      <c r="A414" s="434"/>
      <c r="B414" s="434"/>
      <c r="C414" s="434"/>
      <c r="D414" s="434"/>
      <c r="E414" s="434"/>
      <c r="F414" s="434"/>
      <c r="G414" s="434"/>
      <c r="H414" s="434"/>
      <c r="I414" s="434"/>
      <c r="J414" s="434"/>
      <c r="K414" s="434"/>
      <c r="L414" s="434"/>
      <c r="M414" s="434"/>
      <c r="N414" s="434"/>
      <c r="O414" s="434"/>
      <c r="P414" s="434"/>
      <c r="Q414" s="434"/>
      <c r="R414" s="434"/>
      <c r="S414" s="434"/>
      <c r="T414" s="434"/>
      <c r="U414" s="434"/>
      <c r="V414" s="434"/>
      <c r="W414" s="434"/>
      <c r="X414" s="434"/>
      <c r="Y414" s="434"/>
      <c r="Z414" s="434"/>
      <c r="AA414" s="434"/>
    </row>
    <row r="415" spans="1:27" ht="15.75" customHeight="1" x14ac:dyDescent="0.35">
      <c r="A415" s="434"/>
      <c r="B415" s="434"/>
      <c r="C415" s="434"/>
      <c r="D415" s="434"/>
      <c r="E415" s="434"/>
      <c r="F415" s="434"/>
      <c r="G415" s="434"/>
      <c r="H415" s="434"/>
      <c r="I415" s="434"/>
      <c r="J415" s="434"/>
      <c r="K415" s="434"/>
      <c r="L415" s="434"/>
      <c r="M415" s="434"/>
      <c r="N415" s="434"/>
      <c r="O415" s="434"/>
      <c r="P415" s="434"/>
      <c r="Q415" s="434"/>
      <c r="R415" s="434"/>
      <c r="S415" s="434"/>
      <c r="T415" s="434"/>
      <c r="U415" s="434"/>
      <c r="V415" s="434"/>
      <c r="W415" s="434"/>
      <c r="X415" s="434"/>
      <c r="Y415" s="434"/>
      <c r="Z415" s="434"/>
      <c r="AA415" s="434"/>
    </row>
    <row r="416" spans="1:27" ht="15.75" customHeight="1" x14ac:dyDescent="0.35">
      <c r="A416" s="434"/>
      <c r="B416" s="434"/>
      <c r="C416" s="434"/>
      <c r="D416" s="434"/>
      <c r="E416" s="434"/>
      <c r="F416" s="434"/>
      <c r="G416" s="434"/>
      <c r="H416" s="434"/>
      <c r="I416" s="434"/>
      <c r="J416" s="434"/>
      <c r="K416" s="434"/>
      <c r="L416" s="434"/>
      <c r="M416" s="434"/>
      <c r="N416" s="434"/>
      <c r="O416" s="434"/>
      <c r="P416" s="434"/>
      <c r="Q416" s="434"/>
      <c r="R416" s="434"/>
      <c r="S416" s="434"/>
      <c r="T416" s="434"/>
      <c r="U416" s="434"/>
      <c r="V416" s="434"/>
      <c r="W416" s="434"/>
      <c r="X416" s="434"/>
      <c r="Y416" s="434"/>
      <c r="Z416" s="434"/>
      <c r="AA416" s="434"/>
    </row>
    <row r="417" spans="1:27" ht="15.75" customHeight="1" x14ac:dyDescent="0.35">
      <c r="A417" s="434"/>
      <c r="B417" s="434"/>
      <c r="C417" s="434"/>
      <c r="D417" s="434"/>
      <c r="E417" s="434"/>
      <c r="F417" s="434"/>
      <c r="G417" s="434"/>
      <c r="H417" s="434"/>
      <c r="I417" s="434"/>
      <c r="J417" s="434"/>
      <c r="K417" s="434"/>
      <c r="L417" s="434"/>
      <c r="M417" s="434"/>
      <c r="N417" s="434"/>
      <c r="O417" s="434"/>
      <c r="P417" s="434"/>
      <c r="Q417" s="434"/>
      <c r="R417" s="434"/>
      <c r="S417" s="434"/>
      <c r="T417" s="434"/>
      <c r="U417" s="434"/>
      <c r="V417" s="434"/>
      <c r="W417" s="434"/>
      <c r="X417" s="434"/>
      <c r="Y417" s="434"/>
      <c r="Z417" s="434"/>
      <c r="AA417" s="434"/>
    </row>
    <row r="418" spans="1:27" ht="15.75" customHeight="1" x14ac:dyDescent="0.35">
      <c r="A418" s="434"/>
      <c r="B418" s="434"/>
      <c r="C418" s="434"/>
      <c r="D418" s="434"/>
      <c r="E418" s="434"/>
      <c r="F418" s="434"/>
      <c r="G418" s="434"/>
      <c r="H418" s="434"/>
      <c r="I418" s="434"/>
      <c r="J418" s="434"/>
      <c r="K418" s="434"/>
      <c r="L418" s="434"/>
      <c r="M418" s="434"/>
      <c r="N418" s="434"/>
      <c r="O418" s="434"/>
      <c r="P418" s="434"/>
      <c r="Q418" s="434"/>
      <c r="R418" s="434"/>
      <c r="S418" s="434"/>
      <c r="T418" s="434"/>
      <c r="U418" s="434"/>
      <c r="V418" s="434"/>
      <c r="W418" s="434"/>
      <c r="X418" s="434"/>
      <c r="Y418" s="434"/>
      <c r="Z418" s="434"/>
      <c r="AA418" s="434"/>
    </row>
    <row r="419" spans="1:27" ht="15.75" customHeight="1" x14ac:dyDescent="0.35">
      <c r="A419" s="434"/>
      <c r="B419" s="434"/>
      <c r="C419" s="434"/>
      <c r="D419" s="434"/>
      <c r="E419" s="434"/>
      <c r="F419" s="434"/>
      <c r="G419" s="434"/>
      <c r="H419" s="434"/>
      <c r="I419" s="434"/>
      <c r="J419" s="434"/>
      <c r="K419" s="434"/>
      <c r="L419" s="434"/>
      <c r="M419" s="434"/>
      <c r="N419" s="434"/>
      <c r="O419" s="434"/>
      <c r="P419" s="434"/>
      <c r="Q419" s="434"/>
      <c r="R419" s="434"/>
      <c r="S419" s="434"/>
      <c r="T419" s="434"/>
      <c r="U419" s="434"/>
      <c r="V419" s="434"/>
      <c r="W419" s="434"/>
      <c r="X419" s="434"/>
      <c r="Y419" s="434"/>
      <c r="Z419" s="434"/>
      <c r="AA419" s="434"/>
    </row>
    <row r="420" spans="1:27" ht="15.75" customHeight="1" x14ac:dyDescent="0.35">
      <c r="A420" s="434"/>
      <c r="B420" s="434"/>
      <c r="C420" s="434"/>
      <c r="D420" s="434"/>
      <c r="E420" s="434"/>
      <c r="F420" s="434"/>
      <c r="G420" s="434"/>
      <c r="H420" s="434"/>
      <c r="I420" s="434"/>
      <c r="J420" s="434"/>
      <c r="K420" s="434"/>
      <c r="L420" s="434"/>
      <c r="M420" s="434"/>
      <c r="N420" s="434"/>
      <c r="O420" s="434"/>
      <c r="P420" s="434"/>
      <c r="Q420" s="434"/>
      <c r="R420" s="434"/>
      <c r="S420" s="434"/>
      <c r="T420" s="434"/>
      <c r="U420" s="434"/>
      <c r="V420" s="434"/>
      <c r="W420" s="434"/>
      <c r="X420" s="434"/>
      <c r="Y420" s="434"/>
      <c r="Z420" s="434"/>
      <c r="AA420" s="434"/>
    </row>
    <row r="421" spans="1:27" ht="15.75" customHeight="1" x14ac:dyDescent="0.35">
      <c r="A421" s="434"/>
      <c r="B421" s="434"/>
      <c r="C421" s="434"/>
      <c r="D421" s="434"/>
      <c r="E421" s="434"/>
      <c r="F421" s="434"/>
      <c r="G421" s="434"/>
      <c r="H421" s="434"/>
      <c r="I421" s="434"/>
      <c r="J421" s="434"/>
      <c r="K421" s="434"/>
      <c r="L421" s="434"/>
      <c r="M421" s="434"/>
      <c r="N421" s="434"/>
      <c r="O421" s="434"/>
      <c r="P421" s="434"/>
      <c r="Q421" s="434"/>
      <c r="R421" s="434"/>
      <c r="S421" s="434"/>
      <c r="T421" s="434"/>
      <c r="U421" s="434"/>
      <c r="V421" s="434"/>
      <c r="W421" s="434"/>
      <c r="X421" s="434"/>
      <c r="Y421" s="434"/>
      <c r="Z421" s="434"/>
      <c r="AA421" s="434"/>
    </row>
    <row r="422" spans="1:27" ht="15.75" customHeight="1" x14ac:dyDescent="0.35">
      <c r="A422" s="434"/>
      <c r="B422" s="434"/>
      <c r="C422" s="434"/>
      <c r="D422" s="434"/>
      <c r="E422" s="434"/>
      <c r="F422" s="434"/>
      <c r="G422" s="434"/>
      <c r="H422" s="434"/>
      <c r="I422" s="434"/>
      <c r="J422" s="434"/>
      <c r="K422" s="434"/>
      <c r="L422" s="434"/>
      <c r="M422" s="434"/>
      <c r="N422" s="434"/>
      <c r="O422" s="434"/>
      <c r="P422" s="434"/>
      <c r="Q422" s="434"/>
      <c r="R422" s="434"/>
      <c r="S422" s="434"/>
      <c r="T422" s="434"/>
      <c r="U422" s="434"/>
      <c r="V422" s="434"/>
      <c r="W422" s="434"/>
      <c r="X422" s="434"/>
      <c r="Y422" s="434"/>
      <c r="Z422" s="434"/>
      <c r="AA422" s="434"/>
    </row>
    <row r="423" spans="1:27" ht="15.75" customHeight="1" x14ac:dyDescent="0.35">
      <c r="A423" s="434"/>
      <c r="B423" s="434"/>
      <c r="C423" s="434"/>
      <c r="D423" s="434"/>
      <c r="E423" s="434"/>
      <c r="F423" s="434"/>
      <c r="G423" s="434"/>
      <c r="H423" s="434"/>
      <c r="I423" s="434"/>
      <c r="J423" s="434"/>
      <c r="K423" s="434"/>
      <c r="L423" s="434"/>
      <c r="M423" s="434"/>
      <c r="N423" s="434"/>
      <c r="O423" s="434"/>
      <c r="P423" s="434"/>
      <c r="Q423" s="434"/>
      <c r="R423" s="434"/>
      <c r="S423" s="434"/>
      <c r="T423" s="434"/>
      <c r="U423" s="434"/>
      <c r="V423" s="434"/>
      <c r="W423" s="434"/>
      <c r="X423" s="434"/>
      <c r="Y423" s="434"/>
      <c r="Z423" s="434"/>
      <c r="AA423" s="434"/>
    </row>
    <row r="424" spans="1:27" ht="15.75" customHeight="1" x14ac:dyDescent="0.35">
      <c r="A424" s="434"/>
      <c r="B424" s="434"/>
      <c r="C424" s="434"/>
      <c r="D424" s="434"/>
      <c r="E424" s="434"/>
      <c r="F424" s="434"/>
      <c r="G424" s="434"/>
      <c r="H424" s="434"/>
      <c r="I424" s="434"/>
      <c r="J424" s="434"/>
      <c r="K424" s="434"/>
      <c r="L424" s="434"/>
      <c r="M424" s="434"/>
      <c r="N424" s="434"/>
      <c r="O424" s="434"/>
      <c r="P424" s="434"/>
      <c r="Q424" s="434"/>
      <c r="R424" s="434"/>
      <c r="S424" s="434"/>
      <c r="T424" s="434"/>
      <c r="U424" s="434"/>
      <c r="V424" s="434"/>
      <c r="W424" s="434"/>
      <c r="X424" s="434"/>
      <c r="Y424" s="434"/>
      <c r="Z424" s="434"/>
      <c r="AA424" s="434"/>
    </row>
    <row r="425" spans="1:27" ht="15.75" customHeight="1" x14ac:dyDescent="0.35">
      <c r="A425" s="434"/>
      <c r="B425" s="434"/>
      <c r="C425" s="434"/>
      <c r="D425" s="434"/>
      <c r="E425" s="434"/>
      <c r="F425" s="434"/>
      <c r="G425" s="434"/>
      <c r="H425" s="434"/>
      <c r="I425" s="434"/>
      <c r="J425" s="434"/>
      <c r="K425" s="434"/>
      <c r="L425" s="434"/>
      <c r="M425" s="434"/>
      <c r="N425" s="434"/>
      <c r="O425" s="434"/>
      <c r="P425" s="434"/>
      <c r="Q425" s="434"/>
      <c r="R425" s="434"/>
      <c r="S425" s="434"/>
      <c r="T425" s="434"/>
      <c r="U425" s="434"/>
      <c r="V425" s="434"/>
      <c r="W425" s="434"/>
      <c r="X425" s="434"/>
      <c r="Y425" s="434"/>
      <c r="Z425" s="434"/>
      <c r="AA425" s="434"/>
    </row>
    <row r="426" spans="1:27" ht="15.75" customHeight="1" x14ac:dyDescent="0.35">
      <c r="A426" s="434"/>
      <c r="B426" s="434"/>
      <c r="C426" s="434"/>
      <c r="D426" s="434"/>
      <c r="E426" s="434"/>
      <c r="F426" s="434"/>
      <c r="G426" s="434"/>
      <c r="H426" s="434"/>
      <c r="I426" s="434"/>
      <c r="J426" s="434"/>
      <c r="K426" s="434"/>
      <c r="L426" s="434"/>
      <c r="M426" s="434"/>
      <c r="N426" s="434"/>
      <c r="O426" s="434"/>
      <c r="P426" s="434"/>
      <c r="Q426" s="434"/>
      <c r="R426" s="434"/>
      <c r="S426" s="434"/>
      <c r="T426" s="434"/>
      <c r="U426" s="434"/>
      <c r="V426" s="434"/>
      <c r="W426" s="434"/>
      <c r="X426" s="434"/>
      <c r="Y426" s="434"/>
      <c r="Z426" s="434"/>
      <c r="AA426" s="434"/>
    </row>
    <row r="427" spans="1:27" ht="15.75" customHeight="1" x14ac:dyDescent="0.35">
      <c r="A427" s="434"/>
      <c r="B427" s="434"/>
      <c r="C427" s="434"/>
      <c r="D427" s="434"/>
      <c r="E427" s="434"/>
      <c r="F427" s="434"/>
      <c r="G427" s="434"/>
      <c r="H427" s="434"/>
      <c r="I427" s="434"/>
      <c r="J427" s="434"/>
      <c r="K427" s="434"/>
      <c r="L427" s="434"/>
      <c r="M427" s="434"/>
      <c r="N427" s="434"/>
      <c r="O427" s="434"/>
      <c r="P427" s="434"/>
      <c r="Q427" s="434"/>
      <c r="R427" s="434"/>
      <c r="S427" s="434"/>
      <c r="T427" s="434"/>
      <c r="U427" s="434"/>
      <c r="V427" s="434"/>
      <c r="W427" s="434"/>
      <c r="X427" s="434"/>
      <c r="Y427" s="434"/>
      <c r="Z427" s="434"/>
      <c r="AA427" s="434"/>
    </row>
    <row r="428" spans="1:27" ht="15.75" customHeight="1" x14ac:dyDescent="0.35">
      <c r="A428" s="434"/>
      <c r="B428" s="434"/>
      <c r="C428" s="434"/>
      <c r="D428" s="434"/>
      <c r="E428" s="434"/>
      <c r="F428" s="434"/>
      <c r="G428" s="434"/>
      <c r="H428" s="434"/>
      <c r="I428" s="434"/>
      <c r="J428" s="434"/>
      <c r="K428" s="434"/>
      <c r="L428" s="434"/>
      <c r="M428" s="434"/>
      <c r="N428" s="434"/>
      <c r="O428" s="434"/>
      <c r="P428" s="434"/>
      <c r="Q428" s="434"/>
      <c r="R428" s="434"/>
      <c r="S428" s="434"/>
      <c r="T428" s="434"/>
      <c r="U428" s="434"/>
      <c r="V428" s="434"/>
      <c r="W428" s="434"/>
      <c r="X428" s="434"/>
      <c r="Y428" s="434"/>
      <c r="Z428" s="434"/>
      <c r="AA428" s="434"/>
    </row>
    <row r="429" spans="1:27" ht="15.75" customHeight="1" x14ac:dyDescent="0.35">
      <c r="A429" s="434"/>
      <c r="B429" s="434"/>
      <c r="C429" s="434"/>
      <c r="D429" s="434"/>
      <c r="E429" s="434"/>
      <c r="F429" s="434"/>
      <c r="G429" s="434"/>
      <c r="H429" s="434"/>
      <c r="I429" s="434"/>
      <c r="J429" s="434"/>
      <c r="K429" s="434"/>
      <c r="L429" s="434"/>
      <c r="M429" s="434"/>
      <c r="N429" s="434"/>
      <c r="O429" s="434"/>
      <c r="P429" s="434"/>
      <c r="Q429" s="434"/>
      <c r="R429" s="434"/>
      <c r="S429" s="434"/>
      <c r="T429" s="434"/>
      <c r="U429" s="434"/>
      <c r="V429" s="434"/>
      <c r="W429" s="434"/>
      <c r="X429" s="434"/>
      <c r="Y429" s="434"/>
      <c r="Z429" s="434"/>
      <c r="AA429" s="434"/>
    </row>
    <row r="430" spans="1:27" ht="15.75" customHeight="1" x14ac:dyDescent="0.35">
      <c r="A430" s="434"/>
      <c r="B430" s="434"/>
      <c r="C430" s="434"/>
      <c r="D430" s="434"/>
      <c r="E430" s="434"/>
      <c r="F430" s="434"/>
      <c r="G430" s="434"/>
      <c r="H430" s="434"/>
      <c r="I430" s="434"/>
      <c r="J430" s="434"/>
      <c r="K430" s="434"/>
      <c r="L430" s="434"/>
      <c r="M430" s="434"/>
      <c r="N430" s="434"/>
      <c r="O430" s="434"/>
      <c r="P430" s="434"/>
      <c r="Q430" s="434"/>
      <c r="R430" s="434"/>
      <c r="S430" s="434"/>
      <c r="T430" s="434"/>
      <c r="U430" s="434"/>
      <c r="V430" s="434"/>
      <c r="W430" s="434"/>
      <c r="X430" s="434"/>
      <c r="Y430" s="434"/>
      <c r="Z430" s="434"/>
      <c r="AA430" s="434"/>
    </row>
    <row r="431" spans="1:27" ht="15.75" customHeight="1" x14ac:dyDescent="0.35">
      <c r="A431" s="434"/>
      <c r="B431" s="434"/>
      <c r="C431" s="434"/>
      <c r="D431" s="434"/>
      <c r="E431" s="434"/>
      <c r="F431" s="434"/>
      <c r="G431" s="434"/>
      <c r="H431" s="434"/>
      <c r="I431" s="434"/>
      <c r="J431" s="434"/>
      <c r="K431" s="434"/>
      <c r="L431" s="434"/>
      <c r="M431" s="434"/>
      <c r="N431" s="434"/>
      <c r="O431" s="434"/>
      <c r="P431" s="434"/>
      <c r="Q431" s="434"/>
      <c r="R431" s="434"/>
      <c r="S431" s="434"/>
      <c r="T431" s="434"/>
      <c r="U431" s="434"/>
      <c r="V431" s="434"/>
      <c r="W431" s="434"/>
      <c r="X431" s="434"/>
      <c r="Y431" s="434"/>
      <c r="Z431" s="434"/>
      <c r="AA431" s="434"/>
    </row>
    <row r="432" spans="1:27" ht="15.75" customHeight="1" x14ac:dyDescent="0.35">
      <c r="A432" s="434"/>
      <c r="B432" s="434"/>
      <c r="C432" s="434"/>
      <c r="D432" s="434"/>
      <c r="E432" s="434"/>
      <c r="F432" s="434"/>
      <c r="G432" s="434"/>
      <c r="H432" s="434"/>
      <c r="I432" s="434"/>
      <c r="J432" s="434"/>
      <c r="K432" s="434"/>
      <c r="L432" s="434"/>
      <c r="M432" s="434"/>
      <c r="N432" s="434"/>
      <c r="O432" s="434"/>
      <c r="P432" s="434"/>
      <c r="Q432" s="434"/>
      <c r="R432" s="434"/>
      <c r="S432" s="434"/>
      <c r="T432" s="434"/>
      <c r="U432" s="434"/>
      <c r="V432" s="434"/>
      <c r="W432" s="434"/>
      <c r="X432" s="434"/>
      <c r="Y432" s="434"/>
      <c r="Z432" s="434"/>
      <c r="AA432" s="434"/>
    </row>
    <row r="433" spans="1:27" ht="15.75" customHeight="1" x14ac:dyDescent="0.35">
      <c r="A433" s="434"/>
      <c r="B433" s="434"/>
      <c r="C433" s="434"/>
      <c r="D433" s="434"/>
      <c r="E433" s="434"/>
      <c r="F433" s="434"/>
      <c r="G433" s="434"/>
      <c r="H433" s="434"/>
      <c r="I433" s="434"/>
      <c r="J433" s="434"/>
      <c r="K433" s="434"/>
      <c r="L433" s="434"/>
      <c r="M433" s="434"/>
      <c r="N433" s="434"/>
      <c r="O433" s="434"/>
      <c r="P433" s="434"/>
      <c r="Q433" s="434"/>
      <c r="R433" s="434"/>
      <c r="S433" s="434"/>
      <c r="T433" s="434"/>
      <c r="U433" s="434"/>
      <c r="V433" s="434"/>
      <c r="W433" s="434"/>
      <c r="X433" s="434"/>
      <c r="Y433" s="434"/>
      <c r="Z433" s="434"/>
      <c r="AA433" s="434"/>
    </row>
    <row r="434" spans="1:27" ht="15.75" customHeight="1" x14ac:dyDescent="0.35">
      <c r="A434" s="434"/>
      <c r="B434" s="434"/>
      <c r="C434" s="434"/>
      <c r="D434" s="434"/>
      <c r="E434" s="434"/>
      <c r="F434" s="434"/>
      <c r="G434" s="434"/>
      <c r="H434" s="434"/>
      <c r="I434" s="434"/>
      <c r="J434" s="434"/>
      <c r="K434" s="434"/>
      <c r="L434" s="434"/>
      <c r="M434" s="434"/>
      <c r="N434" s="434"/>
      <c r="O434" s="434"/>
      <c r="P434" s="434"/>
      <c r="Q434" s="434"/>
      <c r="R434" s="434"/>
      <c r="S434" s="434"/>
      <c r="T434" s="434"/>
      <c r="U434" s="434"/>
      <c r="V434" s="434"/>
      <c r="W434" s="434"/>
      <c r="X434" s="434"/>
      <c r="Y434" s="434"/>
      <c r="Z434" s="434"/>
      <c r="AA434" s="434"/>
    </row>
    <row r="435" spans="1:27" ht="15.75" customHeight="1" x14ac:dyDescent="0.35">
      <c r="A435" s="434"/>
      <c r="B435" s="434"/>
      <c r="C435" s="434"/>
      <c r="D435" s="434"/>
      <c r="E435" s="434"/>
      <c r="F435" s="434"/>
      <c r="G435" s="434"/>
      <c r="H435" s="434"/>
      <c r="I435" s="434"/>
      <c r="J435" s="434"/>
      <c r="K435" s="434"/>
      <c r="L435" s="434"/>
      <c r="M435" s="434"/>
      <c r="N435" s="434"/>
      <c r="O435" s="434"/>
      <c r="P435" s="434"/>
      <c r="Q435" s="434"/>
      <c r="R435" s="434"/>
      <c r="S435" s="434"/>
      <c r="T435" s="434"/>
      <c r="U435" s="434"/>
      <c r="V435" s="434"/>
      <c r="W435" s="434"/>
      <c r="X435" s="434"/>
      <c r="Y435" s="434"/>
      <c r="Z435" s="434"/>
      <c r="AA435" s="434"/>
    </row>
    <row r="436" spans="1:27" ht="15.75" customHeight="1" x14ac:dyDescent="0.35">
      <c r="A436" s="434"/>
      <c r="B436" s="434"/>
      <c r="C436" s="434"/>
      <c r="D436" s="434"/>
      <c r="E436" s="434"/>
      <c r="F436" s="434"/>
      <c r="G436" s="434"/>
      <c r="H436" s="434"/>
      <c r="I436" s="434"/>
      <c r="J436" s="434"/>
      <c r="K436" s="434"/>
      <c r="L436" s="434"/>
      <c r="M436" s="434"/>
      <c r="N436" s="434"/>
      <c r="O436" s="434"/>
      <c r="P436" s="434"/>
      <c r="Q436" s="434"/>
      <c r="R436" s="434"/>
      <c r="S436" s="434"/>
      <c r="T436" s="434"/>
      <c r="U436" s="434"/>
      <c r="V436" s="434"/>
      <c r="W436" s="434"/>
      <c r="X436" s="434"/>
      <c r="Y436" s="434"/>
      <c r="Z436" s="434"/>
      <c r="AA436" s="434"/>
    </row>
    <row r="437" spans="1:27" ht="15.75" customHeight="1" x14ac:dyDescent="0.35">
      <c r="A437" s="434"/>
      <c r="B437" s="434"/>
      <c r="C437" s="434"/>
      <c r="D437" s="434"/>
      <c r="E437" s="434"/>
      <c r="F437" s="434"/>
      <c r="G437" s="434"/>
      <c r="H437" s="434"/>
      <c r="I437" s="434"/>
      <c r="J437" s="434"/>
      <c r="K437" s="434"/>
      <c r="L437" s="434"/>
      <c r="M437" s="434"/>
      <c r="N437" s="434"/>
      <c r="O437" s="434"/>
      <c r="P437" s="434"/>
      <c r="Q437" s="434"/>
      <c r="R437" s="434"/>
      <c r="S437" s="434"/>
      <c r="T437" s="434"/>
      <c r="U437" s="434"/>
      <c r="V437" s="434"/>
      <c r="W437" s="434"/>
      <c r="X437" s="434"/>
      <c r="Y437" s="434"/>
      <c r="Z437" s="434"/>
      <c r="AA437" s="434"/>
    </row>
    <row r="438" spans="1:27" ht="15.75" customHeight="1" x14ac:dyDescent="0.35">
      <c r="A438" s="434"/>
      <c r="B438" s="434"/>
      <c r="C438" s="434"/>
      <c r="D438" s="434"/>
      <c r="E438" s="434"/>
      <c r="F438" s="434"/>
      <c r="G438" s="434"/>
      <c r="H438" s="434"/>
      <c r="I438" s="434"/>
      <c r="J438" s="434"/>
      <c r="K438" s="434"/>
      <c r="L438" s="434"/>
      <c r="M438" s="434"/>
      <c r="N438" s="434"/>
      <c r="O438" s="434"/>
      <c r="P438" s="434"/>
      <c r="Q438" s="434"/>
      <c r="R438" s="434"/>
      <c r="S438" s="434"/>
      <c r="T438" s="434"/>
      <c r="U438" s="434"/>
      <c r="V438" s="434"/>
      <c r="W438" s="434"/>
      <c r="X438" s="434"/>
      <c r="Y438" s="434"/>
      <c r="Z438" s="434"/>
      <c r="AA438" s="434"/>
    </row>
    <row r="439" spans="1:27" ht="15.75" customHeight="1" x14ac:dyDescent="0.35">
      <c r="A439" s="434"/>
      <c r="B439" s="434"/>
      <c r="C439" s="434"/>
      <c r="D439" s="434"/>
      <c r="E439" s="434"/>
      <c r="F439" s="434"/>
      <c r="G439" s="434"/>
      <c r="H439" s="434"/>
      <c r="I439" s="434"/>
      <c r="J439" s="434"/>
      <c r="K439" s="434"/>
      <c r="L439" s="434"/>
      <c r="M439" s="434"/>
      <c r="N439" s="434"/>
      <c r="O439" s="434"/>
      <c r="P439" s="434"/>
      <c r="Q439" s="434"/>
      <c r="R439" s="434"/>
      <c r="S439" s="434"/>
      <c r="T439" s="434"/>
      <c r="U439" s="434"/>
      <c r="V439" s="434"/>
      <c r="W439" s="434"/>
      <c r="X439" s="434"/>
      <c r="Y439" s="434"/>
      <c r="Z439" s="434"/>
      <c r="AA439" s="434"/>
    </row>
    <row r="440" spans="1:27" ht="15.75" customHeight="1" x14ac:dyDescent="0.35">
      <c r="A440" s="434"/>
      <c r="B440" s="434"/>
      <c r="C440" s="434"/>
      <c r="D440" s="434"/>
      <c r="E440" s="434"/>
      <c r="F440" s="434"/>
      <c r="G440" s="434"/>
      <c r="H440" s="434"/>
      <c r="I440" s="434"/>
      <c r="J440" s="434"/>
      <c r="K440" s="434"/>
      <c r="L440" s="434"/>
      <c r="M440" s="434"/>
      <c r="N440" s="434"/>
      <c r="O440" s="434"/>
      <c r="P440" s="434"/>
      <c r="Q440" s="434"/>
      <c r="R440" s="434"/>
      <c r="S440" s="434"/>
      <c r="T440" s="434"/>
      <c r="U440" s="434"/>
      <c r="V440" s="434"/>
      <c r="W440" s="434"/>
      <c r="X440" s="434"/>
      <c r="Y440" s="434"/>
      <c r="Z440" s="434"/>
      <c r="AA440" s="434"/>
    </row>
    <row r="441" spans="1:27" ht="15.75" customHeight="1" x14ac:dyDescent="0.35">
      <c r="A441" s="434"/>
      <c r="B441" s="434"/>
      <c r="C441" s="434"/>
      <c r="D441" s="434"/>
      <c r="E441" s="434"/>
      <c r="F441" s="434"/>
      <c r="G441" s="434"/>
      <c r="H441" s="434"/>
      <c r="I441" s="434"/>
      <c r="J441" s="434"/>
      <c r="K441" s="434"/>
      <c r="L441" s="434"/>
      <c r="M441" s="434"/>
      <c r="N441" s="434"/>
      <c r="O441" s="434"/>
      <c r="P441" s="434"/>
      <c r="Q441" s="434"/>
      <c r="R441" s="434"/>
      <c r="S441" s="434"/>
      <c r="T441" s="434"/>
      <c r="U441" s="434"/>
      <c r="V441" s="434"/>
      <c r="W441" s="434"/>
      <c r="X441" s="434"/>
      <c r="Y441" s="434"/>
      <c r="Z441" s="434"/>
      <c r="AA441" s="434"/>
    </row>
    <row r="442" spans="1:27" ht="15.75" customHeight="1" x14ac:dyDescent="0.35">
      <c r="A442" s="434"/>
      <c r="B442" s="434"/>
      <c r="C442" s="434"/>
      <c r="D442" s="434"/>
      <c r="E442" s="434"/>
      <c r="F442" s="434"/>
      <c r="G442" s="434"/>
      <c r="H442" s="434"/>
      <c r="I442" s="434"/>
      <c r="J442" s="434"/>
      <c r="K442" s="434"/>
      <c r="L442" s="434"/>
      <c r="M442" s="434"/>
      <c r="N442" s="434"/>
      <c r="O442" s="434"/>
      <c r="P442" s="434"/>
      <c r="Q442" s="434"/>
      <c r="R442" s="434"/>
      <c r="S442" s="434"/>
      <c r="T442" s="434"/>
      <c r="U442" s="434"/>
      <c r="V442" s="434"/>
      <c r="W442" s="434"/>
      <c r="X442" s="434"/>
      <c r="Y442" s="434"/>
      <c r="Z442" s="434"/>
      <c r="AA442" s="434"/>
    </row>
    <row r="443" spans="1:27" ht="15.75" customHeight="1" x14ac:dyDescent="0.35">
      <c r="A443" s="434"/>
      <c r="B443" s="434"/>
      <c r="C443" s="434"/>
      <c r="D443" s="434"/>
      <c r="E443" s="434"/>
      <c r="F443" s="434"/>
      <c r="G443" s="434"/>
      <c r="H443" s="434"/>
      <c r="I443" s="434"/>
      <c r="J443" s="434"/>
      <c r="K443" s="434"/>
      <c r="L443" s="434"/>
      <c r="M443" s="434"/>
      <c r="N443" s="434"/>
      <c r="O443" s="434"/>
      <c r="P443" s="434"/>
      <c r="Q443" s="434"/>
      <c r="R443" s="434"/>
      <c r="S443" s="434"/>
      <c r="T443" s="434"/>
      <c r="U443" s="434"/>
      <c r="V443" s="434"/>
      <c r="W443" s="434"/>
      <c r="X443" s="434"/>
      <c r="Y443" s="434"/>
      <c r="Z443" s="434"/>
      <c r="AA443" s="434"/>
    </row>
    <row r="444" spans="1:27" ht="15.75" customHeight="1" x14ac:dyDescent="0.35">
      <c r="A444" s="434"/>
      <c r="B444" s="434"/>
      <c r="C444" s="434"/>
      <c r="D444" s="434"/>
      <c r="E444" s="434"/>
      <c r="F444" s="434"/>
      <c r="G444" s="434"/>
      <c r="H444" s="434"/>
      <c r="I444" s="434"/>
      <c r="J444" s="434"/>
      <c r="K444" s="434"/>
      <c r="L444" s="434"/>
      <c r="M444" s="434"/>
      <c r="N444" s="434"/>
      <c r="O444" s="434"/>
      <c r="P444" s="434"/>
      <c r="Q444" s="434"/>
      <c r="R444" s="434"/>
      <c r="S444" s="434"/>
      <c r="T444" s="434"/>
      <c r="U444" s="434"/>
      <c r="V444" s="434"/>
      <c r="W444" s="434"/>
      <c r="X444" s="434"/>
      <c r="Y444" s="434"/>
      <c r="Z444" s="434"/>
      <c r="AA444" s="434"/>
    </row>
    <row r="445" spans="1:27" ht="15.75" customHeight="1" x14ac:dyDescent="0.35">
      <c r="A445" s="434"/>
      <c r="B445" s="434"/>
      <c r="C445" s="434"/>
      <c r="D445" s="434"/>
      <c r="E445" s="434"/>
      <c r="F445" s="434"/>
      <c r="G445" s="434"/>
      <c r="H445" s="434"/>
      <c r="I445" s="434"/>
      <c r="J445" s="434"/>
      <c r="K445" s="434"/>
      <c r="L445" s="434"/>
      <c r="M445" s="434"/>
      <c r="N445" s="434"/>
      <c r="O445" s="434"/>
      <c r="P445" s="434"/>
      <c r="Q445" s="434"/>
      <c r="R445" s="434"/>
      <c r="S445" s="434"/>
      <c r="T445" s="434"/>
      <c r="U445" s="434"/>
      <c r="V445" s="434"/>
      <c r="W445" s="434"/>
      <c r="X445" s="434"/>
      <c r="Y445" s="434"/>
      <c r="Z445" s="434"/>
      <c r="AA445" s="434"/>
    </row>
    <row r="446" spans="1:27" ht="15.75" customHeight="1" x14ac:dyDescent="0.35">
      <c r="A446" s="434"/>
      <c r="B446" s="434"/>
      <c r="C446" s="434"/>
      <c r="D446" s="434"/>
      <c r="E446" s="434"/>
      <c r="F446" s="434"/>
      <c r="G446" s="434"/>
      <c r="H446" s="434"/>
      <c r="I446" s="434"/>
      <c r="J446" s="434"/>
      <c r="K446" s="434"/>
      <c r="L446" s="434"/>
      <c r="M446" s="434"/>
      <c r="N446" s="434"/>
      <c r="O446" s="434"/>
      <c r="P446" s="434"/>
      <c r="Q446" s="434"/>
      <c r="R446" s="434"/>
      <c r="S446" s="434"/>
      <c r="T446" s="434"/>
      <c r="U446" s="434"/>
      <c r="V446" s="434"/>
      <c r="W446" s="434"/>
      <c r="X446" s="434"/>
      <c r="Y446" s="434"/>
      <c r="Z446" s="434"/>
      <c r="AA446" s="434"/>
    </row>
    <row r="447" spans="1:27" ht="15.75" customHeight="1" x14ac:dyDescent="0.35">
      <c r="A447" s="434"/>
      <c r="B447" s="434"/>
      <c r="C447" s="434"/>
      <c r="D447" s="434"/>
      <c r="E447" s="434"/>
      <c r="F447" s="434"/>
      <c r="G447" s="434"/>
      <c r="H447" s="434"/>
      <c r="I447" s="434"/>
      <c r="J447" s="434"/>
      <c r="K447" s="434"/>
      <c r="L447" s="434"/>
      <c r="M447" s="434"/>
      <c r="N447" s="434"/>
      <c r="O447" s="434"/>
      <c r="P447" s="434"/>
      <c r="Q447" s="434"/>
      <c r="R447" s="434"/>
      <c r="S447" s="434"/>
      <c r="T447" s="434"/>
      <c r="U447" s="434"/>
      <c r="V447" s="434"/>
      <c r="W447" s="434"/>
      <c r="X447" s="434"/>
      <c r="Y447" s="434"/>
      <c r="Z447" s="434"/>
      <c r="AA447" s="434"/>
    </row>
    <row r="448" spans="1:27" ht="15.75" customHeight="1" x14ac:dyDescent="0.35">
      <c r="A448" s="434"/>
      <c r="B448" s="434"/>
      <c r="C448" s="434"/>
      <c r="D448" s="434"/>
      <c r="E448" s="434"/>
      <c r="F448" s="434"/>
      <c r="G448" s="434"/>
      <c r="H448" s="434"/>
      <c r="I448" s="434"/>
      <c r="J448" s="434"/>
      <c r="K448" s="434"/>
      <c r="L448" s="434"/>
      <c r="M448" s="434"/>
      <c r="N448" s="434"/>
      <c r="O448" s="434"/>
      <c r="P448" s="434"/>
      <c r="Q448" s="434"/>
      <c r="R448" s="434"/>
      <c r="S448" s="434"/>
      <c r="T448" s="434"/>
      <c r="U448" s="434"/>
      <c r="V448" s="434"/>
      <c r="W448" s="434"/>
      <c r="X448" s="434"/>
      <c r="Y448" s="434"/>
      <c r="Z448" s="434"/>
      <c r="AA448" s="434"/>
    </row>
    <row r="449" spans="1:27" ht="15.75" customHeight="1" x14ac:dyDescent="0.35">
      <c r="A449" s="434"/>
      <c r="B449" s="434"/>
      <c r="C449" s="434"/>
      <c r="D449" s="434"/>
      <c r="E449" s="434"/>
      <c r="F449" s="434"/>
      <c r="G449" s="434"/>
      <c r="H449" s="434"/>
      <c r="I449" s="434"/>
      <c r="J449" s="434"/>
      <c r="K449" s="434"/>
      <c r="L449" s="434"/>
      <c r="M449" s="434"/>
      <c r="N449" s="434"/>
      <c r="O449" s="434"/>
      <c r="P449" s="434"/>
      <c r="Q449" s="434"/>
      <c r="R449" s="434"/>
      <c r="S449" s="434"/>
      <c r="T449" s="434"/>
      <c r="U449" s="434"/>
      <c r="V449" s="434"/>
      <c r="W449" s="434"/>
      <c r="X449" s="434"/>
      <c r="Y449" s="434"/>
      <c r="Z449" s="434"/>
      <c r="AA449" s="434"/>
    </row>
    <row r="450" spans="1:27" ht="15.75" customHeight="1" x14ac:dyDescent="0.35">
      <c r="A450" s="434"/>
      <c r="B450" s="434"/>
      <c r="C450" s="434"/>
      <c r="D450" s="434"/>
      <c r="E450" s="434"/>
      <c r="F450" s="434"/>
      <c r="G450" s="434"/>
      <c r="H450" s="434"/>
      <c r="I450" s="434"/>
      <c r="J450" s="434"/>
      <c r="K450" s="434"/>
      <c r="L450" s="434"/>
      <c r="M450" s="434"/>
      <c r="N450" s="434"/>
      <c r="O450" s="434"/>
      <c r="P450" s="434"/>
      <c r="Q450" s="434"/>
      <c r="R450" s="434"/>
      <c r="S450" s="434"/>
      <c r="T450" s="434"/>
      <c r="U450" s="434"/>
      <c r="V450" s="434"/>
      <c r="W450" s="434"/>
      <c r="X450" s="434"/>
      <c r="Y450" s="434"/>
      <c r="Z450" s="434"/>
      <c r="AA450" s="434"/>
    </row>
    <row r="451" spans="1:27" ht="15.75" customHeight="1" x14ac:dyDescent="0.35">
      <c r="A451" s="434"/>
      <c r="B451" s="434"/>
      <c r="C451" s="434"/>
      <c r="D451" s="434"/>
      <c r="E451" s="434"/>
      <c r="F451" s="434"/>
      <c r="G451" s="434"/>
      <c r="H451" s="434"/>
      <c r="I451" s="434"/>
      <c r="J451" s="434"/>
      <c r="K451" s="434"/>
      <c r="L451" s="434"/>
      <c r="M451" s="434"/>
      <c r="N451" s="434"/>
      <c r="O451" s="434"/>
      <c r="P451" s="434"/>
      <c r="Q451" s="434"/>
      <c r="R451" s="434"/>
      <c r="S451" s="434"/>
      <c r="T451" s="434"/>
      <c r="U451" s="434"/>
      <c r="V451" s="434"/>
      <c r="W451" s="434"/>
      <c r="X451" s="434"/>
      <c r="Y451" s="434"/>
      <c r="Z451" s="434"/>
      <c r="AA451" s="434"/>
    </row>
    <row r="452" spans="1:27" ht="15.75" customHeight="1" x14ac:dyDescent="0.35">
      <c r="A452" s="434"/>
      <c r="B452" s="434"/>
      <c r="C452" s="434"/>
      <c r="D452" s="434"/>
      <c r="E452" s="434"/>
      <c r="F452" s="434"/>
      <c r="G452" s="434"/>
      <c r="H452" s="434"/>
      <c r="I452" s="434"/>
      <c r="J452" s="434"/>
      <c r="K452" s="434"/>
      <c r="L452" s="434"/>
      <c r="M452" s="434"/>
      <c r="N452" s="434"/>
      <c r="O452" s="434"/>
      <c r="P452" s="434"/>
      <c r="Q452" s="434"/>
      <c r="R452" s="434"/>
      <c r="S452" s="434"/>
      <c r="T452" s="434"/>
      <c r="U452" s="434"/>
      <c r="V452" s="434"/>
      <c r="W452" s="434"/>
      <c r="X452" s="434"/>
      <c r="Y452" s="434"/>
      <c r="Z452" s="434"/>
      <c r="AA452" s="434"/>
    </row>
    <row r="453" spans="1:27" ht="15.75" customHeight="1" x14ac:dyDescent="0.35">
      <c r="A453" s="434"/>
      <c r="B453" s="434"/>
      <c r="C453" s="434"/>
      <c r="D453" s="434"/>
      <c r="E453" s="434"/>
      <c r="F453" s="434"/>
      <c r="G453" s="434"/>
      <c r="H453" s="434"/>
      <c r="I453" s="434"/>
      <c r="J453" s="434"/>
      <c r="K453" s="434"/>
      <c r="L453" s="434"/>
      <c r="M453" s="434"/>
      <c r="N453" s="434"/>
      <c r="O453" s="434"/>
      <c r="P453" s="434"/>
      <c r="Q453" s="434"/>
      <c r="R453" s="434"/>
      <c r="S453" s="434"/>
      <c r="T453" s="434"/>
      <c r="U453" s="434"/>
      <c r="V453" s="434"/>
      <c r="W453" s="434"/>
      <c r="X453" s="434"/>
      <c r="Y453" s="434"/>
      <c r="Z453" s="434"/>
      <c r="AA453" s="434"/>
    </row>
    <row r="454" spans="1:27" ht="15.75" customHeight="1" x14ac:dyDescent="0.35">
      <c r="A454" s="434"/>
      <c r="B454" s="434"/>
      <c r="C454" s="434"/>
      <c r="D454" s="434"/>
      <c r="E454" s="434"/>
      <c r="F454" s="434"/>
      <c r="G454" s="434"/>
      <c r="H454" s="434"/>
      <c r="I454" s="434"/>
      <c r="J454" s="434"/>
      <c r="K454" s="434"/>
      <c r="L454" s="434"/>
      <c r="M454" s="434"/>
      <c r="N454" s="434"/>
      <c r="O454" s="434"/>
      <c r="P454" s="434"/>
      <c r="Q454" s="434"/>
      <c r="R454" s="434"/>
      <c r="S454" s="434"/>
      <c r="T454" s="434"/>
      <c r="U454" s="434"/>
      <c r="V454" s="434"/>
      <c r="W454" s="434"/>
      <c r="X454" s="434"/>
      <c r="Y454" s="434"/>
      <c r="Z454" s="434"/>
      <c r="AA454" s="434"/>
    </row>
    <row r="455" spans="1:27" ht="15.75" customHeight="1" x14ac:dyDescent="0.35">
      <c r="A455" s="434"/>
      <c r="B455" s="434"/>
      <c r="C455" s="434"/>
      <c r="D455" s="434"/>
      <c r="E455" s="434"/>
      <c r="F455" s="434"/>
      <c r="G455" s="434"/>
      <c r="H455" s="434"/>
      <c r="I455" s="434"/>
      <c r="J455" s="434"/>
      <c r="K455" s="434"/>
      <c r="L455" s="434"/>
      <c r="M455" s="434"/>
      <c r="N455" s="434"/>
      <c r="O455" s="434"/>
      <c r="P455" s="434"/>
      <c r="Q455" s="434"/>
      <c r="R455" s="434"/>
      <c r="S455" s="434"/>
      <c r="T455" s="434"/>
      <c r="U455" s="434"/>
      <c r="V455" s="434"/>
      <c r="W455" s="434"/>
      <c r="X455" s="434"/>
      <c r="Y455" s="434"/>
      <c r="Z455" s="434"/>
      <c r="AA455" s="434"/>
    </row>
    <row r="456" spans="1:27" ht="15.75" customHeight="1" x14ac:dyDescent="0.35">
      <c r="A456" s="434"/>
      <c r="B456" s="434"/>
      <c r="C456" s="434"/>
      <c r="D456" s="434"/>
      <c r="E456" s="434"/>
      <c r="F456" s="434"/>
      <c r="G456" s="434"/>
      <c r="H456" s="434"/>
      <c r="I456" s="434"/>
      <c r="J456" s="434"/>
      <c r="K456" s="434"/>
      <c r="L456" s="434"/>
      <c r="M456" s="434"/>
      <c r="N456" s="434"/>
      <c r="O456" s="434"/>
      <c r="P456" s="434"/>
      <c r="Q456" s="434"/>
      <c r="R456" s="434"/>
      <c r="S456" s="434"/>
      <c r="T456" s="434"/>
      <c r="U456" s="434"/>
      <c r="V456" s="434"/>
      <c r="W456" s="434"/>
      <c r="X456" s="434"/>
      <c r="Y456" s="434"/>
      <c r="Z456" s="434"/>
      <c r="AA456" s="434"/>
    </row>
    <row r="457" spans="1:27" ht="15.75" customHeight="1" x14ac:dyDescent="0.35">
      <c r="A457" s="434"/>
      <c r="B457" s="434"/>
      <c r="C457" s="434"/>
      <c r="D457" s="434"/>
      <c r="E457" s="434"/>
      <c r="F457" s="434"/>
      <c r="G457" s="434"/>
      <c r="H457" s="434"/>
      <c r="I457" s="434"/>
      <c r="J457" s="434"/>
      <c r="K457" s="434"/>
      <c r="L457" s="434"/>
      <c r="M457" s="434"/>
      <c r="N457" s="434"/>
      <c r="O457" s="434"/>
      <c r="P457" s="434"/>
      <c r="Q457" s="434"/>
      <c r="R457" s="434"/>
      <c r="S457" s="434"/>
      <c r="T457" s="434"/>
      <c r="U457" s="434"/>
      <c r="V457" s="434"/>
      <c r="W457" s="434"/>
      <c r="X457" s="434"/>
      <c r="Y457" s="434"/>
      <c r="Z457" s="434"/>
      <c r="AA457" s="434"/>
    </row>
    <row r="458" spans="1:27" ht="15.75" customHeight="1" x14ac:dyDescent="0.35">
      <c r="A458" s="434"/>
      <c r="B458" s="434"/>
      <c r="C458" s="434"/>
      <c r="D458" s="434"/>
      <c r="E458" s="434"/>
      <c r="F458" s="434"/>
      <c r="G458" s="434"/>
      <c r="H458" s="434"/>
      <c r="I458" s="434"/>
      <c r="J458" s="434"/>
      <c r="K458" s="434"/>
      <c r="L458" s="434"/>
      <c r="M458" s="434"/>
      <c r="N458" s="434"/>
      <c r="O458" s="434"/>
      <c r="P458" s="434"/>
      <c r="Q458" s="434"/>
      <c r="R458" s="434"/>
      <c r="S458" s="434"/>
      <c r="T458" s="434"/>
      <c r="U458" s="434"/>
      <c r="V458" s="434"/>
      <c r="W458" s="434"/>
      <c r="X458" s="434"/>
      <c r="Y458" s="434"/>
      <c r="Z458" s="434"/>
      <c r="AA458" s="434"/>
    </row>
    <row r="459" spans="1:27" ht="15.75" customHeight="1" x14ac:dyDescent="0.35">
      <c r="A459" s="434"/>
      <c r="B459" s="434"/>
      <c r="C459" s="434"/>
      <c r="D459" s="434"/>
      <c r="E459" s="434"/>
      <c r="F459" s="434"/>
      <c r="G459" s="434"/>
      <c r="H459" s="434"/>
      <c r="I459" s="434"/>
      <c r="J459" s="434"/>
      <c r="K459" s="434"/>
      <c r="L459" s="434"/>
      <c r="M459" s="434"/>
      <c r="N459" s="434"/>
      <c r="O459" s="434"/>
      <c r="P459" s="434"/>
      <c r="Q459" s="434"/>
      <c r="R459" s="434"/>
      <c r="S459" s="434"/>
      <c r="T459" s="434"/>
      <c r="U459" s="434"/>
      <c r="V459" s="434"/>
      <c r="W459" s="434"/>
      <c r="X459" s="434"/>
      <c r="Y459" s="434"/>
      <c r="Z459" s="434"/>
      <c r="AA459" s="434"/>
    </row>
    <row r="460" spans="1:27" ht="15.75" customHeight="1" x14ac:dyDescent="0.35">
      <c r="A460" s="434"/>
      <c r="B460" s="434"/>
      <c r="C460" s="434"/>
      <c r="D460" s="434"/>
      <c r="E460" s="434"/>
      <c r="F460" s="434"/>
      <c r="G460" s="434"/>
      <c r="H460" s="434"/>
      <c r="I460" s="434"/>
      <c r="J460" s="434"/>
      <c r="K460" s="434"/>
      <c r="L460" s="434"/>
      <c r="M460" s="434"/>
      <c r="N460" s="434"/>
      <c r="O460" s="434"/>
      <c r="P460" s="434"/>
      <c r="Q460" s="434"/>
      <c r="R460" s="434"/>
      <c r="S460" s="434"/>
      <c r="T460" s="434"/>
      <c r="U460" s="434"/>
      <c r="V460" s="434"/>
      <c r="W460" s="434"/>
      <c r="X460" s="434"/>
      <c r="Y460" s="434"/>
      <c r="Z460" s="434"/>
      <c r="AA460" s="434"/>
    </row>
    <row r="461" spans="1:27" ht="15.75" customHeight="1" x14ac:dyDescent="0.35">
      <c r="A461" s="434"/>
      <c r="B461" s="434"/>
      <c r="C461" s="434"/>
      <c r="D461" s="434"/>
      <c r="E461" s="434"/>
      <c r="F461" s="434"/>
      <c r="G461" s="434"/>
      <c r="H461" s="434"/>
      <c r="I461" s="434"/>
      <c r="J461" s="434"/>
      <c r="K461" s="434"/>
      <c r="L461" s="434"/>
      <c r="M461" s="434"/>
      <c r="N461" s="434"/>
      <c r="O461" s="434"/>
      <c r="P461" s="434"/>
      <c r="Q461" s="434"/>
      <c r="R461" s="434"/>
      <c r="S461" s="434"/>
      <c r="T461" s="434"/>
      <c r="U461" s="434"/>
      <c r="V461" s="434"/>
      <c r="W461" s="434"/>
      <c r="X461" s="434"/>
      <c r="Y461" s="434"/>
      <c r="Z461" s="434"/>
      <c r="AA461" s="434"/>
    </row>
    <row r="462" spans="1:27" ht="15.75" customHeight="1" x14ac:dyDescent="0.35">
      <c r="A462" s="434"/>
      <c r="B462" s="434"/>
      <c r="C462" s="434"/>
      <c r="D462" s="434"/>
      <c r="E462" s="434"/>
      <c r="F462" s="434"/>
      <c r="G462" s="434"/>
      <c r="H462" s="434"/>
      <c r="I462" s="434"/>
      <c r="J462" s="434"/>
      <c r="K462" s="434"/>
      <c r="L462" s="434"/>
      <c r="M462" s="434"/>
      <c r="N462" s="434"/>
      <c r="O462" s="434"/>
      <c r="P462" s="434"/>
      <c r="Q462" s="434"/>
      <c r="R462" s="434"/>
      <c r="S462" s="434"/>
      <c r="T462" s="434"/>
      <c r="U462" s="434"/>
      <c r="V462" s="434"/>
      <c r="W462" s="434"/>
      <c r="X462" s="434"/>
      <c r="Y462" s="434"/>
      <c r="Z462" s="434"/>
      <c r="AA462" s="434"/>
    </row>
    <row r="463" spans="1:27" ht="15.75" customHeight="1" x14ac:dyDescent="0.35">
      <c r="A463" s="434"/>
      <c r="B463" s="434"/>
      <c r="C463" s="434"/>
      <c r="D463" s="434"/>
      <c r="E463" s="434"/>
      <c r="F463" s="434"/>
      <c r="G463" s="434"/>
      <c r="H463" s="434"/>
      <c r="I463" s="434"/>
      <c r="J463" s="434"/>
      <c r="K463" s="434"/>
      <c r="L463" s="434"/>
      <c r="M463" s="434"/>
      <c r="N463" s="434"/>
      <c r="O463" s="434"/>
      <c r="P463" s="434"/>
      <c r="Q463" s="434"/>
      <c r="R463" s="434"/>
      <c r="S463" s="434"/>
      <c r="T463" s="434"/>
      <c r="U463" s="434"/>
      <c r="V463" s="434"/>
      <c r="W463" s="434"/>
      <c r="X463" s="434"/>
      <c r="Y463" s="434"/>
      <c r="Z463" s="434"/>
      <c r="AA463" s="434"/>
    </row>
    <row r="464" spans="1:27" ht="15.75" customHeight="1" x14ac:dyDescent="0.35">
      <c r="A464" s="434"/>
      <c r="B464" s="434"/>
      <c r="C464" s="434"/>
      <c r="D464" s="434"/>
      <c r="E464" s="434"/>
      <c r="F464" s="434"/>
      <c r="G464" s="434"/>
      <c r="H464" s="434"/>
      <c r="I464" s="434"/>
      <c r="J464" s="434"/>
      <c r="K464" s="434"/>
      <c r="L464" s="434"/>
      <c r="M464" s="434"/>
      <c r="N464" s="434"/>
      <c r="O464" s="434"/>
      <c r="P464" s="434"/>
      <c r="Q464" s="434"/>
      <c r="R464" s="434"/>
      <c r="S464" s="434"/>
      <c r="T464" s="434"/>
      <c r="U464" s="434"/>
      <c r="V464" s="434"/>
      <c r="W464" s="434"/>
      <c r="X464" s="434"/>
      <c r="Y464" s="434"/>
      <c r="Z464" s="434"/>
      <c r="AA464" s="434"/>
    </row>
    <row r="465" spans="1:27" ht="15.75" customHeight="1" x14ac:dyDescent="0.35">
      <c r="A465" s="434"/>
      <c r="B465" s="434"/>
      <c r="C465" s="434"/>
      <c r="D465" s="434"/>
      <c r="E465" s="434"/>
      <c r="F465" s="434"/>
      <c r="G465" s="434"/>
      <c r="H465" s="434"/>
      <c r="I465" s="434"/>
      <c r="J465" s="434"/>
      <c r="K465" s="434"/>
      <c r="L465" s="434"/>
      <c r="M465" s="434"/>
      <c r="N465" s="434"/>
      <c r="O465" s="434"/>
      <c r="P465" s="434"/>
      <c r="Q465" s="434"/>
      <c r="R465" s="434"/>
      <c r="S465" s="434"/>
      <c r="T465" s="434"/>
      <c r="U465" s="434"/>
      <c r="V465" s="434"/>
      <c r="W465" s="434"/>
      <c r="X465" s="434"/>
      <c r="Y465" s="434"/>
      <c r="Z465" s="434"/>
      <c r="AA465" s="434"/>
    </row>
    <row r="466" spans="1:27" ht="15.75" customHeight="1" x14ac:dyDescent="0.35">
      <c r="A466" s="434"/>
      <c r="B466" s="434"/>
      <c r="C466" s="434"/>
      <c r="D466" s="434"/>
      <c r="E466" s="434"/>
      <c r="F466" s="434"/>
      <c r="G466" s="434"/>
      <c r="H466" s="434"/>
      <c r="I466" s="434"/>
      <c r="J466" s="434"/>
      <c r="K466" s="434"/>
      <c r="L466" s="434"/>
      <c r="M466" s="434"/>
      <c r="N466" s="434"/>
      <c r="O466" s="434"/>
      <c r="P466" s="434"/>
      <c r="Q466" s="434"/>
      <c r="R466" s="434"/>
      <c r="S466" s="434"/>
      <c r="T466" s="434"/>
      <c r="U466" s="434"/>
      <c r="V466" s="434"/>
      <c r="W466" s="434"/>
      <c r="X466" s="434"/>
      <c r="Y466" s="434"/>
      <c r="Z466" s="434"/>
      <c r="AA466" s="434"/>
    </row>
    <row r="467" spans="1:27" ht="15.75" customHeight="1" x14ac:dyDescent="0.35">
      <c r="A467" s="434"/>
      <c r="B467" s="434"/>
      <c r="C467" s="434"/>
      <c r="D467" s="434"/>
      <c r="E467" s="434"/>
      <c r="F467" s="434"/>
      <c r="G467" s="434"/>
      <c r="H467" s="434"/>
      <c r="I467" s="434"/>
      <c r="J467" s="434"/>
      <c r="K467" s="434"/>
      <c r="L467" s="434"/>
      <c r="M467" s="434"/>
      <c r="N467" s="434"/>
      <c r="O467" s="434"/>
      <c r="P467" s="434"/>
      <c r="Q467" s="434"/>
      <c r="R467" s="434"/>
      <c r="S467" s="434"/>
      <c r="T467" s="434"/>
      <c r="U467" s="434"/>
      <c r="V467" s="434"/>
      <c r="W467" s="434"/>
      <c r="X467" s="434"/>
      <c r="Y467" s="434"/>
      <c r="Z467" s="434"/>
      <c r="AA467" s="434"/>
    </row>
    <row r="468" spans="1:27" ht="15.75" customHeight="1" x14ac:dyDescent="0.35">
      <c r="A468" s="434"/>
      <c r="B468" s="434"/>
      <c r="C468" s="434"/>
      <c r="D468" s="434"/>
      <c r="E468" s="434"/>
      <c r="F468" s="434"/>
      <c r="G468" s="434"/>
      <c r="H468" s="434"/>
      <c r="I468" s="434"/>
      <c r="J468" s="434"/>
      <c r="K468" s="434"/>
      <c r="L468" s="434"/>
      <c r="M468" s="434"/>
      <c r="N468" s="434"/>
      <c r="O468" s="434"/>
      <c r="P468" s="434"/>
      <c r="Q468" s="434"/>
      <c r="R468" s="434"/>
      <c r="S468" s="434"/>
      <c r="T468" s="434"/>
      <c r="U468" s="434"/>
      <c r="V468" s="434"/>
      <c r="W468" s="434"/>
      <c r="X468" s="434"/>
      <c r="Y468" s="434"/>
      <c r="Z468" s="434"/>
      <c r="AA468" s="434"/>
    </row>
    <row r="469" spans="1:27" ht="15.75" customHeight="1" x14ac:dyDescent="0.35">
      <c r="A469" s="434"/>
      <c r="B469" s="434"/>
      <c r="C469" s="434"/>
      <c r="D469" s="434"/>
      <c r="E469" s="434"/>
      <c r="F469" s="434"/>
      <c r="G469" s="434"/>
      <c r="H469" s="434"/>
      <c r="I469" s="434"/>
      <c r="J469" s="434"/>
      <c r="K469" s="434"/>
      <c r="L469" s="434"/>
      <c r="M469" s="434"/>
      <c r="N469" s="434"/>
      <c r="O469" s="434"/>
      <c r="P469" s="434"/>
      <c r="Q469" s="434"/>
      <c r="R469" s="434"/>
      <c r="S469" s="434"/>
      <c r="T469" s="434"/>
      <c r="U469" s="434"/>
      <c r="V469" s="434"/>
      <c r="W469" s="434"/>
      <c r="X469" s="434"/>
      <c r="Y469" s="434"/>
      <c r="Z469" s="434"/>
      <c r="AA469" s="434"/>
    </row>
    <row r="470" spans="1:27" ht="15.75" customHeight="1" x14ac:dyDescent="0.35">
      <c r="A470" s="434"/>
      <c r="B470" s="434"/>
      <c r="C470" s="434"/>
      <c r="D470" s="434"/>
      <c r="E470" s="434"/>
      <c r="F470" s="434"/>
      <c r="G470" s="434"/>
      <c r="H470" s="434"/>
      <c r="I470" s="434"/>
      <c r="J470" s="434"/>
      <c r="K470" s="434"/>
      <c r="L470" s="434"/>
      <c r="M470" s="434"/>
      <c r="N470" s="434"/>
      <c r="O470" s="434"/>
      <c r="P470" s="434"/>
      <c r="Q470" s="434"/>
      <c r="R470" s="434"/>
      <c r="S470" s="434"/>
      <c r="T470" s="434"/>
      <c r="U470" s="434"/>
      <c r="V470" s="434"/>
      <c r="W470" s="434"/>
      <c r="X470" s="434"/>
      <c r="Y470" s="434"/>
      <c r="Z470" s="434"/>
      <c r="AA470" s="434"/>
    </row>
    <row r="471" spans="1:27" ht="15.75" customHeight="1" x14ac:dyDescent="0.35">
      <c r="A471" s="434"/>
      <c r="B471" s="434"/>
      <c r="C471" s="434"/>
      <c r="D471" s="434"/>
      <c r="E471" s="434"/>
      <c r="F471" s="434"/>
      <c r="G471" s="434"/>
      <c r="H471" s="434"/>
      <c r="I471" s="434"/>
      <c r="J471" s="434"/>
      <c r="K471" s="434"/>
      <c r="L471" s="434"/>
      <c r="M471" s="434"/>
      <c r="N471" s="434"/>
      <c r="O471" s="434"/>
      <c r="P471" s="434"/>
      <c r="Q471" s="434"/>
      <c r="R471" s="434"/>
      <c r="S471" s="434"/>
      <c r="T471" s="434"/>
      <c r="U471" s="434"/>
      <c r="V471" s="434"/>
      <c r="W471" s="434"/>
      <c r="X471" s="434"/>
      <c r="Y471" s="434"/>
      <c r="Z471" s="434"/>
      <c r="AA471" s="434"/>
    </row>
    <row r="472" spans="1:27" ht="15.75" customHeight="1" x14ac:dyDescent="0.35">
      <c r="A472" s="434"/>
      <c r="B472" s="434"/>
      <c r="C472" s="434"/>
      <c r="D472" s="434"/>
      <c r="E472" s="434"/>
      <c r="F472" s="434"/>
      <c r="G472" s="434"/>
      <c r="H472" s="434"/>
      <c r="I472" s="434"/>
      <c r="J472" s="434"/>
      <c r="K472" s="434"/>
      <c r="L472" s="434"/>
      <c r="M472" s="434"/>
      <c r="N472" s="434"/>
      <c r="O472" s="434"/>
      <c r="P472" s="434"/>
      <c r="Q472" s="434"/>
      <c r="R472" s="434"/>
      <c r="S472" s="434"/>
      <c r="T472" s="434"/>
      <c r="U472" s="434"/>
      <c r="V472" s="434"/>
      <c r="W472" s="434"/>
      <c r="X472" s="434"/>
      <c r="Y472" s="434"/>
      <c r="Z472" s="434"/>
      <c r="AA472" s="434"/>
    </row>
    <row r="473" spans="1:27" ht="15.75" customHeight="1" x14ac:dyDescent="0.35">
      <c r="A473" s="434"/>
      <c r="B473" s="434"/>
      <c r="C473" s="434"/>
      <c r="D473" s="434"/>
      <c r="E473" s="434"/>
      <c r="F473" s="434"/>
      <c r="G473" s="434"/>
      <c r="H473" s="434"/>
      <c r="I473" s="434"/>
      <c r="J473" s="434"/>
      <c r="K473" s="434"/>
      <c r="L473" s="434"/>
      <c r="M473" s="434"/>
      <c r="N473" s="434"/>
      <c r="O473" s="434"/>
      <c r="P473" s="434"/>
      <c r="Q473" s="434"/>
      <c r="R473" s="434"/>
      <c r="S473" s="434"/>
      <c r="T473" s="434"/>
      <c r="U473" s="434"/>
      <c r="V473" s="434"/>
      <c r="W473" s="434"/>
      <c r="X473" s="434"/>
      <c r="Y473" s="434"/>
      <c r="Z473" s="434"/>
      <c r="AA473" s="434"/>
    </row>
    <row r="474" spans="1:27" ht="15.75" customHeight="1" x14ac:dyDescent="0.35">
      <c r="A474" s="434"/>
      <c r="B474" s="434"/>
      <c r="C474" s="434"/>
      <c r="D474" s="434"/>
      <c r="E474" s="434"/>
      <c r="F474" s="434"/>
      <c r="G474" s="434"/>
      <c r="H474" s="434"/>
      <c r="I474" s="434"/>
      <c r="J474" s="434"/>
      <c r="K474" s="434"/>
      <c r="L474" s="434"/>
      <c r="M474" s="434"/>
      <c r="N474" s="434"/>
      <c r="O474" s="434"/>
      <c r="P474" s="434"/>
      <c r="Q474" s="434"/>
      <c r="R474" s="434"/>
      <c r="S474" s="434"/>
      <c r="T474" s="434"/>
      <c r="U474" s="434"/>
      <c r="V474" s="434"/>
      <c r="W474" s="434"/>
      <c r="X474" s="434"/>
      <c r="Y474" s="434"/>
      <c r="Z474" s="434"/>
      <c r="AA474" s="434"/>
    </row>
    <row r="475" spans="1:27" ht="15.75" customHeight="1" x14ac:dyDescent="0.35">
      <c r="A475" s="434"/>
      <c r="B475" s="434"/>
      <c r="C475" s="434"/>
      <c r="D475" s="434"/>
      <c r="E475" s="434"/>
      <c r="F475" s="434"/>
      <c r="G475" s="434"/>
      <c r="H475" s="434"/>
      <c r="I475" s="434"/>
      <c r="J475" s="434"/>
      <c r="K475" s="434"/>
      <c r="L475" s="434"/>
      <c r="M475" s="434"/>
      <c r="N475" s="434"/>
      <c r="O475" s="434"/>
      <c r="P475" s="434"/>
      <c r="Q475" s="434"/>
      <c r="R475" s="434"/>
      <c r="S475" s="434"/>
      <c r="T475" s="434"/>
      <c r="U475" s="434"/>
      <c r="V475" s="434"/>
      <c r="W475" s="434"/>
      <c r="X475" s="434"/>
      <c r="Y475" s="434"/>
      <c r="Z475" s="434"/>
      <c r="AA475" s="434"/>
    </row>
    <row r="476" spans="1:27" ht="15.75" customHeight="1" x14ac:dyDescent="0.35">
      <c r="A476" s="434"/>
      <c r="B476" s="434"/>
      <c r="C476" s="434"/>
      <c r="D476" s="434"/>
      <c r="E476" s="434"/>
      <c r="F476" s="434"/>
      <c r="G476" s="434"/>
      <c r="H476" s="434"/>
      <c r="I476" s="434"/>
      <c r="J476" s="434"/>
      <c r="K476" s="434"/>
      <c r="L476" s="434"/>
      <c r="M476" s="434"/>
      <c r="N476" s="434"/>
      <c r="O476" s="434"/>
      <c r="P476" s="434"/>
      <c r="Q476" s="434"/>
      <c r="R476" s="434"/>
      <c r="S476" s="434"/>
      <c r="T476" s="434"/>
      <c r="U476" s="434"/>
      <c r="V476" s="434"/>
      <c r="W476" s="434"/>
      <c r="X476" s="434"/>
      <c r="Y476" s="434"/>
      <c r="Z476" s="434"/>
      <c r="AA476" s="434"/>
    </row>
    <row r="477" spans="1:27" ht="15.75" customHeight="1" x14ac:dyDescent="0.35">
      <c r="A477" s="434"/>
      <c r="B477" s="434"/>
      <c r="C477" s="434"/>
      <c r="D477" s="434"/>
      <c r="E477" s="434"/>
      <c r="F477" s="434"/>
      <c r="G477" s="434"/>
      <c r="H477" s="434"/>
      <c r="I477" s="434"/>
      <c r="J477" s="434"/>
      <c r="K477" s="434"/>
      <c r="L477" s="434"/>
      <c r="M477" s="434"/>
      <c r="N477" s="434"/>
      <c r="O477" s="434"/>
      <c r="P477" s="434"/>
      <c r="Q477" s="434"/>
      <c r="R477" s="434"/>
      <c r="S477" s="434"/>
      <c r="T477" s="434"/>
      <c r="U477" s="434"/>
      <c r="V477" s="434"/>
      <c r="W477" s="434"/>
      <c r="X477" s="434"/>
      <c r="Y477" s="434"/>
      <c r="Z477" s="434"/>
      <c r="AA477" s="434"/>
    </row>
    <row r="478" spans="1:27" ht="15.75" customHeight="1" x14ac:dyDescent="0.35">
      <c r="A478" s="434"/>
      <c r="B478" s="434"/>
      <c r="C478" s="434"/>
      <c r="D478" s="434"/>
      <c r="E478" s="434"/>
      <c r="F478" s="434"/>
      <c r="G478" s="434"/>
      <c r="H478" s="434"/>
      <c r="I478" s="434"/>
      <c r="J478" s="434"/>
      <c r="K478" s="434"/>
      <c r="L478" s="434"/>
      <c r="M478" s="434"/>
      <c r="N478" s="434"/>
      <c r="O478" s="434"/>
      <c r="P478" s="434"/>
      <c r="Q478" s="434"/>
      <c r="R478" s="434"/>
      <c r="S478" s="434"/>
      <c r="T478" s="434"/>
      <c r="U478" s="434"/>
      <c r="V478" s="434"/>
      <c r="W478" s="434"/>
      <c r="X478" s="434"/>
      <c r="Y478" s="434"/>
      <c r="Z478" s="434"/>
      <c r="AA478" s="434"/>
    </row>
    <row r="479" spans="1:27" ht="15.75" customHeight="1" x14ac:dyDescent="0.35">
      <c r="A479" s="434"/>
      <c r="B479" s="434"/>
      <c r="C479" s="434"/>
      <c r="D479" s="434"/>
      <c r="E479" s="434"/>
      <c r="F479" s="434"/>
      <c r="G479" s="434"/>
      <c r="H479" s="434"/>
      <c r="I479" s="434"/>
      <c r="J479" s="434"/>
      <c r="K479" s="434"/>
      <c r="L479" s="434"/>
      <c r="M479" s="434"/>
      <c r="N479" s="434"/>
      <c r="O479" s="434"/>
      <c r="P479" s="434"/>
      <c r="Q479" s="434"/>
      <c r="R479" s="434"/>
      <c r="S479" s="434"/>
      <c r="T479" s="434"/>
      <c r="U479" s="434"/>
      <c r="V479" s="434"/>
      <c r="W479" s="434"/>
      <c r="X479" s="434"/>
      <c r="Y479" s="434"/>
      <c r="Z479" s="434"/>
      <c r="AA479" s="434"/>
    </row>
    <row r="480" spans="1:27" ht="15.75" customHeight="1" x14ac:dyDescent="0.35">
      <c r="A480" s="434"/>
      <c r="B480" s="434"/>
      <c r="C480" s="434"/>
      <c r="D480" s="434"/>
      <c r="E480" s="434"/>
      <c r="F480" s="434"/>
      <c r="G480" s="434"/>
      <c r="H480" s="434"/>
      <c r="I480" s="434"/>
      <c r="J480" s="434"/>
      <c r="K480" s="434"/>
      <c r="L480" s="434"/>
      <c r="M480" s="434"/>
      <c r="N480" s="434"/>
      <c r="O480" s="434"/>
      <c r="P480" s="434"/>
      <c r="Q480" s="434"/>
      <c r="R480" s="434"/>
      <c r="S480" s="434"/>
      <c r="T480" s="434"/>
      <c r="U480" s="434"/>
      <c r="V480" s="434"/>
      <c r="W480" s="434"/>
      <c r="X480" s="434"/>
      <c r="Y480" s="434"/>
      <c r="Z480" s="434"/>
      <c r="AA480" s="434"/>
    </row>
    <row r="481" spans="1:27" ht="15.75" customHeight="1" x14ac:dyDescent="0.35">
      <c r="A481" s="434"/>
      <c r="B481" s="434"/>
      <c r="C481" s="434"/>
      <c r="D481" s="434"/>
      <c r="E481" s="434"/>
      <c r="F481" s="434"/>
      <c r="G481" s="434"/>
      <c r="H481" s="434"/>
      <c r="I481" s="434"/>
      <c r="J481" s="434"/>
      <c r="K481" s="434"/>
      <c r="L481" s="434"/>
      <c r="M481" s="434"/>
      <c r="N481" s="434"/>
      <c r="O481" s="434"/>
      <c r="P481" s="434"/>
      <c r="Q481" s="434"/>
      <c r="R481" s="434"/>
      <c r="S481" s="434"/>
      <c r="T481" s="434"/>
      <c r="U481" s="434"/>
      <c r="V481" s="434"/>
      <c r="W481" s="434"/>
      <c r="X481" s="434"/>
      <c r="Y481" s="434"/>
      <c r="Z481" s="434"/>
      <c r="AA481" s="434"/>
    </row>
    <row r="482" spans="1:27" ht="15.75" customHeight="1" x14ac:dyDescent="0.35">
      <c r="A482" s="434"/>
      <c r="B482" s="434"/>
      <c r="C482" s="434"/>
      <c r="D482" s="434"/>
      <c r="E482" s="434"/>
      <c r="F482" s="434"/>
      <c r="G482" s="434"/>
      <c r="H482" s="434"/>
      <c r="I482" s="434"/>
      <c r="J482" s="434"/>
      <c r="K482" s="434"/>
      <c r="L482" s="434"/>
      <c r="M482" s="434"/>
      <c r="N482" s="434"/>
      <c r="O482" s="434"/>
      <c r="P482" s="434"/>
      <c r="Q482" s="434"/>
      <c r="R482" s="434"/>
      <c r="S482" s="434"/>
      <c r="T482" s="434"/>
      <c r="U482" s="434"/>
      <c r="V482" s="434"/>
      <c r="W482" s="434"/>
      <c r="X482" s="434"/>
      <c r="Y482" s="434"/>
      <c r="Z482" s="434"/>
      <c r="AA482" s="434"/>
    </row>
    <row r="483" spans="1:27" ht="15.75" customHeight="1" x14ac:dyDescent="0.35">
      <c r="A483" s="434"/>
      <c r="B483" s="434"/>
      <c r="C483" s="434"/>
      <c r="D483" s="434"/>
      <c r="E483" s="434"/>
      <c r="F483" s="434"/>
      <c r="G483" s="434"/>
      <c r="H483" s="434"/>
      <c r="I483" s="434"/>
      <c r="J483" s="434"/>
      <c r="K483" s="434"/>
      <c r="L483" s="434"/>
      <c r="M483" s="434"/>
      <c r="N483" s="434"/>
      <c r="O483" s="434"/>
      <c r="P483" s="434"/>
      <c r="Q483" s="434"/>
      <c r="R483" s="434"/>
      <c r="S483" s="434"/>
      <c r="T483" s="434"/>
      <c r="U483" s="434"/>
      <c r="V483" s="434"/>
      <c r="W483" s="434"/>
      <c r="X483" s="434"/>
      <c r="Y483" s="434"/>
      <c r="Z483" s="434"/>
      <c r="AA483" s="434"/>
    </row>
    <row r="484" spans="1:27" ht="15.75" customHeight="1" x14ac:dyDescent="0.35">
      <c r="A484" s="434"/>
      <c r="B484" s="434"/>
      <c r="C484" s="434"/>
      <c r="D484" s="434"/>
      <c r="E484" s="434"/>
      <c r="F484" s="434"/>
      <c r="G484" s="434"/>
      <c r="H484" s="434"/>
      <c r="I484" s="434"/>
      <c r="J484" s="434"/>
      <c r="K484" s="434"/>
      <c r="L484" s="434"/>
      <c r="M484" s="434"/>
      <c r="N484" s="434"/>
      <c r="O484" s="434"/>
      <c r="P484" s="434"/>
      <c r="Q484" s="434"/>
      <c r="R484" s="434"/>
      <c r="S484" s="434"/>
      <c r="T484" s="434"/>
      <c r="U484" s="434"/>
      <c r="V484" s="434"/>
      <c r="W484" s="434"/>
      <c r="X484" s="434"/>
      <c r="Y484" s="434"/>
      <c r="Z484" s="434"/>
      <c r="AA484" s="434"/>
    </row>
    <row r="485" spans="1:27" ht="15.75" customHeight="1" x14ac:dyDescent="0.35">
      <c r="A485" s="434"/>
      <c r="B485" s="434"/>
      <c r="C485" s="434"/>
      <c r="D485" s="434"/>
      <c r="E485" s="434"/>
      <c r="F485" s="434"/>
      <c r="G485" s="434"/>
      <c r="H485" s="434"/>
      <c r="I485" s="434"/>
      <c r="J485" s="434"/>
      <c r="K485" s="434"/>
      <c r="L485" s="434"/>
      <c r="M485" s="434"/>
      <c r="N485" s="434"/>
      <c r="O485" s="434"/>
      <c r="P485" s="434"/>
      <c r="Q485" s="434"/>
      <c r="R485" s="434"/>
      <c r="S485" s="434"/>
      <c r="T485" s="434"/>
      <c r="U485" s="434"/>
      <c r="V485" s="434"/>
      <c r="W485" s="434"/>
      <c r="X485" s="434"/>
      <c r="Y485" s="434"/>
      <c r="Z485" s="434"/>
      <c r="AA485" s="434"/>
    </row>
    <row r="486" spans="1:27" ht="15.75" customHeight="1" x14ac:dyDescent="0.35">
      <c r="A486" s="434"/>
      <c r="B486" s="434"/>
      <c r="C486" s="434"/>
      <c r="D486" s="434"/>
      <c r="E486" s="434"/>
      <c r="F486" s="434"/>
      <c r="G486" s="434"/>
      <c r="H486" s="434"/>
      <c r="I486" s="434"/>
      <c r="J486" s="434"/>
      <c r="K486" s="434"/>
      <c r="L486" s="434"/>
      <c r="M486" s="434"/>
      <c r="N486" s="434"/>
      <c r="O486" s="434"/>
      <c r="P486" s="434"/>
      <c r="Q486" s="434"/>
      <c r="R486" s="434"/>
      <c r="S486" s="434"/>
      <c r="T486" s="434"/>
      <c r="U486" s="434"/>
      <c r="V486" s="434"/>
      <c r="W486" s="434"/>
      <c r="X486" s="434"/>
      <c r="Y486" s="434"/>
      <c r="Z486" s="434"/>
      <c r="AA486" s="434"/>
    </row>
    <row r="487" spans="1:27" ht="15.75" customHeight="1" x14ac:dyDescent="0.35">
      <c r="A487" s="434"/>
      <c r="B487" s="434"/>
      <c r="C487" s="434"/>
      <c r="D487" s="434"/>
      <c r="E487" s="434"/>
      <c r="F487" s="434"/>
      <c r="G487" s="434"/>
      <c r="H487" s="434"/>
      <c r="I487" s="434"/>
      <c r="J487" s="434"/>
      <c r="K487" s="434"/>
      <c r="L487" s="434"/>
      <c r="M487" s="434"/>
      <c r="N487" s="434"/>
      <c r="O487" s="434"/>
      <c r="P487" s="434"/>
      <c r="Q487" s="434"/>
      <c r="R487" s="434"/>
      <c r="S487" s="434"/>
      <c r="T487" s="434"/>
      <c r="U487" s="434"/>
      <c r="V487" s="434"/>
      <c r="W487" s="434"/>
      <c r="X487" s="434"/>
      <c r="Y487" s="434"/>
      <c r="Z487" s="434"/>
      <c r="AA487" s="434"/>
    </row>
    <row r="488" spans="1:27" ht="15.75" customHeight="1" x14ac:dyDescent="0.35">
      <c r="A488" s="434"/>
      <c r="B488" s="434"/>
      <c r="C488" s="434"/>
      <c r="D488" s="434"/>
      <c r="E488" s="434"/>
      <c r="F488" s="434"/>
      <c r="G488" s="434"/>
      <c r="H488" s="434"/>
      <c r="I488" s="434"/>
      <c r="J488" s="434"/>
      <c r="K488" s="434"/>
      <c r="L488" s="434"/>
      <c r="M488" s="434"/>
      <c r="N488" s="434"/>
      <c r="O488" s="434"/>
      <c r="P488" s="434"/>
      <c r="Q488" s="434"/>
      <c r="R488" s="434"/>
      <c r="S488" s="434"/>
      <c r="T488" s="434"/>
      <c r="U488" s="434"/>
      <c r="V488" s="434"/>
      <c r="W488" s="434"/>
      <c r="X488" s="434"/>
      <c r="Y488" s="434"/>
      <c r="Z488" s="434"/>
      <c r="AA488" s="434"/>
    </row>
    <row r="489" spans="1:27" ht="15.75" customHeight="1" x14ac:dyDescent="0.35">
      <c r="A489" s="434"/>
      <c r="B489" s="434"/>
      <c r="C489" s="434"/>
      <c r="D489" s="434"/>
      <c r="E489" s="434"/>
      <c r="F489" s="434"/>
      <c r="G489" s="434"/>
      <c r="H489" s="434"/>
      <c r="I489" s="434"/>
      <c r="J489" s="434"/>
      <c r="K489" s="434"/>
      <c r="L489" s="434"/>
      <c r="M489" s="434"/>
      <c r="N489" s="434"/>
      <c r="O489" s="434"/>
      <c r="P489" s="434"/>
      <c r="Q489" s="434"/>
      <c r="R489" s="434"/>
      <c r="S489" s="434"/>
      <c r="T489" s="434"/>
      <c r="U489" s="434"/>
      <c r="V489" s="434"/>
      <c r="W489" s="434"/>
      <c r="X489" s="434"/>
      <c r="Y489" s="434"/>
      <c r="Z489" s="434"/>
      <c r="AA489" s="434"/>
    </row>
    <row r="490" spans="1:27" ht="15.75" customHeight="1" x14ac:dyDescent="0.35">
      <c r="A490" s="434"/>
      <c r="B490" s="434"/>
      <c r="C490" s="434"/>
      <c r="D490" s="434"/>
      <c r="E490" s="434"/>
      <c r="F490" s="434"/>
      <c r="G490" s="434"/>
      <c r="H490" s="434"/>
      <c r="I490" s="434"/>
      <c r="J490" s="434"/>
      <c r="K490" s="434"/>
      <c r="L490" s="434"/>
      <c r="M490" s="434"/>
      <c r="N490" s="434"/>
      <c r="O490" s="434"/>
      <c r="P490" s="434"/>
      <c r="Q490" s="434"/>
      <c r="R490" s="434"/>
      <c r="S490" s="434"/>
      <c r="T490" s="434"/>
      <c r="U490" s="434"/>
      <c r="V490" s="434"/>
      <c r="W490" s="434"/>
      <c r="X490" s="434"/>
      <c r="Y490" s="434"/>
      <c r="Z490" s="434"/>
      <c r="AA490" s="434"/>
    </row>
    <row r="491" spans="1:27" ht="15.75" customHeight="1" x14ac:dyDescent="0.35">
      <c r="A491" s="434"/>
      <c r="B491" s="434"/>
      <c r="C491" s="434"/>
      <c r="D491" s="434"/>
      <c r="E491" s="434"/>
      <c r="F491" s="434"/>
      <c r="G491" s="434"/>
      <c r="H491" s="434"/>
      <c r="I491" s="434"/>
      <c r="J491" s="434"/>
      <c r="K491" s="434"/>
      <c r="L491" s="434"/>
      <c r="M491" s="434"/>
      <c r="N491" s="434"/>
      <c r="O491" s="434"/>
      <c r="P491" s="434"/>
      <c r="Q491" s="434"/>
      <c r="R491" s="434"/>
      <c r="S491" s="434"/>
      <c r="T491" s="434"/>
      <c r="U491" s="434"/>
      <c r="V491" s="434"/>
      <c r="W491" s="434"/>
      <c r="X491" s="434"/>
      <c r="Y491" s="434"/>
      <c r="Z491" s="434"/>
      <c r="AA491" s="434"/>
    </row>
    <row r="492" spans="1:27" ht="15.75" customHeight="1" x14ac:dyDescent="0.35">
      <c r="A492" s="434"/>
      <c r="B492" s="434"/>
      <c r="C492" s="434"/>
      <c r="D492" s="434"/>
      <c r="E492" s="434"/>
      <c r="F492" s="434"/>
      <c r="G492" s="434"/>
      <c r="H492" s="434"/>
      <c r="I492" s="434"/>
      <c r="J492" s="434"/>
      <c r="K492" s="434"/>
      <c r="L492" s="434"/>
      <c r="M492" s="434"/>
      <c r="N492" s="434"/>
      <c r="O492" s="434"/>
      <c r="P492" s="434"/>
      <c r="Q492" s="434"/>
      <c r="R492" s="434"/>
      <c r="S492" s="434"/>
      <c r="T492" s="434"/>
      <c r="U492" s="434"/>
      <c r="V492" s="434"/>
      <c r="W492" s="434"/>
      <c r="X492" s="434"/>
      <c r="Y492" s="434"/>
      <c r="Z492" s="434"/>
      <c r="AA492" s="434"/>
    </row>
    <row r="493" spans="1:27" ht="15.75" customHeight="1" x14ac:dyDescent="0.35">
      <c r="A493" s="434"/>
      <c r="B493" s="434"/>
      <c r="C493" s="434"/>
      <c r="D493" s="434"/>
      <c r="E493" s="434"/>
      <c r="F493" s="434"/>
      <c r="G493" s="434"/>
      <c r="H493" s="434"/>
      <c r="I493" s="434"/>
      <c r="J493" s="434"/>
      <c r="K493" s="434"/>
      <c r="L493" s="434"/>
      <c r="M493" s="434"/>
      <c r="N493" s="434"/>
      <c r="O493" s="434"/>
      <c r="P493" s="434"/>
      <c r="Q493" s="434"/>
      <c r="R493" s="434"/>
      <c r="S493" s="434"/>
      <c r="T493" s="434"/>
      <c r="U493" s="434"/>
      <c r="V493" s="434"/>
      <c r="W493" s="434"/>
      <c r="X493" s="434"/>
      <c r="Y493" s="434"/>
      <c r="Z493" s="434"/>
      <c r="AA493" s="434"/>
    </row>
    <row r="494" spans="1:27" ht="15.75" customHeight="1" x14ac:dyDescent="0.35">
      <c r="A494" s="434"/>
      <c r="B494" s="434"/>
      <c r="C494" s="434"/>
      <c r="D494" s="434"/>
      <c r="E494" s="434"/>
      <c r="F494" s="434"/>
      <c r="G494" s="434"/>
      <c r="H494" s="434"/>
      <c r="I494" s="434"/>
      <c r="J494" s="434"/>
      <c r="K494" s="434"/>
      <c r="L494" s="434"/>
      <c r="M494" s="434"/>
      <c r="N494" s="434"/>
      <c r="O494" s="434"/>
      <c r="P494" s="434"/>
      <c r="Q494" s="434"/>
      <c r="R494" s="434"/>
      <c r="S494" s="434"/>
      <c r="T494" s="434"/>
      <c r="U494" s="434"/>
      <c r="V494" s="434"/>
      <c r="W494" s="434"/>
      <c r="X494" s="434"/>
      <c r="Y494" s="434"/>
      <c r="Z494" s="434"/>
      <c r="AA494" s="434"/>
    </row>
    <row r="495" spans="1:27" ht="15.75" customHeight="1" x14ac:dyDescent="0.35">
      <c r="A495" s="434"/>
      <c r="B495" s="434"/>
      <c r="C495" s="434"/>
      <c r="D495" s="434"/>
      <c r="E495" s="434"/>
      <c r="F495" s="434"/>
      <c r="G495" s="434"/>
      <c r="H495" s="434"/>
      <c r="I495" s="434"/>
      <c r="J495" s="434"/>
      <c r="K495" s="434"/>
      <c r="L495" s="434"/>
      <c r="M495" s="434"/>
      <c r="N495" s="434"/>
      <c r="O495" s="434"/>
      <c r="P495" s="434"/>
      <c r="Q495" s="434"/>
      <c r="R495" s="434"/>
      <c r="S495" s="434"/>
      <c r="T495" s="434"/>
      <c r="U495" s="434"/>
      <c r="V495" s="434"/>
      <c r="W495" s="434"/>
      <c r="X495" s="434"/>
      <c r="Y495" s="434"/>
      <c r="Z495" s="434"/>
      <c r="AA495" s="434"/>
    </row>
    <row r="496" spans="1:27" ht="15.75" customHeight="1" x14ac:dyDescent="0.35">
      <c r="A496" s="434"/>
      <c r="B496" s="434"/>
      <c r="C496" s="434"/>
      <c r="D496" s="434"/>
      <c r="E496" s="434"/>
      <c r="F496" s="434"/>
      <c r="G496" s="434"/>
      <c r="H496" s="434"/>
      <c r="I496" s="434"/>
      <c r="J496" s="434"/>
      <c r="K496" s="434"/>
      <c r="L496" s="434"/>
      <c r="M496" s="434"/>
      <c r="N496" s="434"/>
      <c r="O496" s="434"/>
      <c r="P496" s="434"/>
      <c r="Q496" s="434"/>
      <c r="R496" s="434"/>
      <c r="S496" s="434"/>
      <c r="T496" s="434"/>
      <c r="U496" s="434"/>
      <c r="V496" s="434"/>
      <c r="W496" s="434"/>
      <c r="X496" s="434"/>
      <c r="Y496" s="434"/>
      <c r="Z496" s="434"/>
      <c r="AA496" s="434"/>
    </row>
    <row r="497" spans="1:27" ht="15.75" customHeight="1" x14ac:dyDescent="0.35">
      <c r="A497" s="434"/>
      <c r="B497" s="434"/>
      <c r="C497" s="434"/>
      <c r="D497" s="434"/>
      <c r="E497" s="434"/>
      <c r="F497" s="434"/>
      <c r="G497" s="434"/>
      <c r="H497" s="434"/>
      <c r="I497" s="434"/>
      <c r="J497" s="434"/>
      <c r="K497" s="434"/>
      <c r="L497" s="434"/>
      <c r="M497" s="434"/>
      <c r="N497" s="434"/>
      <c r="O497" s="434"/>
      <c r="P497" s="434"/>
      <c r="Q497" s="434"/>
      <c r="R497" s="434"/>
      <c r="S497" s="434"/>
      <c r="T497" s="434"/>
      <c r="U497" s="434"/>
      <c r="V497" s="434"/>
      <c r="W497" s="434"/>
      <c r="X497" s="434"/>
      <c r="Y497" s="434"/>
      <c r="Z497" s="434"/>
      <c r="AA497" s="434"/>
    </row>
    <row r="498" spans="1:27" ht="15.75" customHeight="1" x14ac:dyDescent="0.35">
      <c r="A498" s="434"/>
      <c r="B498" s="434"/>
      <c r="C498" s="434"/>
      <c r="D498" s="434"/>
      <c r="E498" s="434"/>
      <c r="F498" s="434"/>
      <c r="G498" s="434"/>
      <c r="H498" s="434"/>
      <c r="I498" s="434"/>
      <c r="J498" s="434"/>
      <c r="K498" s="434"/>
      <c r="L498" s="434"/>
      <c r="M498" s="434"/>
      <c r="N498" s="434"/>
      <c r="O498" s="434"/>
      <c r="P498" s="434"/>
      <c r="Q498" s="434"/>
      <c r="R498" s="434"/>
      <c r="S498" s="434"/>
      <c r="T498" s="434"/>
      <c r="U498" s="434"/>
      <c r="V498" s="434"/>
      <c r="W498" s="434"/>
      <c r="X498" s="434"/>
      <c r="Y498" s="434"/>
      <c r="Z498" s="434"/>
      <c r="AA498" s="434"/>
    </row>
    <row r="499" spans="1:27" ht="15.75" customHeight="1" x14ac:dyDescent="0.35">
      <c r="A499" s="434"/>
      <c r="B499" s="434"/>
      <c r="C499" s="434"/>
      <c r="D499" s="434"/>
      <c r="E499" s="434"/>
      <c r="F499" s="434"/>
      <c r="G499" s="434"/>
      <c r="H499" s="434"/>
      <c r="I499" s="434"/>
      <c r="J499" s="434"/>
      <c r="K499" s="434"/>
      <c r="L499" s="434"/>
      <c r="M499" s="434"/>
      <c r="N499" s="434"/>
      <c r="O499" s="434"/>
      <c r="P499" s="434"/>
      <c r="Q499" s="434"/>
      <c r="R499" s="434"/>
      <c r="S499" s="434"/>
      <c r="T499" s="434"/>
      <c r="U499" s="434"/>
      <c r="V499" s="434"/>
      <c r="W499" s="434"/>
      <c r="X499" s="434"/>
      <c r="Y499" s="434"/>
      <c r="Z499" s="434"/>
      <c r="AA499" s="434"/>
    </row>
    <row r="500" spans="1:27" ht="15.75" customHeight="1" x14ac:dyDescent="0.35">
      <c r="A500" s="434"/>
      <c r="B500" s="434"/>
      <c r="C500" s="434"/>
      <c r="D500" s="434"/>
      <c r="E500" s="434"/>
      <c r="F500" s="434"/>
      <c r="G500" s="434"/>
      <c r="H500" s="434"/>
      <c r="I500" s="434"/>
      <c r="J500" s="434"/>
      <c r="K500" s="434"/>
      <c r="L500" s="434"/>
      <c r="M500" s="434"/>
      <c r="N500" s="434"/>
      <c r="O500" s="434"/>
      <c r="P500" s="434"/>
      <c r="Q500" s="434"/>
      <c r="R500" s="434"/>
      <c r="S500" s="434"/>
      <c r="T500" s="434"/>
      <c r="U500" s="434"/>
      <c r="V500" s="434"/>
      <c r="W500" s="434"/>
      <c r="X500" s="434"/>
      <c r="Y500" s="434"/>
      <c r="Z500" s="434"/>
      <c r="AA500" s="434"/>
    </row>
    <row r="501" spans="1:27" ht="15.75" customHeight="1" x14ac:dyDescent="0.35">
      <c r="A501" s="434"/>
      <c r="B501" s="434"/>
      <c r="C501" s="434"/>
      <c r="D501" s="434"/>
      <c r="E501" s="434"/>
      <c r="F501" s="434"/>
      <c r="G501" s="434"/>
      <c r="H501" s="434"/>
      <c r="I501" s="434"/>
      <c r="J501" s="434"/>
      <c r="K501" s="434"/>
      <c r="L501" s="434"/>
      <c r="M501" s="434"/>
      <c r="N501" s="434"/>
      <c r="O501" s="434"/>
      <c r="P501" s="434"/>
      <c r="Q501" s="434"/>
      <c r="R501" s="434"/>
      <c r="S501" s="434"/>
      <c r="T501" s="434"/>
      <c r="U501" s="434"/>
      <c r="V501" s="434"/>
      <c r="W501" s="434"/>
      <c r="X501" s="434"/>
      <c r="Y501" s="434"/>
      <c r="Z501" s="434"/>
      <c r="AA501" s="434"/>
    </row>
    <row r="502" spans="1:27" ht="15.75" customHeight="1" x14ac:dyDescent="0.35">
      <c r="A502" s="434"/>
      <c r="B502" s="434"/>
      <c r="C502" s="434"/>
      <c r="D502" s="434"/>
      <c r="E502" s="434"/>
      <c r="F502" s="434"/>
      <c r="G502" s="434"/>
      <c r="H502" s="434"/>
      <c r="I502" s="434"/>
      <c r="J502" s="434"/>
      <c r="K502" s="434"/>
      <c r="L502" s="434"/>
      <c r="M502" s="434"/>
      <c r="N502" s="434"/>
      <c r="O502" s="434"/>
      <c r="P502" s="434"/>
      <c r="Q502" s="434"/>
      <c r="R502" s="434"/>
      <c r="S502" s="434"/>
      <c r="T502" s="434"/>
      <c r="U502" s="434"/>
      <c r="V502" s="434"/>
      <c r="W502" s="434"/>
      <c r="X502" s="434"/>
      <c r="Y502" s="434"/>
      <c r="Z502" s="434"/>
      <c r="AA502" s="434"/>
    </row>
    <row r="503" spans="1:27" ht="15.75" customHeight="1" x14ac:dyDescent="0.35">
      <c r="A503" s="434"/>
      <c r="B503" s="434"/>
      <c r="C503" s="434"/>
      <c r="D503" s="434"/>
      <c r="E503" s="434"/>
      <c r="F503" s="434"/>
      <c r="G503" s="434"/>
      <c r="H503" s="434"/>
      <c r="I503" s="434"/>
      <c r="J503" s="434"/>
      <c r="K503" s="434"/>
      <c r="L503" s="434"/>
      <c r="M503" s="434"/>
      <c r="N503" s="434"/>
      <c r="O503" s="434"/>
      <c r="P503" s="434"/>
      <c r="Q503" s="434"/>
      <c r="R503" s="434"/>
      <c r="S503" s="434"/>
      <c r="T503" s="434"/>
      <c r="U503" s="434"/>
      <c r="V503" s="434"/>
      <c r="W503" s="434"/>
      <c r="X503" s="434"/>
      <c r="Y503" s="434"/>
      <c r="Z503" s="434"/>
      <c r="AA503" s="434"/>
    </row>
    <row r="504" spans="1:27" ht="15.75" customHeight="1" x14ac:dyDescent="0.35">
      <c r="A504" s="434"/>
      <c r="B504" s="434"/>
      <c r="C504" s="434"/>
      <c r="D504" s="434"/>
      <c r="E504" s="434"/>
      <c r="F504" s="434"/>
      <c r="G504" s="434"/>
      <c r="H504" s="434"/>
      <c r="I504" s="434"/>
      <c r="J504" s="434"/>
      <c r="K504" s="434"/>
      <c r="L504" s="434"/>
      <c r="M504" s="434"/>
      <c r="N504" s="434"/>
      <c r="O504" s="434"/>
      <c r="P504" s="434"/>
      <c r="Q504" s="434"/>
      <c r="R504" s="434"/>
      <c r="S504" s="434"/>
      <c r="T504" s="434"/>
      <c r="U504" s="434"/>
      <c r="V504" s="434"/>
      <c r="W504" s="434"/>
      <c r="X504" s="434"/>
      <c r="Y504" s="434"/>
      <c r="Z504" s="434"/>
      <c r="AA504" s="434"/>
    </row>
    <row r="505" spans="1:27" ht="15.75" customHeight="1" x14ac:dyDescent="0.35">
      <c r="A505" s="434"/>
      <c r="B505" s="434"/>
      <c r="C505" s="434"/>
      <c r="D505" s="434"/>
      <c r="E505" s="434"/>
      <c r="F505" s="434"/>
      <c r="G505" s="434"/>
      <c r="H505" s="434"/>
      <c r="I505" s="434"/>
      <c r="J505" s="434"/>
      <c r="K505" s="434"/>
      <c r="L505" s="434"/>
      <c r="M505" s="434"/>
      <c r="N505" s="434"/>
      <c r="O505" s="434"/>
      <c r="P505" s="434"/>
      <c r="Q505" s="434"/>
      <c r="R505" s="434"/>
      <c r="S505" s="434"/>
      <c r="T505" s="434"/>
      <c r="U505" s="434"/>
      <c r="V505" s="434"/>
      <c r="W505" s="434"/>
      <c r="X505" s="434"/>
      <c r="Y505" s="434"/>
      <c r="Z505" s="434"/>
      <c r="AA505" s="434"/>
    </row>
    <row r="506" spans="1:27" ht="15.75" customHeight="1" x14ac:dyDescent="0.35">
      <c r="A506" s="434"/>
      <c r="B506" s="434"/>
      <c r="C506" s="434"/>
      <c r="D506" s="434"/>
      <c r="E506" s="434"/>
      <c r="F506" s="434"/>
      <c r="G506" s="434"/>
      <c r="H506" s="434"/>
      <c r="I506" s="434"/>
      <c r="J506" s="434"/>
      <c r="K506" s="434"/>
      <c r="L506" s="434"/>
      <c r="M506" s="434"/>
      <c r="N506" s="434"/>
      <c r="O506" s="434"/>
      <c r="P506" s="434"/>
      <c r="Q506" s="434"/>
      <c r="R506" s="434"/>
      <c r="S506" s="434"/>
      <c r="T506" s="434"/>
      <c r="U506" s="434"/>
      <c r="V506" s="434"/>
      <c r="W506" s="434"/>
      <c r="X506" s="434"/>
      <c r="Y506" s="434"/>
      <c r="Z506" s="434"/>
      <c r="AA506" s="434"/>
    </row>
    <row r="507" spans="1:27" ht="15.75" customHeight="1" x14ac:dyDescent="0.35">
      <c r="A507" s="434"/>
      <c r="B507" s="434"/>
      <c r="C507" s="434"/>
      <c r="D507" s="434"/>
      <c r="E507" s="434"/>
      <c r="F507" s="434"/>
      <c r="G507" s="434"/>
      <c r="H507" s="434"/>
      <c r="I507" s="434"/>
      <c r="J507" s="434"/>
      <c r="K507" s="434"/>
      <c r="L507" s="434"/>
      <c r="M507" s="434"/>
      <c r="N507" s="434"/>
      <c r="O507" s="434"/>
      <c r="P507" s="434"/>
      <c r="Q507" s="434"/>
      <c r="R507" s="434"/>
      <c r="S507" s="434"/>
      <c r="T507" s="434"/>
      <c r="U507" s="434"/>
      <c r="V507" s="434"/>
      <c r="W507" s="434"/>
      <c r="X507" s="434"/>
      <c r="Y507" s="434"/>
      <c r="Z507" s="434"/>
      <c r="AA507" s="434"/>
    </row>
    <row r="508" spans="1:27" ht="15.75" customHeight="1" x14ac:dyDescent="0.35">
      <c r="A508" s="434"/>
      <c r="B508" s="434"/>
      <c r="C508" s="434"/>
      <c r="D508" s="434"/>
      <c r="E508" s="434"/>
      <c r="F508" s="434"/>
      <c r="G508" s="434"/>
      <c r="H508" s="434"/>
      <c r="I508" s="434"/>
      <c r="J508" s="434"/>
      <c r="K508" s="434"/>
      <c r="L508" s="434"/>
      <c r="M508" s="434"/>
      <c r="N508" s="434"/>
      <c r="O508" s="434"/>
      <c r="P508" s="434"/>
      <c r="Q508" s="434"/>
      <c r="R508" s="434"/>
      <c r="S508" s="434"/>
      <c r="T508" s="434"/>
      <c r="U508" s="434"/>
      <c r="V508" s="434"/>
      <c r="W508" s="434"/>
      <c r="X508" s="434"/>
      <c r="Y508" s="434"/>
      <c r="Z508" s="434"/>
      <c r="AA508" s="434"/>
    </row>
    <row r="509" spans="1:27" ht="15.75" customHeight="1" x14ac:dyDescent="0.35">
      <c r="A509" s="434"/>
      <c r="B509" s="434"/>
      <c r="C509" s="434"/>
      <c r="D509" s="434"/>
      <c r="E509" s="434"/>
      <c r="F509" s="434"/>
      <c r="G509" s="434"/>
      <c r="H509" s="434"/>
      <c r="I509" s="434"/>
      <c r="J509" s="434"/>
      <c r="K509" s="434"/>
      <c r="L509" s="434"/>
      <c r="M509" s="434"/>
      <c r="N509" s="434"/>
      <c r="O509" s="434"/>
      <c r="P509" s="434"/>
      <c r="Q509" s="434"/>
      <c r="R509" s="434"/>
      <c r="S509" s="434"/>
      <c r="T509" s="434"/>
      <c r="U509" s="434"/>
      <c r="V509" s="434"/>
      <c r="W509" s="434"/>
      <c r="X509" s="434"/>
      <c r="Y509" s="434"/>
      <c r="Z509" s="434"/>
      <c r="AA509" s="434"/>
    </row>
    <row r="510" spans="1:27" ht="15.75" customHeight="1" x14ac:dyDescent="0.35">
      <c r="A510" s="434"/>
      <c r="B510" s="434"/>
      <c r="C510" s="434"/>
      <c r="D510" s="434"/>
      <c r="E510" s="434"/>
      <c r="F510" s="434"/>
      <c r="G510" s="434"/>
      <c r="H510" s="434"/>
      <c r="I510" s="434"/>
      <c r="J510" s="434"/>
      <c r="K510" s="434"/>
      <c r="L510" s="434"/>
      <c r="M510" s="434"/>
      <c r="N510" s="434"/>
      <c r="O510" s="434"/>
      <c r="P510" s="434"/>
      <c r="Q510" s="434"/>
      <c r="R510" s="434"/>
      <c r="S510" s="434"/>
      <c r="T510" s="434"/>
      <c r="U510" s="434"/>
      <c r="V510" s="434"/>
      <c r="W510" s="434"/>
      <c r="X510" s="434"/>
      <c r="Y510" s="434"/>
      <c r="Z510" s="434"/>
      <c r="AA510" s="434"/>
    </row>
    <row r="511" spans="1:27" ht="15.75" customHeight="1" x14ac:dyDescent="0.35">
      <c r="A511" s="434"/>
      <c r="B511" s="434"/>
      <c r="C511" s="434"/>
      <c r="D511" s="434"/>
      <c r="E511" s="434"/>
      <c r="F511" s="434"/>
      <c r="G511" s="434"/>
      <c r="H511" s="434"/>
      <c r="I511" s="434"/>
      <c r="J511" s="434"/>
      <c r="K511" s="434"/>
      <c r="L511" s="434"/>
      <c r="M511" s="434"/>
      <c r="N511" s="434"/>
      <c r="O511" s="434"/>
      <c r="P511" s="434"/>
      <c r="Q511" s="434"/>
      <c r="R511" s="434"/>
      <c r="S511" s="434"/>
      <c r="T511" s="434"/>
      <c r="U511" s="434"/>
      <c r="V511" s="434"/>
      <c r="W511" s="434"/>
      <c r="X511" s="434"/>
      <c r="Y511" s="434"/>
      <c r="Z511" s="434"/>
      <c r="AA511" s="434"/>
    </row>
    <row r="512" spans="1:27" ht="15.75" customHeight="1" x14ac:dyDescent="0.35">
      <c r="A512" s="434"/>
      <c r="B512" s="434"/>
      <c r="C512" s="434"/>
      <c r="D512" s="434"/>
      <c r="E512" s="434"/>
      <c r="F512" s="434"/>
      <c r="G512" s="434"/>
      <c r="H512" s="434"/>
      <c r="I512" s="434"/>
      <c r="J512" s="434"/>
      <c r="K512" s="434"/>
      <c r="L512" s="434"/>
      <c r="M512" s="434"/>
      <c r="N512" s="434"/>
      <c r="O512" s="434"/>
      <c r="P512" s="434"/>
      <c r="Q512" s="434"/>
      <c r="R512" s="434"/>
      <c r="S512" s="434"/>
      <c r="T512" s="434"/>
      <c r="U512" s="434"/>
      <c r="V512" s="434"/>
      <c r="W512" s="434"/>
      <c r="X512" s="434"/>
      <c r="Y512" s="434"/>
      <c r="Z512" s="434"/>
      <c r="AA512" s="434"/>
    </row>
    <row r="513" spans="1:27" ht="15.75" customHeight="1" x14ac:dyDescent="0.35">
      <c r="A513" s="434"/>
      <c r="B513" s="434"/>
      <c r="C513" s="434"/>
      <c r="D513" s="434"/>
      <c r="E513" s="434"/>
      <c r="F513" s="434"/>
      <c r="G513" s="434"/>
      <c r="H513" s="434"/>
      <c r="I513" s="434"/>
      <c r="J513" s="434"/>
      <c r="K513" s="434"/>
      <c r="L513" s="434"/>
      <c r="M513" s="434"/>
      <c r="N513" s="434"/>
      <c r="O513" s="434"/>
      <c r="P513" s="434"/>
      <c r="Q513" s="434"/>
      <c r="R513" s="434"/>
      <c r="S513" s="434"/>
      <c r="T513" s="434"/>
      <c r="U513" s="434"/>
      <c r="V513" s="434"/>
      <c r="W513" s="434"/>
      <c r="X513" s="434"/>
      <c r="Y513" s="434"/>
      <c r="Z513" s="434"/>
      <c r="AA513" s="434"/>
    </row>
    <row r="514" spans="1:27" ht="15.75" customHeight="1" x14ac:dyDescent="0.35">
      <c r="A514" s="434"/>
      <c r="B514" s="434"/>
      <c r="C514" s="434"/>
      <c r="D514" s="434"/>
      <c r="E514" s="434"/>
      <c r="F514" s="434"/>
      <c r="G514" s="434"/>
      <c r="H514" s="434"/>
      <c r="I514" s="434"/>
      <c r="J514" s="434"/>
      <c r="K514" s="434"/>
      <c r="L514" s="434"/>
      <c r="M514" s="434"/>
      <c r="N514" s="434"/>
      <c r="O514" s="434"/>
      <c r="P514" s="434"/>
      <c r="Q514" s="434"/>
      <c r="R514" s="434"/>
      <c r="S514" s="434"/>
      <c r="T514" s="434"/>
      <c r="U514" s="434"/>
      <c r="V514" s="434"/>
      <c r="W514" s="434"/>
      <c r="X514" s="434"/>
      <c r="Y514" s="434"/>
      <c r="Z514" s="434"/>
      <c r="AA514" s="434"/>
    </row>
    <row r="515" spans="1:27" ht="15.75" customHeight="1" x14ac:dyDescent="0.35">
      <c r="A515" s="434"/>
      <c r="B515" s="434"/>
      <c r="C515" s="434"/>
      <c r="D515" s="434"/>
      <c r="E515" s="434"/>
      <c r="F515" s="434"/>
      <c r="G515" s="434"/>
      <c r="H515" s="434"/>
      <c r="I515" s="434"/>
      <c r="J515" s="434"/>
      <c r="K515" s="434"/>
      <c r="L515" s="434"/>
      <c r="M515" s="434"/>
      <c r="N515" s="434"/>
      <c r="O515" s="434"/>
      <c r="P515" s="434"/>
      <c r="Q515" s="434"/>
      <c r="R515" s="434"/>
      <c r="S515" s="434"/>
      <c r="T515" s="434"/>
      <c r="U515" s="434"/>
      <c r="V515" s="434"/>
      <c r="W515" s="434"/>
      <c r="X515" s="434"/>
      <c r="Y515" s="434"/>
      <c r="Z515" s="434"/>
      <c r="AA515" s="434"/>
    </row>
    <row r="516" spans="1:27" ht="15.75" customHeight="1" x14ac:dyDescent="0.35">
      <c r="A516" s="434"/>
      <c r="B516" s="434"/>
      <c r="C516" s="434"/>
      <c r="D516" s="434"/>
      <c r="E516" s="434"/>
      <c r="F516" s="434"/>
      <c r="G516" s="434"/>
      <c r="H516" s="434"/>
      <c r="I516" s="434"/>
      <c r="J516" s="434"/>
      <c r="K516" s="434"/>
      <c r="L516" s="434"/>
      <c r="M516" s="434"/>
      <c r="N516" s="434"/>
      <c r="O516" s="434"/>
      <c r="P516" s="434"/>
      <c r="Q516" s="434"/>
      <c r="R516" s="434"/>
      <c r="S516" s="434"/>
      <c r="T516" s="434"/>
      <c r="U516" s="434"/>
      <c r="V516" s="434"/>
      <c r="W516" s="434"/>
      <c r="X516" s="434"/>
      <c r="Y516" s="434"/>
      <c r="Z516" s="434"/>
      <c r="AA516" s="434"/>
    </row>
    <row r="517" spans="1:27" ht="15.75" customHeight="1" x14ac:dyDescent="0.35">
      <c r="A517" s="434"/>
      <c r="B517" s="434"/>
      <c r="C517" s="434"/>
      <c r="D517" s="434"/>
      <c r="E517" s="434"/>
      <c r="F517" s="434"/>
      <c r="G517" s="434"/>
      <c r="H517" s="434"/>
      <c r="I517" s="434"/>
      <c r="J517" s="434"/>
      <c r="K517" s="434"/>
      <c r="L517" s="434"/>
      <c r="M517" s="434"/>
      <c r="N517" s="434"/>
      <c r="O517" s="434"/>
      <c r="P517" s="434"/>
      <c r="Q517" s="434"/>
      <c r="R517" s="434"/>
      <c r="S517" s="434"/>
      <c r="T517" s="434"/>
      <c r="U517" s="434"/>
      <c r="V517" s="434"/>
      <c r="W517" s="434"/>
      <c r="X517" s="434"/>
      <c r="Y517" s="434"/>
      <c r="Z517" s="434"/>
      <c r="AA517" s="434"/>
    </row>
    <row r="518" spans="1:27" ht="15.75" customHeight="1" x14ac:dyDescent="0.35">
      <c r="A518" s="434"/>
      <c r="B518" s="434"/>
      <c r="C518" s="434"/>
      <c r="D518" s="434"/>
      <c r="E518" s="434"/>
      <c r="F518" s="434"/>
      <c r="G518" s="434"/>
      <c r="H518" s="434"/>
      <c r="I518" s="434"/>
      <c r="J518" s="434"/>
      <c r="K518" s="434"/>
      <c r="L518" s="434"/>
      <c r="M518" s="434"/>
      <c r="N518" s="434"/>
      <c r="O518" s="434"/>
      <c r="P518" s="434"/>
      <c r="Q518" s="434"/>
      <c r="R518" s="434"/>
      <c r="S518" s="434"/>
      <c r="T518" s="434"/>
      <c r="U518" s="434"/>
      <c r="V518" s="434"/>
      <c r="W518" s="434"/>
      <c r="X518" s="434"/>
      <c r="Y518" s="434"/>
      <c r="Z518" s="434"/>
      <c r="AA518" s="434"/>
    </row>
    <row r="519" spans="1:27" ht="15.75" customHeight="1" x14ac:dyDescent="0.35">
      <c r="A519" s="434"/>
      <c r="B519" s="434"/>
      <c r="C519" s="434"/>
      <c r="D519" s="434"/>
      <c r="E519" s="434"/>
      <c r="F519" s="434"/>
      <c r="G519" s="434"/>
      <c r="H519" s="434"/>
      <c r="I519" s="434"/>
      <c r="J519" s="434"/>
      <c r="K519" s="434"/>
      <c r="L519" s="434"/>
      <c r="M519" s="434"/>
      <c r="N519" s="434"/>
      <c r="O519" s="434"/>
      <c r="P519" s="434"/>
      <c r="Q519" s="434"/>
      <c r="R519" s="434"/>
      <c r="S519" s="434"/>
      <c r="T519" s="434"/>
      <c r="U519" s="434"/>
      <c r="V519" s="434"/>
      <c r="W519" s="434"/>
      <c r="X519" s="434"/>
      <c r="Y519" s="434"/>
      <c r="Z519" s="434"/>
      <c r="AA519" s="434"/>
    </row>
    <row r="520" spans="1:27" ht="15.75" customHeight="1" x14ac:dyDescent="0.35">
      <c r="A520" s="434"/>
      <c r="B520" s="434"/>
      <c r="C520" s="434"/>
      <c r="D520" s="434"/>
      <c r="E520" s="434"/>
      <c r="F520" s="434"/>
      <c r="G520" s="434"/>
      <c r="H520" s="434"/>
      <c r="I520" s="434"/>
      <c r="J520" s="434"/>
      <c r="K520" s="434"/>
      <c r="L520" s="434"/>
      <c r="M520" s="434"/>
      <c r="N520" s="434"/>
      <c r="O520" s="434"/>
      <c r="P520" s="434"/>
      <c r="Q520" s="434"/>
      <c r="R520" s="434"/>
      <c r="S520" s="434"/>
      <c r="T520" s="434"/>
      <c r="U520" s="434"/>
      <c r="V520" s="434"/>
      <c r="W520" s="434"/>
      <c r="X520" s="434"/>
      <c r="Y520" s="434"/>
      <c r="Z520" s="434"/>
      <c r="AA520" s="434"/>
    </row>
    <row r="521" spans="1:27" ht="15.75" customHeight="1" x14ac:dyDescent="0.35">
      <c r="A521" s="434"/>
      <c r="B521" s="434"/>
      <c r="C521" s="434"/>
      <c r="D521" s="434"/>
      <c r="E521" s="434"/>
      <c r="F521" s="434"/>
      <c r="G521" s="434"/>
      <c r="H521" s="434"/>
      <c r="I521" s="434"/>
      <c r="J521" s="434"/>
      <c r="K521" s="434"/>
      <c r="L521" s="434"/>
      <c r="M521" s="434"/>
      <c r="N521" s="434"/>
      <c r="O521" s="434"/>
      <c r="P521" s="434"/>
      <c r="Q521" s="434"/>
      <c r="R521" s="434"/>
      <c r="S521" s="434"/>
      <c r="T521" s="434"/>
      <c r="U521" s="434"/>
      <c r="V521" s="434"/>
      <c r="W521" s="434"/>
      <c r="X521" s="434"/>
      <c r="Y521" s="434"/>
      <c r="Z521" s="434"/>
      <c r="AA521" s="434"/>
    </row>
    <row r="522" spans="1:27" ht="15.75" customHeight="1" x14ac:dyDescent="0.35">
      <c r="A522" s="434"/>
      <c r="B522" s="434"/>
      <c r="C522" s="434"/>
      <c r="D522" s="434"/>
      <c r="E522" s="434"/>
      <c r="F522" s="434"/>
      <c r="G522" s="434"/>
      <c r="H522" s="434"/>
      <c r="I522" s="434"/>
      <c r="J522" s="434"/>
      <c r="K522" s="434"/>
      <c r="L522" s="434"/>
      <c r="M522" s="434"/>
      <c r="N522" s="434"/>
      <c r="O522" s="434"/>
      <c r="P522" s="434"/>
      <c r="Q522" s="434"/>
      <c r="R522" s="434"/>
      <c r="S522" s="434"/>
      <c r="T522" s="434"/>
      <c r="U522" s="434"/>
      <c r="V522" s="434"/>
      <c r="W522" s="434"/>
      <c r="X522" s="434"/>
      <c r="Y522" s="434"/>
      <c r="Z522" s="434"/>
      <c r="AA522" s="434"/>
    </row>
    <row r="523" spans="1:27" ht="15.75" customHeight="1" x14ac:dyDescent="0.35">
      <c r="A523" s="434"/>
      <c r="B523" s="434"/>
      <c r="C523" s="434"/>
      <c r="D523" s="434"/>
      <c r="E523" s="434"/>
      <c r="F523" s="434"/>
      <c r="G523" s="434"/>
      <c r="H523" s="434"/>
      <c r="I523" s="434"/>
      <c r="J523" s="434"/>
      <c r="K523" s="434"/>
      <c r="L523" s="434"/>
      <c r="M523" s="434"/>
      <c r="N523" s="434"/>
      <c r="O523" s="434"/>
      <c r="P523" s="434"/>
      <c r="Q523" s="434"/>
      <c r="R523" s="434"/>
      <c r="S523" s="434"/>
      <c r="T523" s="434"/>
      <c r="U523" s="434"/>
      <c r="V523" s="434"/>
      <c r="W523" s="434"/>
      <c r="X523" s="434"/>
      <c r="Y523" s="434"/>
      <c r="Z523" s="434"/>
      <c r="AA523" s="434"/>
    </row>
    <row r="524" spans="1:27" ht="15.75" customHeight="1" x14ac:dyDescent="0.35">
      <c r="A524" s="434"/>
      <c r="B524" s="434"/>
      <c r="C524" s="434"/>
      <c r="D524" s="434"/>
      <c r="E524" s="434"/>
      <c r="F524" s="434"/>
      <c r="G524" s="434"/>
      <c r="H524" s="434"/>
      <c r="I524" s="434"/>
      <c r="J524" s="434"/>
      <c r="K524" s="434"/>
      <c r="L524" s="434"/>
      <c r="M524" s="434"/>
      <c r="N524" s="434"/>
      <c r="O524" s="434"/>
      <c r="P524" s="434"/>
      <c r="Q524" s="434"/>
      <c r="R524" s="434"/>
      <c r="S524" s="434"/>
      <c r="T524" s="434"/>
      <c r="U524" s="434"/>
      <c r="V524" s="434"/>
      <c r="W524" s="434"/>
      <c r="X524" s="434"/>
      <c r="Y524" s="434"/>
      <c r="Z524" s="434"/>
      <c r="AA524" s="434"/>
    </row>
    <row r="525" spans="1:27" ht="15.75" customHeight="1" x14ac:dyDescent="0.35">
      <c r="A525" s="434"/>
      <c r="B525" s="434"/>
      <c r="C525" s="434"/>
      <c r="D525" s="434"/>
      <c r="E525" s="434"/>
      <c r="F525" s="434"/>
      <c r="G525" s="434"/>
      <c r="H525" s="434"/>
      <c r="I525" s="434"/>
      <c r="J525" s="434"/>
      <c r="K525" s="434"/>
      <c r="L525" s="434"/>
      <c r="M525" s="434"/>
      <c r="N525" s="434"/>
      <c r="O525" s="434"/>
      <c r="P525" s="434"/>
      <c r="Q525" s="434"/>
      <c r="R525" s="434"/>
      <c r="S525" s="434"/>
      <c r="T525" s="434"/>
      <c r="U525" s="434"/>
      <c r="V525" s="434"/>
      <c r="W525" s="434"/>
      <c r="X525" s="434"/>
      <c r="Y525" s="434"/>
      <c r="Z525" s="434"/>
      <c r="AA525" s="434"/>
    </row>
    <row r="526" spans="1:27" ht="15.75" customHeight="1" x14ac:dyDescent="0.35">
      <c r="A526" s="434"/>
      <c r="B526" s="434"/>
      <c r="C526" s="434"/>
      <c r="D526" s="434"/>
      <c r="E526" s="434"/>
      <c r="F526" s="434"/>
      <c r="G526" s="434"/>
      <c r="H526" s="434"/>
      <c r="I526" s="434"/>
      <c r="J526" s="434"/>
      <c r="K526" s="434"/>
      <c r="L526" s="434"/>
      <c r="M526" s="434"/>
      <c r="N526" s="434"/>
      <c r="O526" s="434"/>
      <c r="P526" s="434"/>
      <c r="Q526" s="434"/>
      <c r="R526" s="434"/>
      <c r="S526" s="434"/>
      <c r="T526" s="434"/>
      <c r="U526" s="434"/>
      <c r="V526" s="434"/>
      <c r="W526" s="434"/>
      <c r="X526" s="434"/>
      <c r="Y526" s="434"/>
      <c r="Z526" s="434"/>
      <c r="AA526" s="434"/>
    </row>
    <row r="527" spans="1:27" ht="15.75" customHeight="1" x14ac:dyDescent="0.35">
      <c r="A527" s="434"/>
      <c r="B527" s="434"/>
      <c r="C527" s="434"/>
      <c r="D527" s="434"/>
      <c r="E527" s="434"/>
      <c r="F527" s="434"/>
      <c r="G527" s="434"/>
      <c r="H527" s="434"/>
      <c r="I527" s="434"/>
      <c r="J527" s="434"/>
      <c r="K527" s="434"/>
      <c r="L527" s="434"/>
      <c r="M527" s="434"/>
      <c r="N527" s="434"/>
      <c r="O527" s="434"/>
      <c r="P527" s="434"/>
      <c r="Q527" s="434"/>
      <c r="R527" s="434"/>
      <c r="S527" s="434"/>
      <c r="T527" s="434"/>
      <c r="U527" s="434"/>
      <c r="V527" s="434"/>
      <c r="W527" s="434"/>
      <c r="X527" s="434"/>
      <c r="Y527" s="434"/>
      <c r="Z527" s="434"/>
      <c r="AA527" s="434"/>
    </row>
    <row r="528" spans="1:27" ht="15.75" customHeight="1" x14ac:dyDescent="0.35">
      <c r="A528" s="434"/>
      <c r="B528" s="434"/>
      <c r="C528" s="434"/>
      <c r="D528" s="434"/>
      <c r="E528" s="434"/>
      <c r="F528" s="434"/>
      <c r="G528" s="434"/>
      <c r="H528" s="434"/>
      <c r="I528" s="434"/>
      <c r="J528" s="434"/>
      <c r="K528" s="434"/>
      <c r="L528" s="434"/>
      <c r="M528" s="434"/>
      <c r="N528" s="434"/>
      <c r="O528" s="434"/>
      <c r="P528" s="434"/>
      <c r="Q528" s="434"/>
      <c r="R528" s="434"/>
      <c r="S528" s="434"/>
      <c r="T528" s="434"/>
      <c r="U528" s="434"/>
      <c r="V528" s="434"/>
      <c r="W528" s="434"/>
      <c r="X528" s="434"/>
      <c r="Y528" s="434"/>
      <c r="Z528" s="434"/>
      <c r="AA528" s="434"/>
    </row>
    <row r="529" spans="1:27" ht="15.75" customHeight="1" x14ac:dyDescent="0.35">
      <c r="A529" s="434"/>
      <c r="B529" s="434"/>
      <c r="C529" s="434"/>
      <c r="D529" s="434"/>
      <c r="E529" s="434"/>
      <c r="F529" s="434"/>
      <c r="G529" s="434"/>
      <c r="H529" s="434"/>
      <c r="I529" s="434"/>
      <c r="J529" s="434"/>
      <c r="K529" s="434"/>
      <c r="L529" s="434"/>
      <c r="M529" s="434"/>
      <c r="N529" s="434"/>
      <c r="O529" s="434"/>
      <c r="P529" s="434"/>
      <c r="Q529" s="434"/>
      <c r="R529" s="434"/>
      <c r="S529" s="434"/>
      <c r="T529" s="434"/>
      <c r="U529" s="434"/>
      <c r="V529" s="434"/>
      <c r="W529" s="434"/>
      <c r="X529" s="434"/>
      <c r="Y529" s="434"/>
      <c r="Z529" s="434"/>
      <c r="AA529" s="434"/>
    </row>
    <row r="530" spans="1:27" ht="15.75" customHeight="1" x14ac:dyDescent="0.35">
      <c r="A530" s="434"/>
      <c r="B530" s="434"/>
      <c r="C530" s="434"/>
      <c r="D530" s="434"/>
      <c r="E530" s="434"/>
      <c r="F530" s="434"/>
      <c r="G530" s="434"/>
      <c r="H530" s="434"/>
      <c r="I530" s="434"/>
      <c r="J530" s="434"/>
      <c r="K530" s="434"/>
      <c r="L530" s="434"/>
      <c r="M530" s="434"/>
      <c r="N530" s="434"/>
      <c r="O530" s="434"/>
      <c r="P530" s="434"/>
      <c r="Q530" s="434"/>
      <c r="R530" s="434"/>
      <c r="S530" s="434"/>
      <c r="T530" s="434"/>
      <c r="U530" s="434"/>
      <c r="V530" s="434"/>
      <c r="W530" s="434"/>
      <c r="X530" s="434"/>
      <c r="Y530" s="434"/>
      <c r="Z530" s="434"/>
      <c r="AA530" s="434"/>
    </row>
    <row r="531" spans="1:27" ht="15.75" customHeight="1" x14ac:dyDescent="0.35">
      <c r="A531" s="434"/>
      <c r="B531" s="434"/>
      <c r="C531" s="434"/>
      <c r="D531" s="434"/>
      <c r="E531" s="434"/>
      <c r="F531" s="434"/>
      <c r="G531" s="434"/>
      <c r="H531" s="434"/>
      <c r="I531" s="434"/>
      <c r="J531" s="434"/>
      <c r="K531" s="434"/>
      <c r="L531" s="434"/>
      <c r="M531" s="434"/>
      <c r="N531" s="434"/>
      <c r="O531" s="434"/>
      <c r="P531" s="434"/>
      <c r="Q531" s="434"/>
      <c r="R531" s="434"/>
      <c r="S531" s="434"/>
      <c r="T531" s="434"/>
      <c r="U531" s="434"/>
      <c r="V531" s="434"/>
      <c r="W531" s="434"/>
      <c r="X531" s="434"/>
      <c r="Y531" s="434"/>
      <c r="Z531" s="434"/>
      <c r="AA531" s="434"/>
    </row>
    <row r="532" spans="1:27" ht="15.75" customHeight="1" x14ac:dyDescent="0.35">
      <c r="A532" s="434"/>
      <c r="B532" s="434"/>
      <c r="C532" s="434"/>
      <c r="D532" s="434"/>
      <c r="E532" s="434"/>
      <c r="F532" s="434"/>
      <c r="G532" s="434"/>
      <c r="H532" s="434"/>
      <c r="I532" s="434"/>
      <c r="J532" s="434"/>
      <c r="K532" s="434"/>
      <c r="L532" s="434"/>
      <c r="M532" s="434"/>
      <c r="N532" s="434"/>
      <c r="O532" s="434"/>
      <c r="P532" s="434"/>
      <c r="Q532" s="434"/>
      <c r="R532" s="434"/>
      <c r="S532" s="434"/>
      <c r="T532" s="434"/>
      <c r="U532" s="434"/>
      <c r="V532" s="434"/>
      <c r="W532" s="434"/>
      <c r="X532" s="434"/>
      <c r="Y532" s="434"/>
      <c r="Z532" s="434"/>
      <c r="AA532" s="434"/>
    </row>
    <row r="533" spans="1:27" ht="15.75" customHeight="1" x14ac:dyDescent="0.35">
      <c r="A533" s="434"/>
      <c r="B533" s="434"/>
      <c r="C533" s="434"/>
      <c r="D533" s="434"/>
      <c r="E533" s="434"/>
      <c r="F533" s="434"/>
      <c r="G533" s="434"/>
      <c r="H533" s="434"/>
      <c r="I533" s="434"/>
      <c r="J533" s="434"/>
      <c r="K533" s="434"/>
      <c r="L533" s="434"/>
      <c r="M533" s="434"/>
      <c r="N533" s="434"/>
      <c r="O533" s="434"/>
      <c r="P533" s="434"/>
      <c r="Q533" s="434"/>
      <c r="R533" s="434"/>
      <c r="S533" s="434"/>
      <c r="T533" s="434"/>
      <c r="U533" s="434"/>
      <c r="V533" s="434"/>
      <c r="W533" s="434"/>
      <c r="X533" s="434"/>
      <c r="Y533" s="434"/>
      <c r="Z533" s="434"/>
      <c r="AA533" s="434"/>
    </row>
    <row r="534" spans="1:27" ht="15.75" customHeight="1" x14ac:dyDescent="0.35">
      <c r="A534" s="434"/>
      <c r="B534" s="434"/>
      <c r="C534" s="434"/>
      <c r="D534" s="434"/>
      <c r="E534" s="434"/>
      <c r="F534" s="434"/>
      <c r="G534" s="434"/>
      <c r="H534" s="434"/>
      <c r="I534" s="434"/>
      <c r="J534" s="434"/>
      <c r="K534" s="434"/>
      <c r="L534" s="434"/>
      <c r="M534" s="434"/>
      <c r="N534" s="434"/>
      <c r="O534" s="434"/>
      <c r="P534" s="434"/>
      <c r="Q534" s="434"/>
      <c r="R534" s="434"/>
      <c r="S534" s="434"/>
      <c r="T534" s="434"/>
      <c r="U534" s="434"/>
      <c r="V534" s="434"/>
      <c r="W534" s="434"/>
      <c r="X534" s="434"/>
      <c r="Y534" s="434"/>
      <c r="Z534" s="434"/>
      <c r="AA534" s="434"/>
    </row>
    <row r="535" spans="1:27" ht="15.75" customHeight="1" x14ac:dyDescent="0.35">
      <c r="A535" s="434"/>
      <c r="B535" s="434"/>
      <c r="C535" s="434"/>
      <c r="D535" s="434"/>
      <c r="E535" s="434"/>
      <c r="F535" s="434"/>
      <c r="G535" s="434"/>
      <c r="H535" s="434"/>
      <c r="I535" s="434"/>
      <c r="J535" s="434"/>
      <c r="K535" s="434"/>
      <c r="L535" s="434"/>
      <c r="M535" s="434"/>
      <c r="N535" s="434"/>
      <c r="O535" s="434"/>
      <c r="P535" s="434"/>
      <c r="Q535" s="434"/>
      <c r="R535" s="434"/>
      <c r="S535" s="434"/>
      <c r="T535" s="434"/>
      <c r="U535" s="434"/>
      <c r="V535" s="434"/>
      <c r="W535" s="434"/>
      <c r="X535" s="434"/>
      <c r="Y535" s="434"/>
      <c r="Z535" s="434"/>
      <c r="AA535" s="434"/>
    </row>
    <row r="536" spans="1:27" ht="15.75" customHeight="1" x14ac:dyDescent="0.35">
      <c r="A536" s="434"/>
      <c r="B536" s="434"/>
      <c r="C536" s="434"/>
      <c r="D536" s="434"/>
      <c r="E536" s="434"/>
      <c r="F536" s="434"/>
      <c r="G536" s="434"/>
      <c r="H536" s="434"/>
      <c r="I536" s="434"/>
      <c r="J536" s="434"/>
      <c r="K536" s="434"/>
      <c r="L536" s="434"/>
      <c r="M536" s="434"/>
      <c r="N536" s="434"/>
      <c r="O536" s="434"/>
      <c r="P536" s="434"/>
      <c r="Q536" s="434"/>
      <c r="R536" s="434"/>
      <c r="S536" s="434"/>
      <c r="T536" s="434"/>
      <c r="U536" s="434"/>
      <c r="V536" s="434"/>
      <c r="W536" s="434"/>
      <c r="X536" s="434"/>
      <c r="Y536" s="434"/>
      <c r="Z536" s="434"/>
      <c r="AA536" s="434"/>
    </row>
    <row r="537" spans="1:27" ht="15.75" customHeight="1" x14ac:dyDescent="0.35">
      <c r="A537" s="434"/>
      <c r="B537" s="434"/>
      <c r="C537" s="434"/>
      <c r="D537" s="434"/>
      <c r="E537" s="434"/>
      <c r="F537" s="434"/>
      <c r="G537" s="434"/>
      <c r="H537" s="434"/>
      <c r="I537" s="434"/>
      <c r="J537" s="434"/>
      <c r="K537" s="434"/>
      <c r="L537" s="434"/>
      <c r="M537" s="434"/>
      <c r="N537" s="434"/>
      <c r="O537" s="434"/>
      <c r="P537" s="434"/>
      <c r="Q537" s="434"/>
      <c r="R537" s="434"/>
      <c r="S537" s="434"/>
      <c r="T537" s="434"/>
      <c r="U537" s="434"/>
      <c r="V537" s="434"/>
      <c r="W537" s="434"/>
      <c r="X537" s="434"/>
      <c r="Y537" s="434"/>
      <c r="Z537" s="434"/>
      <c r="AA537" s="434"/>
    </row>
    <row r="538" spans="1:27" ht="15.75" customHeight="1" x14ac:dyDescent="0.35">
      <c r="A538" s="434"/>
      <c r="B538" s="434"/>
      <c r="C538" s="434"/>
      <c r="D538" s="434"/>
      <c r="E538" s="434"/>
      <c r="F538" s="434"/>
      <c r="G538" s="434"/>
      <c r="H538" s="434"/>
      <c r="I538" s="434"/>
      <c r="J538" s="434"/>
      <c r="K538" s="434"/>
      <c r="L538" s="434"/>
      <c r="M538" s="434"/>
      <c r="N538" s="434"/>
      <c r="O538" s="434"/>
      <c r="P538" s="434"/>
      <c r="Q538" s="434"/>
      <c r="R538" s="434"/>
      <c r="S538" s="434"/>
      <c r="T538" s="434"/>
      <c r="U538" s="434"/>
      <c r="V538" s="434"/>
      <c r="W538" s="434"/>
      <c r="X538" s="434"/>
      <c r="Y538" s="434"/>
      <c r="Z538" s="434"/>
      <c r="AA538" s="434"/>
    </row>
    <row r="539" spans="1:27" ht="15.75" customHeight="1" x14ac:dyDescent="0.35">
      <c r="A539" s="434"/>
      <c r="B539" s="434"/>
      <c r="C539" s="434"/>
      <c r="D539" s="434"/>
      <c r="E539" s="434"/>
      <c r="F539" s="434"/>
      <c r="G539" s="434"/>
      <c r="H539" s="434"/>
      <c r="I539" s="434"/>
      <c r="J539" s="434"/>
      <c r="K539" s="434"/>
      <c r="L539" s="434"/>
      <c r="M539" s="434"/>
      <c r="N539" s="434"/>
      <c r="O539" s="434"/>
      <c r="P539" s="434"/>
      <c r="Q539" s="434"/>
      <c r="R539" s="434"/>
      <c r="S539" s="434"/>
      <c r="T539" s="434"/>
      <c r="U539" s="434"/>
      <c r="V539" s="434"/>
      <c r="W539" s="434"/>
      <c r="X539" s="434"/>
      <c r="Y539" s="434"/>
      <c r="Z539" s="434"/>
      <c r="AA539" s="434"/>
    </row>
    <row r="540" spans="1:27" ht="15.75" customHeight="1" x14ac:dyDescent="0.35">
      <c r="A540" s="434"/>
      <c r="B540" s="434"/>
      <c r="C540" s="434"/>
      <c r="D540" s="434"/>
      <c r="E540" s="434"/>
      <c r="F540" s="434"/>
      <c r="G540" s="434"/>
      <c r="H540" s="434"/>
      <c r="I540" s="434"/>
      <c r="J540" s="434"/>
      <c r="K540" s="434"/>
      <c r="L540" s="434"/>
      <c r="M540" s="434"/>
      <c r="N540" s="434"/>
      <c r="O540" s="434"/>
      <c r="P540" s="434"/>
      <c r="Q540" s="434"/>
      <c r="R540" s="434"/>
      <c r="S540" s="434"/>
      <c r="T540" s="434"/>
      <c r="U540" s="434"/>
      <c r="V540" s="434"/>
      <c r="W540" s="434"/>
      <c r="X540" s="434"/>
      <c r="Y540" s="434"/>
      <c r="Z540" s="434"/>
      <c r="AA540" s="434"/>
    </row>
    <row r="541" spans="1:27" ht="15.75" customHeight="1" x14ac:dyDescent="0.35">
      <c r="A541" s="434"/>
      <c r="B541" s="434"/>
      <c r="C541" s="434"/>
      <c r="D541" s="434"/>
      <c r="E541" s="434"/>
      <c r="F541" s="434"/>
      <c r="G541" s="434"/>
      <c r="H541" s="434"/>
      <c r="I541" s="434"/>
      <c r="J541" s="434"/>
      <c r="K541" s="434"/>
      <c r="L541" s="434"/>
      <c r="M541" s="434"/>
      <c r="N541" s="434"/>
      <c r="O541" s="434"/>
      <c r="P541" s="434"/>
      <c r="Q541" s="434"/>
      <c r="R541" s="434"/>
      <c r="S541" s="434"/>
      <c r="T541" s="434"/>
      <c r="U541" s="434"/>
      <c r="V541" s="434"/>
      <c r="W541" s="434"/>
      <c r="X541" s="434"/>
      <c r="Y541" s="434"/>
      <c r="Z541" s="434"/>
      <c r="AA541" s="434"/>
    </row>
    <row r="542" spans="1:27" ht="15.75" customHeight="1" x14ac:dyDescent="0.35">
      <c r="A542" s="434"/>
      <c r="B542" s="434"/>
      <c r="C542" s="434"/>
      <c r="D542" s="434"/>
      <c r="E542" s="434"/>
      <c r="F542" s="434"/>
      <c r="G542" s="434"/>
      <c r="H542" s="434"/>
      <c r="I542" s="434"/>
      <c r="J542" s="434"/>
      <c r="K542" s="434"/>
      <c r="L542" s="434"/>
      <c r="M542" s="434"/>
      <c r="N542" s="434"/>
      <c r="O542" s="434"/>
      <c r="P542" s="434"/>
      <c r="Q542" s="434"/>
      <c r="R542" s="434"/>
      <c r="S542" s="434"/>
      <c r="T542" s="434"/>
      <c r="U542" s="434"/>
      <c r="V542" s="434"/>
      <c r="W542" s="434"/>
      <c r="X542" s="434"/>
      <c r="Y542" s="434"/>
      <c r="Z542" s="434"/>
      <c r="AA542" s="434"/>
    </row>
    <row r="543" spans="1:27" ht="15.75" customHeight="1" x14ac:dyDescent="0.35">
      <c r="A543" s="434"/>
      <c r="B543" s="434"/>
      <c r="C543" s="434"/>
      <c r="D543" s="434"/>
      <c r="E543" s="434"/>
      <c r="F543" s="434"/>
      <c r="G543" s="434"/>
      <c r="H543" s="434"/>
      <c r="I543" s="434"/>
      <c r="J543" s="434"/>
      <c r="K543" s="434"/>
      <c r="L543" s="434"/>
      <c r="M543" s="434"/>
      <c r="N543" s="434"/>
      <c r="O543" s="434"/>
      <c r="P543" s="434"/>
      <c r="Q543" s="434"/>
      <c r="R543" s="434"/>
      <c r="S543" s="434"/>
      <c r="T543" s="434"/>
      <c r="U543" s="434"/>
      <c r="V543" s="434"/>
      <c r="W543" s="434"/>
      <c r="X543" s="434"/>
      <c r="Y543" s="434"/>
      <c r="Z543" s="434"/>
      <c r="AA543" s="434"/>
    </row>
    <row r="544" spans="1:27" ht="15.75" customHeight="1" x14ac:dyDescent="0.35">
      <c r="A544" s="434"/>
      <c r="B544" s="434"/>
      <c r="C544" s="434"/>
      <c r="D544" s="434"/>
      <c r="E544" s="434"/>
      <c r="F544" s="434"/>
      <c r="G544" s="434"/>
      <c r="H544" s="434"/>
      <c r="I544" s="434"/>
      <c r="J544" s="434"/>
      <c r="K544" s="434"/>
      <c r="L544" s="434"/>
      <c r="M544" s="434"/>
      <c r="N544" s="434"/>
      <c r="O544" s="434"/>
      <c r="P544" s="434"/>
      <c r="Q544" s="434"/>
      <c r="R544" s="434"/>
      <c r="S544" s="434"/>
      <c r="T544" s="434"/>
      <c r="U544" s="434"/>
      <c r="V544" s="434"/>
      <c r="W544" s="434"/>
      <c r="X544" s="434"/>
      <c r="Y544" s="434"/>
      <c r="Z544" s="434"/>
      <c r="AA544" s="434"/>
    </row>
    <row r="545" spans="1:27" ht="15.75" customHeight="1" x14ac:dyDescent="0.35">
      <c r="A545" s="434"/>
      <c r="B545" s="434"/>
      <c r="C545" s="434"/>
      <c r="D545" s="434"/>
      <c r="E545" s="434"/>
      <c r="F545" s="434"/>
      <c r="G545" s="434"/>
      <c r="H545" s="434"/>
      <c r="I545" s="434"/>
      <c r="J545" s="434"/>
      <c r="K545" s="434"/>
      <c r="L545" s="434"/>
      <c r="M545" s="434"/>
      <c r="N545" s="434"/>
      <c r="O545" s="434"/>
      <c r="P545" s="434"/>
      <c r="Q545" s="434"/>
      <c r="R545" s="434"/>
      <c r="S545" s="434"/>
      <c r="T545" s="434"/>
      <c r="U545" s="434"/>
      <c r="V545" s="434"/>
      <c r="W545" s="434"/>
      <c r="X545" s="434"/>
      <c r="Y545" s="434"/>
      <c r="Z545" s="434"/>
      <c r="AA545" s="434"/>
    </row>
    <row r="546" spans="1:27" ht="15.75" customHeight="1" x14ac:dyDescent="0.35">
      <c r="A546" s="434"/>
      <c r="B546" s="434"/>
      <c r="C546" s="434"/>
      <c r="D546" s="434"/>
      <c r="E546" s="434"/>
      <c r="F546" s="434"/>
      <c r="G546" s="434"/>
      <c r="H546" s="434"/>
      <c r="I546" s="434"/>
      <c r="J546" s="434"/>
      <c r="K546" s="434"/>
      <c r="L546" s="434"/>
      <c r="M546" s="434"/>
      <c r="N546" s="434"/>
      <c r="O546" s="434"/>
      <c r="P546" s="434"/>
      <c r="Q546" s="434"/>
      <c r="R546" s="434"/>
      <c r="S546" s="434"/>
      <c r="T546" s="434"/>
      <c r="U546" s="434"/>
      <c r="V546" s="434"/>
      <c r="W546" s="434"/>
      <c r="X546" s="434"/>
      <c r="Y546" s="434"/>
      <c r="Z546" s="434"/>
      <c r="AA546" s="434"/>
    </row>
    <row r="547" spans="1:27" ht="15.75" customHeight="1" x14ac:dyDescent="0.35">
      <c r="A547" s="434"/>
      <c r="B547" s="434"/>
      <c r="C547" s="434"/>
      <c r="D547" s="434"/>
      <c r="E547" s="434"/>
      <c r="F547" s="434"/>
      <c r="G547" s="434"/>
      <c r="H547" s="434"/>
      <c r="I547" s="434"/>
      <c r="J547" s="434"/>
      <c r="K547" s="434"/>
      <c r="L547" s="434"/>
      <c r="M547" s="434"/>
      <c r="N547" s="434"/>
      <c r="O547" s="434"/>
      <c r="P547" s="434"/>
      <c r="Q547" s="434"/>
      <c r="R547" s="434"/>
      <c r="S547" s="434"/>
      <c r="T547" s="434"/>
      <c r="U547" s="434"/>
      <c r="V547" s="434"/>
      <c r="W547" s="434"/>
      <c r="X547" s="434"/>
      <c r="Y547" s="434"/>
      <c r="Z547" s="434"/>
      <c r="AA547" s="434"/>
    </row>
    <row r="548" spans="1:27" ht="15.75" customHeight="1" x14ac:dyDescent="0.35">
      <c r="A548" s="434"/>
      <c r="B548" s="434"/>
      <c r="C548" s="434"/>
      <c r="D548" s="434"/>
      <c r="E548" s="434"/>
      <c r="F548" s="434"/>
      <c r="G548" s="434"/>
      <c r="H548" s="434"/>
      <c r="I548" s="434"/>
      <c r="J548" s="434"/>
      <c r="K548" s="434"/>
      <c r="L548" s="434"/>
      <c r="M548" s="434"/>
      <c r="N548" s="434"/>
      <c r="O548" s="434"/>
      <c r="P548" s="434"/>
      <c r="Q548" s="434"/>
      <c r="R548" s="434"/>
      <c r="S548" s="434"/>
      <c r="T548" s="434"/>
      <c r="U548" s="434"/>
      <c r="V548" s="434"/>
      <c r="W548" s="434"/>
      <c r="X548" s="434"/>
      <c r="Y548" s="434"/>
      <c r="Z548" s="434"/>
      <c r="AA548" s="434"/>
    </row>
    <row r="549" spans="1:27" ht="15.75" customHeight="1" x14ac:dyDescent="0.35">
      <c r="A549" s="434"/>
      <c r="B549" s="434"/>
      <c r="C549" s="434"/>
      <c r="D549" s="434"/>
      <c r="E549" s="434"/>
      <c r="F549" s="434"/>
      <c r="G549" s="434"/>
      <c r="H549" s="434"/>
      <c r="I549" s="434"/>
      <c r="J549" s="434"/>
      <c r="K549" s="434"/>
      <c r="L549" s="434"/>
      <c r="M549" s="434"/>
      <c r="N549" s="434"/>
      <c r="O549" s="434"/>
      <c r="P549" s="434"/>
      <c r="Q549" s="434"/>
      <c r="R549" s="434"/>
      <c r="S549" s="434"/>
      <c r="T549" s="434"/>
      <c r="U549" s="434"/>
      <c r="V549" s="434"/>
      <c r="W549" s="434"/>
      <c r="X549" s="434"/>
      <c r="Y549" s="434"/>
      <c r="Z549" s="434"/>
      <c r="AA549" s="434"/>
    </row>
    <row r="550" spans="1:27" ht="15.75" customHeight="1" x14ac:dyDescent="0.35">
      <c r="A550" s="434"/>
      <c r="B550" s="434"/>
      <c r="C550" s="434"/>
      <c r="D550" s="434"/>
      <c r="E550" s="434"/>
      <c r="F550" s="434"/>
      <c r="G550" s="434"/>
      <c r="H550" s="434"/>
      <c r="I550" s="434"/>
      <c r="J550" s="434"/>
      <c r="K550" s="434"/>
      <c r="L550" s="434"/>
      <c r="M550" s="434"/>
      <c r="N550" s="434"/>
      <c r="O550" s="434"/>
      <c r="P550" s="434"/>
      <c r="Q550" s="434"/>
      <c r="R550" s="434"/>
      <c r="S550" s="434"/>
      <c r="T550" s="434"/>
      <c r="U550" s="434"/>
      <c r="V550" s="434"/>
      <c r="W550" s="434"/>
      <c r="X550" s="434"/>
      <c r="Y550" s="434"/>
      <c r="Z550" s="434"/>
      <c r="AA550" s="434"/>
    </row>
    <row r="551" spans="1:27" ht="15.75" customHeight="1" x14ac:dyDescent="0.35">
      <c r="A551" s="434"/>
      <c r="B551" s="434"/>
      <c r="C551" s="434"/>
      <c r="D551" s="434"/>
      <c r="E551" s="434"/>
      <c r="F551" s="434"/>
      <c r="G551" s="434"/>
      <c r="H551" s="434"/>
      <c r="I551" s="434"/>
      <c r="J551" s="434"/>
      <c r="K551" s="434"/>
      <c r="L551" s="434"/>
      <c r="M551" s="434"/>
      <c r="N551" s="434"/>
      <c r="O551" s="434"/>
      <c r="P551" s="434"/>
      <c r="Q551" s="434"/>
      <c r="R551" s="434"/>
      <c r="S551" s="434"/>
      <c r="T551" s="434"/>
      <c r="U551" s="434"/>
      <c r="V551" s="434"/>
      <c r="W551" s="434"/>
      <c r="X551" s="434"/>
      <c r="Y551" s="434"/>
      <c r="Z551" s="434"/>
      <c r="AA551" s="434"/>
    </row>
    <row r="552" spans="1:27" ht="15.75" customHeight="1" x14ac:dyDescent="0.35">
      <c r="A552" s="434"/>
      <c r="B552" s="434"/>
      <c r="C552" s="434"/>
      <c r="D552" s="434"/>
      <c r="E552" s="434"/>
      <c r="F552" s="434"/>
      <c r="G552" s="434"/>
      <c r="H552" s="434"/>
      <c r="I552" s="434"/>
      <c r="J552" s="434"/>
      <c r="K552" s="434"/>
      <c r="L552" s="434"/>
      <c r="M552" s="434"/>
      <c r="N552" s="434"/>
      <c r="O552" s="434"/>
      <c r="P552" s="434"/>
      <c r="Q552" s="434"/>
      <c r="R552" s="434"/>
      <c r="S552" s="434"/>
      <c r="T552" s="434"/>
      <c r="U552" s="434"/>
      <c r="V552" s="434"/>
      <c r="W552" s="434"/>
      <c r="X552" s="434"/>
      <c r="Y552" s="434"/>
      <c r="Z552" s="434"/>
      <c r="AA552" s="434"/>
    </row>
    <row r="553" spans="1:27" ht="15.75" customHeight="1" x14ac:dyDescent="0.35">
      <c r="A553" s="434"/>
      <c r="B553" s="434"/>
      <c r="C553" s="434"/>
      <c r="D553" s="434"/>
      <c r="E553" s="434"/>
      <c r="F553" s="434"/>
      <c r="G553" s="434"/>
      <c r="H553" s="434"/>
      <c r="I553" s="434"/>
      <c r="J553" s="434"/>
      <c r="K553" s="434"/>
      <c r="L553" s="434"/>
      <c r="M553" s="434"/>
      <c r="N553" s="434"/>
      <c r="O553" s="434"/>
      <c r="P553" s="434"/>
      <c r="Q553" s="434"/>
      <c r="R553" s="434"/>
      <c r="S553" s="434"/>
      <c r="T553" s="434"/>
      <c r="U553" s="434"/>
      <c r="V553" s="434"/>
      <c r="W553" s="434"/>
      <c r="X553" s="434"/>
      <c r="Y553" s="434"/>
      <c r="Z553" s="434"/>
      <c r="AA553" s="434"/>
    </row>
    <row r="554" spans="1:27" ht="15.75" customHeight="1" x14ac:dyDescent="0.35">
      <c r="A554" s="434"/>
      <c r="B554" s="434"/>
      <c r="C554" s="434"/>
      <c r="D554" s="434"/>
      <c r="E554" s="434"/>
      <c r="F554" s="434"/>
      <c r="G554" s="434"/>
      <c r="H554" s="434"/>
      <c r="I554" s="434"/>
      <c r="J554" s="434"/>
      <c r="K554" s="434"/>
      <c r="L554" s="434"/>
      <c r="M554" s="434"/>
      <c r="N554" s="434"/>
      <c r="O554" s="434"/>
      <c r="P554" s="434"/>
      <c r="Q554" s="434"/>
      <c r="R554" s="434"/>
      <c r="S554" s="434"/>
      <c r="T554" s="434"/>
      <c r="U554" s="434"/>
      <c r="V554" s="434"/>
      <c r="W554" s="434"/>
      <c r="X554" s="434"/>
      <c r="Y554" s="434"/>
      <c r="Z554" s="434"/>
      <c r="AA554" s="434"/>
    </row>
    <row r="555" spans="1:27" ht="15.75" customHeight="1" x14ac:dyDescent="0.35">
      <c r="A555" s="434"/>
      <c r="B555" s="434"/>
      <c r="C555" s="434"/>
      <c r="D555" s="434"/>
      <c r="E555" s="434"/>
      <c r="F555" s="434"/>
      <c r="G555" s="434"/>
      <c r="H555" s="434"/>
      <c r="I555" s="434"/>
      <c r="J555" s="434"/>
      <c r="K555" s="434"/>
      <c r="L555" s="434"/>
      <c r="M555" s="434"/>
      <c r="N555" s="434"/>
      <c r="O555" s="434"/>
      <c r="P555" s="434"/>
      <c r="Q555" s="434"/>
      <c r="R555" s="434"/>
      <c r="S555" s="434"/>
      <c r="T555" s="434"/>
      <c r="U555" s="434"/>
      <c r="V555" s="434"/>
      <c r="W555" s="434"/>
      <c r="X555" s="434"/>
      <c r="Y555" s="434"/>
      <c r="Z555" s="434"/>
      <c r="AA555" s="434"/>
    </row>
    <row r="556" spans="1:27" ht="15.75" customHeight="1" x14ac:dyDescent="0.35">
      <c r="A556" s="434"/>
      <c r="B556" s="434"/>
      <c r="C556" s="434"/>
      <c r="D556" s="434"/>
      <c r="E556" s="434"/>
      <c r="F556" s="434"/>
      <c r="G556" s="434"/>
      <c r="H556" s="434"/>
      <c r="I556" s="434"/>
      <c r="J556" s="434"/>
      <c r="K556" s="434"/>
      <c r="L556" s="434"/>
      <c r="M556" s="434"/>
      <c r="N556" s="434"/>
      <c r="O556" s="434"/>
      <c r="P556" s="434"/>
      <c r="Q556" s="434"/>
      <c r="R556" s="434"/>
      <c r="S556" s="434"/>
      <c r="T556" s="434"/>
      <c r="U556" s="434"/>
      <c r="V556" s="434"/>
      <c r="W556" s="434"/>
      <c r="X556" s="434"/>
      <c r="Y556" s="434"/>
      <c r="Z556" s="434"/>
      <c r="AA556" s="434"/>
    </row>
    <row r="557" spans="1:27" ht="15.75" customHeight="1" x14ac:dyDescent="0.35">
      <c r="A557" s="434"/>
      <c r="B557" s="434"/>
      <c r="C557" s="434"/>
      <c r="D557" s="434"/>
      <c r="E557" s="434"/>
      <c r="F557" s="434"/>
      <c r="G557" s="434"/>
      <c r="H557" s="434"/>
      <c r="I557" s="434"/>
      <c r="J557" s="434"/>
      <c r="K557" s="434"/>
      <c r="L557" s="434"/>
      <c r="M557" s="434"/>
      <c r="N557" s="434"/>
      <c r="O557" s="434"/>
      <c r="P557" s="434"/>
      <c r="Q557" s="434"/>
      <c r="R557" s="434"/>
      <c r="S557" s="434"/>
      <c r="T557" s="434"/>
      <c r="U557" s="434"/>
      <c r="V557" s="434"/>
      <c r="W557" s="434"/>
      <c r="X557" s="434"/>
      <c r="Y557" s="434"/>
      <c r="Z557" s="434"/>
      <c r="AA557" s="434"/>
    </row>
    <row r="558" spans="1:27" ht="15.75" customHeight="1" x14ac:dyDescent="0.35">
      <c r="A558" s="434"/>
      <c r="B558" s="434"/>
      <c r="C558" s="434"/>
      <c r="D558" s="434"/>
      <c r="E558" s="434"/>
      <c r="F558" s="434"/>
      <c r="G558" s="434"/>
      <c r="H558" s="434"/>
      <c r="I558" s="434"/>
      <c r="J558" s="434"/>
      <c r="K558" s="434"/>
      <c r="L558" s="434"/>
      <c r="M558" s="434"/>
      <c r="N558" s="434"/>
      <c r="O558" s="434"/>
      <c r="P558" s="434"/>
      <c r="Q558" s="434"/>
      <c r="R558" s="434"/>
      <c r="S558" s="434"/>
      <c r="T558" s="434"/>
      <c r="U558" s="434"/>
      <c r="V558" s="434"/>
      <c r="W558" s="434"/>
      <c r="X558" s="434"/>
      <c r="Y558" s="434"/>
      <c r="Z558" s="434"/>
      <c r="AA558" s="434"/>
    </row>
    <row r="559" spans="1:27" ht="15.75" customHeight="1" x14ac:dyDescent="0.35">
      <c r="A559" s="434"/>
      <c r="B559" s="434"/>
      <c r="C559" s="434"/>
      <c r="D559" s="434"/>
      <c r="E559" s="434"/>
      <c r="F559" s="434"/>
      <c r="G559" s="434"/>
      <c r="H559" s="434"/>
      <c r="I559" s="434"/>
      <c r="J559" s="434"/>
      <c r="K559" s="434"/>
      <c r="L559" s="434"/>
      <c r="M559" s="434"/>
      <c r="N559" s="434"/>
      <c r="O559" s="434"/>
      <c r="P559" s="434"/>
      <c r="Q559" s="434"/>
      <c r="R559" s="434"/>
      <c r="S559" s="434"/>
      <c r="T559" s="434"/>
      <c r="U559" s="434"/>
      <c r="V559" s="434"/>
      <c r="W559" s="434"/>
      <c r="X559" s="434"/>
      <c r="Y559" s="434"/>
      <c r="Z559" s="434"/>
      <c r="AA559" s="434"/>
    </row>
    <row r="560" spans="1:27" ht="15.75" customHeight="1" x14ac:dyDescent="0.35">
      <c r="A560" s="434"/>
      <c r="B560" s="434"/>
      <c r="C560" s="434"/>
      <c r="D560" s="434"/>
      <c r="E560" s="434"/>
      <c r="F560" s="434"/>
      <c r="G560" s="434"/>
      <c r="H560" s="434"/>
      <c r="I560" s="434"/>
      <c r="J560" s="434"/>
      <c r="K560" s="434"/>
      <c r="L560" s="434"/>
      <c r="M560" s="434"/>
      <c r="N560" s="434"/>
      <c r="O560" s="434"/>
      <c r="P560" s="434"/>
      <c r="Q560" s="434"/>
      <c r="R560" s="434"/>
      <c r="S560" s="434"/>
      <c r="T560" s="434"/>
      <c r="U560" s="434"/>
      <c r="V560" s="434"/>
      <c r="W560" s="434"/>
      <c r="X560" s="434"/>
      <c r="Y560" s="434"/>
      <c r="Z560" s="434"/>
      <c r="AA560" s="434"/>
    </row>
    <row r="561" spans="1:27" ht="15.75" customHeight="1" x14ac:dyDescent="0.35">
      <c r="A561" s="434"/>
      <c r="B561" s="434"/>
      <c r="C561" s="434"/>
      <c r="D561" s="434"/>
      <c r="E561" s="434"/>
      <c r="F561" s="434"/>
      <c r="G561" s="434"/>
      <c r="H561" s="434"/>
      <c r="I561" s="434"/>
      <c r="J561" s="434"/>
      <c r="K561" s="434"/>
      <c r="L561" s="434"/>
      <c r="M561" s="434"/>
      <c r="N561" s="434"/>
      <c r="O561" s="434"/>
      <c r="P561" s="434"/>
      <c r="Q561" s="434"/>
      <c r="R561" s="434"/>
      <c r="S561" s="434"/>
      <c r="T561" s="434"/>
      <c r="U561" s="434"/>
      <c r="V561" s="434"/>
      <c r="W561" s="434"/>
      <c r="X561" s="434"/>
      <c r="Y561" s="434"/>
      <c r="Z561" s="434"/>
      <c r="AA561" s="434"/>
    </row>
    <row r="562" spans="1:27" ht="15.75" customHeight="1" x14ac:dyDescent="0.35">
      <c r="A562" s="434"/>
      <c r="B562" s="434"/>
      <c r="C562" s="434"/>
      <c r="D562" s="434"/>
      <c r="E562" s="434"/>
      <c r="F562" s="434"/>
      <c r="G562" s="434"/>
      <c r="H562" s="434"/>
      <c r="I562" s="434"/>
      <c r="J562" s="434"/>
      <c r="K562" s="434"/>
      <c r="L562" s="434"/>
      <c r="M562" s="434"/>
      <c r="N562" s="434"/>
      <c r="O562" s="434"/>
      <c r="P562" s="434"/>
      <c r="Q562" s="434"/>
      <c r="R562" s="434"/>
      <c r="S562" s="434"/>
      <c r="T562" s="434"/>
      <c r="U562" s="434"/>
      <c r="V562" s="434"/>
      <c r="W562" s="434"/>
      <c r="X562" s="434"/>
      <c r="Y562" s="434"/>
      <c r="Z562" s="434"/>
      <c r="AA562" s="434"/>
    </row>
    <row r="563" spans="1:27" ht="15.75" customHeight="1" x14ac:dyDescent="0.35">
      <c r="A563" s="434"/>
      <c r="B563" s="434"/>
      <c r="C563" s="434"/>
      <c r="D563" s="434"/>
      <c r="E563" s="434"/>
      <c r="F563" s="434"/>
      <c r="G563" s="434"/>
      <c r="H563" s="434"/>
      <c r="I563" s="434"/>
      <c r="J563" s="434"/>
      <c r="K563" s="434"/>
      <c r="L563" s="434"/>
      <c r="M563" s="434"/>
      <c r="N563" s="434"/>
      <c r="O563" s="434"/>
      <c r="P563" s="434"/>
      <c r="Q563" s="434"/>
      <c r="R563" s="434"/>
      <c r="S563" s="434"/>
      <c r="T563" s="434"/>
      <c r="U563" s="434"/>
      <c r="V563" s="434"/>
      <c r="W563" s="434"/>
      <c r="X563" s="434"/>
      <c r="Y563" s="434"/>
      <c r="Z563" s="434"/>
      <c r="AA563" s="434"/>
    </row>
    <row r="564" spans="1:27" ht="15.75" customHeight="1" x14ac:dyDescent="0.35">
      <c r="A564" s="434"/>
      <c r="B564" s="434"/>
      <c r="C564" s="434"/>
      <c r="D564" s="434"/>
      <c r="E564" s="434"/>
      <c r="F564" s="434"/>
      <c r="G564" s="434"/>
      <c r="H564" s="434"/>
      <c r="I564" s="434"/>
      <c r="J564" s="434"/>
      <c r="K564" s="434"/>
      <c r="L564" s="434"/>
      <c r="M564" s="434"/>
      <c r="N564" s="434"/>
      <c r="O564" s="434"/>
      <c r="P564" s="434"/>
      <c r="Q564" s="434"/>
      <c r="R564" s="434"/>
      <c r="S564" s="434"/>
      <c r="T564" s="434"/>
      <c r="U564" s="434"/>
      <c r="V564" s="434"/>
      <c r="W564" s="434"/>
      <c r="X564" s="434"/>
      <c r="Y564" s="434"/>
      <c r="Z564" s="434"/>
      <c r="AA564" s="434"/>
    </row>
    <row r="565" spans="1:27" ht="15.75" customHeight="1" x14ac:dyDescent="0.35">
      <c r="A565" s="434"/>
      <c r="B565" s="434"/>
      <c r="C565" s="434"/>
      <c r="D565" s="434"/>
      <c r="E565" s="434"/>
      <c r="F565" s="434"/>
      <c r="G565" s="434"/>
      <c r="H565" s="434"/>
      <c r="I565" s="434"/>
      <c r="J565" s="434"/>
      <c r="K565" s="434"/>
      <c r="L565" s="434"/>
      <c r="M565" s="434"/>
      <c r="N565" s="434"/>
      <c r="O565" s="434"/>
      <c r="P565" s="434"/>
      <c r="Q565" s="434"/>
      <c r="R565" s="434"/>
      <c r="S565" s="434"/>
      <c r="T565" s="434"/>
      <c r="U565" s="434"/>
      <c r="V565" s="434"/>
      <c r="W565" s="434"/>
      <c r="X565" s="434"/>
      <c r="Y565" s="434"/>
      <c r="Z565" s="434"/>
      <c r="AA565" s="434"/>
    </row>
    <row r="566" spans="1:27" ht="15.75" customHeight="1" x14ac:dyDescent="0.35">
      <c r="A566" s="434"/>
      <c r="B566" s="434"/>
      <c r="C566" s="434"/>
      <c r="D566" s="434"/>
      <c r="E566" s="434"/>
      <c r="F566" s="434"/>
      <c r="G566" s="434"/>
      <c r="H566" s="434"/>
      <c r="I566" s="434"/>
      <c r="J566" s="434"/>
      <c r="K566" s="434"/>
      <c r="L566" s="434"/>
      <c r="M566" s="434"/>
      <c r="N566" s="434"/>
      <c r="O566" s="434"/>
      <c r="P566" s="434"/>
      <c r="Q566" s="434"/>
      <c r="R566" s="434"/>
      <c r="S566" s="434"/>
      <c r="T566" s="434"/>
      <c r="U566" s="434"/>
      <c r="V566" s="434"/>
      <c r="W566" s="434"/>
      <c r="X566" s="434"/>
      <c r="Y566" s="434"/>
      <c r="Z566" s="434"/>
      <c r="AA566" s="434"/>
    </row>
    <row r="567" spans="1:27" ht="15.75" customHeight="1" x14ac:dyDescent="0.35">
      <c r="A567" s="434"/>
      <c r="B567" s="434"/>
      <c r="C567" s="434"/>
      <c r="D567" s="434"/>
      <c r="E567" s="434"/>
      <c r="F567" s="434"/>
      <c r="G567" s="434"/>
      <c r="H567" s="434"/>
      <c r="I567" s="434"/>
      <c r="J567" s="434"/>
      <c r="K567" s="434"/>
      <c r="L567" s="434"/>
      <c r="M567" s="434"/>
      <c r="N567" s="434"/>
      <c r="O567" s="434"/>
      <c r="P567" s="434"/>
      <c r="Q567" s="434"/>
      <c r="R567" s="434"/>
      <c r="S567" s="434"/>
      <c r="T567" s="434"/>
      <c r="U567" s="434"/>
      <c r="V567" s="434"/>
      <c r="W567" s="434"/>
      <c r="X567" s="434"/>
      <c r="Y567" s="434"/>
      <c r="Z567" s="434"/>
      <c r="AA567" s="434"/>
    </row>
    <row r="568" spans="1:27" ht="15.75" customHeight="1" x14ac:dyDescent="0.35">
      <c r="A568" s="434"/>
      <c r="B568" s="434"/>
      <c r="C568" s="434"/>
      <c r="D568" s="434"/>
      <c r="E568" s="434"/>
      <c r="F568" s="434"/>
      <c r="G568" s="434"/>
      <c r="H568" s="434"/>
      <c r="I568" s="434"/>
      <c r="J568" s="434"/>
      <c r="K568" s="434"/>
      <c r="L568" s="434"/>
      <c r="M568" s="434"/>
      <c r="N568" s="434"/>
      <c r="O568" s="434"/>
      <c r="P568" s="434"/>
      <c r="Q568" s="434"/>
      <c r="R568" s="434"/>
      <c r="S568" s="434"/>
      <c r="T568" s="434"/>
      <c r="U568" s="434"/>
      <c r="V568" s="434"/>
      <c r="W568" s="434"/>
      <c r="X568" s="434"/>
      <c r="Y568" s="434"/>
      <c r="Z568" s="434"/>
      <c r="AA568" s="434"/>
    </row>
    <row r="569" spans="1:27" ht="15.75" customHeight="1" x14ac:dyDescent="0.35">
      <c r="A569" s="434"/>
      <c r="B569" s="434"/>
      <c r="C569" s="434"/>
      <c r="D569" s="434"/>
      <c r="E569" s="434"/>
      <c r="F569" s="434"/>
      <c r="G569" s="434"/>
      <c r="H569" s="434"/>
      <c r="I569" s="434"/>
      <c r="J569" s="434"/>
      <c r="K569" s="434"/>
      <c r="L569" s="434"/>
      <c r="M569" s="434"/>
      <c r="N569" s="434"/>
      <c r="O569" s="434"/>
      <c r="P569" s="434"/>
      <c r="Q569" s="434"/>
      <c r="R569" s="434"/>
      <c r="S569" s="434"/>
      <c r="T569" s="434"/>
      <c r="U569" s="434"/>
      <c r="V569" s="434"/>
      <c r="W569" s="434"/>
      <c r="X569" s="434"/>
      <c r="Y569" s="434"/>
      <c r="Z569" s="434"/>
      <c r="AA569" s="434"/>
    </row>
    <row r="570" spans="1:27" ht="15.75" customHeight="1" x14ac:dyDescent="0.35">
      <c r="A570" s="434"/>
      <c r="B570" s="434"/>
      <c r="C570" s="434"/>
      <c r="D570" s="434"/>
      <c r="E570" s="434"/>
      <c r="F570" s="434"/>
      <c r="G570" s="434"/>
      <c r="H570" s="434"/>
      <c r="I570" s="434"/>
      <c r="J570" s="434"/>
      <c r="K570" s="434"/>
      <c r="L570" s="434"/>
      <c r="M570" s="434"/>
      <c r="N570" s="434"/>
      <c r="O570" s="434"/>
      <c r="P570" s="434"/>
      <c r="Q570" s="434"/>
      <c r="R570" s="434"/>
      <c r="S570" s="434"/>
      <c r="T570" s="434"/>
      <c r="U570" s="434"/>
      <c r="V570" s="434"/>
      <c r="W570" s="434"/>
      <c r="X570" s="434"/>
      <c r="Y570" s="434"/>
      <c r="Z570" s="434"/>
      <c r="AA570" s="434"/>
    </row>
    <row r="571" spans="1:27" ht="15.75" customHeight="1" x14ac:dyDescent="0.35">
      <c r="A571" s="434"/>
      <c r="B571" s="434"/>
      <c r="C571" s="434"/>
      <c r="D571" s="434"/>
      <c r="E571" s="434"/>
      <c r="F571" s="434"/>
      <c r="G571" s="434"/>
      <c r="H571" s="434"/>
      <c r="I571" s="434"/>
      <c r="J571" s="434"/>
      <c r="K571" s="434"/>
      <c r="L571" s="434"/>
      <c r="M571" s="434"/>
      <c r="N571" s="434"/>
      <c r="O571" s="434"/>
      <c r="P571" s="434"/>
      <c r="Q571" s="434"/>
      <c r="R571" s="434"/>
      <c r="S571" s="434"/>
      <c r="T571" s="434"/>
      <c r="U571" s="434"/>
      <c r="V571" s="434"/>
      <c r="W571" s="434"/>
      <c r="X571" s="434"/>
      <c r="Y571" s="434"/>
      <c r="Z571" s="434"/>
      <c r="AA571" s="434"/>
    </row>
    <row r="572" spans="1:27" ht="15.75" customHeight="1" x14ac:dyDescent="0.35">
      <c r="A572" s="434"/>
      <c r="B572" s="434"/>
      <c r="C572" s="434"/>
      <c r="D572" s="434"/>
      <c r="E572" s="434"/>
      <c r="F572" s="434"/>
      <c r="G572" s="434"/>
      <c r="H572" s="434"/>
      <c r="I572" s="434"/>
      <c r="J572" s="434"/>
      <c r="K572" s="434"/>
      <c r="L572" s="434"/>
      <c r="M572" s="434"/>
      <c r="N572" s="434"/>
      <c r="O572" s="434"/>
      <c r="P572" s="434"/>
      <c r="Q572" s="434"/>
      <c r="R572" s="434"/>
      <c r="S572" s="434"/>
      <c r="T572" s="434"/>
      <c r="U572" s="434"/>
      <c r="V572" s="434"/>
      <c r="W572" s="434"/>
      <c r="X572" s="434"/>
      <c r="Y572" s="434"/>
      <c r="Z572" s="434"/>
      <c r="AA572" s="434"/>
    </row>
    <row r="573" spans="1:27" ht="15.75" customHeight="1" x14ac:dyDescent="0.35">
      <c r="A573" s="434"/>
      <c r="B573" s="434"/>
      <c r="C573" s="434"/>
      <c r="D573" s="434"/>
      <c r="E573" s="434"/>
      <c r="F573" s="434"/>
      <c r="G573" s="434"/>
      <c r="H573" s="434"/>
      <c r="I573" s="434"/>
      <c r="J573" s="434"/>
      <c r="K573" s="434"/>
      <c r="L573" s="434"/>
      <c r="M573" s="434"/>
      <c r="N573" s="434"/>
      <c r="O573" s="434"/>
      <c r="P573" s="434"/>
      <c r="Q573" s="434"/>
      <c r="R573" s="434"/>
      <c r="S573" s="434"/>
      <c r="T573" s="434"/>
      <c r="U573" s="434"/>
      <c r="V573" s="434"/>
      <c r="W573" s="434"/>
      <c r="X573" s="434"/>
      <c r="Y573" s="434"/>
      <c r="Z573" s="434"/>
      <c r="AA573" s="434"/>
    </row>
    <row r="574" spans="1:27" ht="15.75" customHeight="1" x14ac:dyDescent="0.35">
      <c r="A574" s="434"/>
      <c r="B574" s="434"/>
      <c r="C574" s="434"/>
      <c r="D574" s="434"/>
      <c r="E574" s="434"/>
      <c r="F574" s="434"/>
      <c r="G574" s="434"/>
      <c r="H574" s="434"/>
      <c r="I574" s="434"/>
      <c r="J574" s="434"/>
      <c r="K574" s="434"/>
      <c r="L574" s="434"/>
      <c r="M574" s="434"/>
      <c r="N574" s="434"/>
      <c r="O574" s="434"/>
      <c r="P574" s="434"/>
      <c r="Q574" s="434"/>
      <c r="R574" s="434"/>
      <c r="S574" s="434"/>
      <c r="T574" s="434"/>
      <c r="U574" s="434"/>
      <c r="V574" s="434"/>
      <c r="W574" s="434"/>
      <c r="X574" s="434"/>
      <c r="Y574" s="434"/>
      <c r="Z574" s="434"/>
      <c r="AA574" s="434"/>
    </row>
    <row r="575" spans="1:27" ht="15.75" customHeight="1" x14ac:dyDescent="0.35">
      <c r="A575" s="434"/>
      <c r="B575" s="434"/>
      <c r="C575" s="434"/>
      <c r="D575" s="434"/>
      <c r="E575" s="434"/>
      <c r="F575" s="434"/>
      <c r="G575" s="434"/>
      <c r="H575" s="434"/>
      <c r="I575" s="434"/>
      <c r="J575" s="434"/>
      <c r="K575" s="434"/>
      <c r="L575" s="434"/>
      <c r="M575" s="434"/>
      <c r="N575" s="434"/>
      <c r="O575" s="434"/>
      <c r="P575" s="434"/>
      <c r="Q575" s="434"/>
      <c r="R575" s="434"/>
      <c r="S575" s="434"/>
      <c r="T575" s="434"/>
      <c r="U575" s="434"/>
      <c r="V575" s="434"/>
      <c r="W575" s="434"/>
      <c r="X575" s="434"/>
      <c r="Y575" s="434"/>
      <c r="Z575" s="434"/>
      <c r="AA575" s="434"/>
    </row>
    <row r="576" spans="1:27" ht="15.75" customHeight="1" x14ac:dyDescent="0.35">
      <c r="A576" s="434"/>
      <c r="B576" s="434"/>
      <c r="C576" s="434"/>
      <c r="D576" s="434"/>
      <c r="E576" s="434"/>
      <c r="F576" s="434"/>
      <c r="G576" s="434"/>
      <c r="H576" s="434"/>
      <c r="I576" s="434"/>
      <c r="J576" s="434"/>
      <c r="K576" s="434"/>
      <c r="L576" s="434"/>
      <c r="M576" s="434"/>
      <c r="N576" s="434"/>
      <c r="O576" s="434"/>
      <c r="P576" s="434"/>
      <c r="Q576" s="434"/>
      <c r="R576" s="434"/>
      <c r="S576" s="434"/>
      <c r="T576" s="434"/>
      <c r="U576" s="434"/>
      <c r="V576" s="434"/>
      <c r="W576" s="434"/>
      <c r="X576" s="434"/>
      <c r="Y576" s="434"/>
      <c r="Z576" s="434"/>
      <c r="AA576" s="434"/>
    </row>
    <row r="577" spans="1:27" ht="15.75" customHeight="1" x14ac:dyDescent="0.35">
      <c r="A577" s="434"/>
      <c r="B577" s="434"/>
      <c r="C577" s="434"/>
      <c r="D577" s="434"/>
      <c r="E577" s="434"/>
      <c r="F577" s="434"/>
      <c r="G577" s="434"/>
      <c r="H577" s="434"/>
      <c r="I577" s="434"/>
      <c r="J577" s="434"/>
      <c r="K577" s="434"/>
      <c r="L577" s="434"/>
      <c r="M577" s="434"/>
      <c r="N577" s="434"/>
      <c r="O577" s="434"/>
      <c r="P577" s="434"/>
      <c r="Q577" s="434"/>
      <c r="R577" s="434"/>
      <c r="S577" s="434"/>
      <c r="T577" s="434"/>
      <c r="U577" s="434"/>
      <c r="V577" s="434"/>
      <c r="W577" s="434"/>
      <c r="X577" s="434"/>
      <c r="Y577" s="434"/>
      <c r="Z577" s="434"/>
      <c r="AA577" s="434"/>
    </row>
    <row r="578" spans="1:27" ht="15.75" customHeight="1" x14ac:dyDescent="0.35">
      <c r="A578" s="434"/>
      <c r="B578" s="434"/>
      <c r="C578" s="434"/>
      <c r="D578" s="434"/>
      <c r="E578" s="434"/>
      <c r="F578" s="434"/>
      <c r="G578" s="434"/>
      <c r="H578" s="434"/>
      <c r="I578" s="434"/>
      <c r="J578" s="434"/>
      <c r="K578" s="434"/>
      <c r="L578" s="434"/>
      <c r="M578" s="434"/>
      <c r="N578" s="434"/>
      <c r="O578" s="434"/>
      <c r="P578" s="434"/>
      <c r="Q578" s="434"/>
      <c r="R578" s="434"/>
      <c r="S578" s="434"/>
      <c r="T578" s="434"/>
      <c r="U578" s="434"/>
      <c r="V578" s="434"/>
      <c r="W578" s="434"/>
      <c r="X578" s="434"/>
      <c r="Y578" s="434"/>
      <c r="Z578" s="434"/>
      <c r="AA578" s="434"/>
    </row>
    <row r="579" spans="1:27" ht="15.75" customHeight="1" x14ac:dyDescent="0.35">
      <c r="A579" s="434"/>
      <c r="B579" s="434"/>
      <c r="C579" s="434"/>
      <c r="D579" s="434"/>
      <c r="E579" s="434"/>
      <c r="F579" s="434"/>
      <c r="G579" s="434"/>
      <c r="H579" s="434"/>
      <c r="I579" s="434"/>
      <c r="J579" s="434"/>
      <c r="K579" s="434"/>
      <c r="L579" s="434"/>
      <c r="M579" s="434"/>
      <c r="N579" s="434"/>
      <c r="O579" s="434"/>
      <c r="P579" s="434"/>
      <c r="Q579" s="434"/>
      <c r="R579" s="434"/>
      <c r="S579" s="434"/>
      <c r="T579" s="434"/>
      <c r="U579" s="434"/>
      <c r="V579" s="434"/>
      <c r="W579" s="434"/>
      <c r="X579" s="434"/>
      <c r="Y579" s="434"/>
      <c r="Z579" s="434"/>
      <c r="AA579" s="434"/>
    </row>
    <row r="580" spans="1:27" ht="15.75" customHeight="1" x14ac:dyDescent="0.35">
      <c r="A580" s="434"/>
      <c r="B580" s="434"/>
      <c r="C580" s="434"/>
      <c r="D580" s="434"/>
      <c r="E580" s="434"/>
      <c r="F580" s="434"/>
      <c r="G580" s="434"/>
      <c r="H580" s="434"/>
      <c r="I580" s="434"/>
      <c r="J580" s="434"/>
      <c r="K580" s="434"/>
      <c r="L580" s="434"/>
      <c r="M580" s="434"/>
      <c r="N580" s="434"/>
      <c r="O580" s="434"/>
      <c r="P580" s="434"/>
      <c r="Q580" s="434"/>
      <c r="R580" s="434"/>
      <c r="S580" s="434"/>
      <c r="T580" s="434"/>
      <c r="U580" s="434"/>
      <c r="V580" s="434"/>
      <c r="W580" s="434"/>
      <c r="X580" s="434"/>
      <c r="Y580" s="434"/>
      <c r="Z580" s="434"/>
      <c r="AA580" s="434"/>
    </row>
    <row r="581" spans="1:27" ht="15.75" customHeight="1" x14ac:dyDescent="0.35">
      <c r="A581" s="434"/>
      <c r="B581" s="434"/>
      <c r="C581" s="434"/>
      <c r="D581" s="434"/>
      <c r="E581" s="434"/>
      <c r="F581" s="434"/>
      <c r="G581" s="434"/>
      <c r="H581" s="434"/>
      <c r="I581" s="434"/>
      <c r="J581" s="434"/>
      <c r="K581" s="434"/>
      <c r="L581" s="434"/>
      <c r="M581" s="434"/>
      <c r="N581" s="434"/>
      <c r="O581" s="434"/>
      <c r="P581" s="434"/>
      <c r="Q581" s="434"/>
      <c r="R581" s="434"/>
      <c r="S581" s="434"/>
      <c r="T581" s="434"/>
      <c r="U581" s="434"/>
      <c r="V581" s="434"/>
      <c r="W581" s="434"/>
      <c r="X581" s="434"/>
      <c r="Y581" s="434"/>
      <c r="Z581" s="434"/>
      <c r="AA581" s="434"/>
    </row>
    <row r="582" spans="1:27" ht="15.75" customHeight="1" x14ac:dyDescent="0.35">
      <c r="A582" s="434"/>
      <c r="B582" s="434"/>
      <c r="C582" s="434"/>
      <c r="D582" s="434"/>
      <c r="E582" s="434"/>
      <c r="F582" s="434"/>
      <c r="G582" s="434"/>
      <c r="H582" s="434"/>
      <c r="I582" s="434"/>
      <c r="J582" s="434"/>
      <c r="K582" s="434"/>
      <c r="L582" s="434"/>
      <c r="M582" s="434"/>
      <c r="N582" s="434"/>
      <c r="O582" s="434"/>
      <c r="P582" s="434"/>
      <c r="Q582" s="434"/>
      <c r="R582" s="434"/>
      <c r="S582" s="434"/>
      <c r="T582" s="434"/>
      <c r="U582" s="434"/>
      <c r="V582" s="434"/>
      <c r="W582" s="434"/>
      <c r="X582" s="434"/>
      <c r="Y582" s="434"/>
      <c r="Z582" s="434"/>
      <c r="AA582" s="434"/>
    </row>
    <row r="583" spans="1:27" ht="15.75" customHeight="1" x14ac:dyDescent="0.35">
      <c r="A583" s="434"/>
      <c r="B583" s="434"/>
      <c r="C583" s="434"/>
      <c r="D583" s="434"/>
      <c r="E583" s="434"/>
      <c r="F583" s="434"/>
      <c r="G583" s="434"/>
      <c r="H583" s="434"/>
      <c r="I583" s="434"/>
      <c r="J583" s="434"/>
      <c r="K583" s="434"/>
      <c r="L583" s="434"/>
      <c r="M583" s="434"/>
      <c r="N583" s="434"/>
      <c r="O583" s="434"/>
      <c r="P583" s="434"/>
      <c r="Q583" s="434"/>
      <c r="R583" s="434"/>
      <c r="S583" s="434"/>
      <c r="T583" s="434"/>
      <c r="U583" s="434"/>
      <c r="V583" s="434"/>
      <c r="W583" s="434"/>
      <c r="X583" s="434"/>
      <c r="Y583" s="434"/>
      <c r="Z583" s="434"/>
      <c r="AA583" s="434"/>
    </row>
    <row r="584" spans="1:27" ht="15.75" customHeight="1" x14ac:dyDescent="0.35">
      <c r="A584" s="434"/>
      <c r="B584" s="434"/>
      <c r="C584" s="434"/>
      <c r="D584" s="434"/>
      <c r="E584" s="434"/>
      <c r="F584" s="434"/>
      <c r="G584" s="434"/>
      <c r="H584" s="434"/>
      <c r="I584" s="434"/>
      <c r="J584" s="434"/>
      <c r="K584" s="434"/>
      <c r="L584" s="434"/>
      <c r="M584" s="434"/>
      <c r="N584" s="434"/>
      <c r="O584" s="434"/>
      <c r="P584" s="434"/>
      <c r="Q584" s="434"/>
      <c r="R584" s="434"/>
      <c r="S584" s="434"/>
      <c r="T584" s="434"/>
      <c r="U584" s="434"/>
      <c r="V584" s="434"/>
      <c r="W584" s="434"/>
      <c r="X584" s="434"/>
      <c r="Y584" s="434"/>
      <c r="Z584" s="434"/>
      <c r="AA584" s="434"/>
    </row>
    <row r="585" spans="1:27" ht="15.75" customHeight="1" x14ac:dyDescent="0.35">
      <c r="A585" s="434"/>
      <c r="B585" s="434"/>
      <c r="C585" s="434"/>
      <c r="D585" s="434"/>
      <c r="E585" s="434"/>
      <c r="F585" s="434"/>
      <c r="G585" s="434"/>
      <c r="H585" s="434"/>
      <c r="I585" s="434"/>
      <c r="J585" s="434"/>
      <c r="K585" s="434"/>
      <c r="L585" s="434"/>
      <c r="M585" s="434"/>
      <c r="N585" s="434"/>
      <c r="O585" s="434"/>
      <c r="P585" s="434"/>
      <c r="Q585" s="434"/>
      <c r="R585" s="434"/>
      <c r="S585" s="434"/>
      <c r="T585" s="434"/>
      <c r="U585" s="434"/>
      <c r="V585" s="434"/>
      <c r="W585" s="434"/>
      <c r="X585" s="434"/>
      <c r="Y585" s="434"/>
      <c r="Z585" s="434"/>
      <c r="AA585" s="434"/>
    </row>
    <row r="586" spans="1:27" ht="15.75" customHeight="1" x14ac:dyDescent="0.35">
      <c r="A586" s="434"/>
      <c r="B586" s="434"/>
      <c r="C586" s="434"/>
      <c r="D586" s="434"/>
      <c r="E586" s="434"/>
      <c r="F586" s="434"/>
      <c r="G586" s="434"/>
      <c r="H586" s="434"/>
      <c r="I586" s="434"/>
      <c r="J586" s="434"/>
      <c r="K586" s="434"/>
      <c r="L586" s="434"/>
      <c r="M586" s="434"/>
      <c r="N586" s="434"/>
      <c r="O586" s="434"/>
      <c r="P586" s="434"/>
      <c r="Q586" s="434"/>
      <c r="R586" s="434"/>
      <c r="S586" s="434"/>
      <c r="T586" s="434"/>
      <c r="U586" s="434"/>
      <c r="V586" s="434"/>
      <c r="W586" s="434"/>
      <c r="X586" s="434"/>
      <c r="Y586" s="434"/>
      <c r="Z586" s="434"/>
      <c r="AA586" s="434"/>
    </row>
    <row r="587" spans="1:27" ht="15.75" customHeight="1" x14ac:dyDescent="0.35">
      <c r="A587" s="434"/>
      <c r="B587" s="434"/>
      <c r="C587" s="434"/>
      <c r="D587" s="434"/>
      <c r="E587" s="434"/>
      <c r="F587" s="434"/>
      <c r="G587" s="434"/>
      <c r="H587" s="434"/>
      <c r="I587" s="434"/>
      <c r="J587" s="434"/>
      <c r="K587" s="434"/>
      <c r="L587" s="434"/>
      <c r="M587" s="434"/>
      <c r="N587" s="434"/>
      <c r="O587" s="434"/>
      <c r="P587" s="434"/>
      <c r="Q587" s="434"/>
      <c r="R587" s="434"/>
      <c r="S587" s="434"/>
      <c r="T587" s="434"/>
      <c r="U587" s="434"/>
      <c r="V587" s="434"/>
      <c r="W587" s="434"/>
      <c r="X587" s="434"/>
      <c r="Y587" s="434"/>
      <c r="Z587" s="434"/>
      <c r="AA587" s="434"/>
    </row>
    <row r="588" spans="1:27" ht="15.75" customHeight="1" x14ac:dyDescent="0.35">
      <c r="A588" s="434"/>
      <c r="B588" s="434"/>
      <c r="C588" s="434"/>
      <c r="D588" s="434"/>
      <c r="E588" s="434"/>
      <c r="F588" s="434"/>
      <c r="G588" s="434"/>
      <c r="H588" s="434"/>
      <c r="I588" s="434"/>
      <c r="J588" s="434"/>
      <c r="K588" s="434"/>
      <c r="L588" s="434"/>
      <c r="M588" s="434"/>
      <c r="N588" s="434"/>
      <c r="O588" s="434"/>
      <c r="P588" s="434"/>
      <c r="Q588" s="434"/>
      <c r="R588" s="434"/>
      <c r="S588" s="434"/>
      <c r="T588" s="434"/>
      <c r="U588" s="434"/>
      <c r="V588" s="434"/>
      <c r="W588" s="434"/>
      <c r="X588" s="434"/>
      <c r="Y588" s="434"/>
      <c r="Z588" s="434"/>
      <c r="AA588" s="434"/>
    </row>
    <row r="589" spans="1:27" ht="15.75" customHeight="1" x14ac:dyDescent="0.35">
      <c r="A589" s="434"/>
      <c r="B589" s="434"/>
      <c r="C589" s="434"/>
      <c r="D589" s="434"/>
      <c r="E589" s="434"/>
      <c r="F589" s="434"/>
      <c r="G589" s="434"/>
      <c r="H589" s="434"/>
      <c r="I589" s="434"/>
      <c r="J589" s="434"/>
      <c r="K589" s="434"/>
      <c r="L589" s="434"/>
      <c r="M589" s="434"/>
      <c r="N589" s="434"/>
      <c r="O589" s="434"/>
      <c r="P589" s="434"/>
      <c r="Q589" s="434"/>
      <c r="R589" s="434"/>
      <c r="S589" s="434"/>
      <c r="T589" s="434"/>
      <c r="U589" s="434"/>
      <c r="V589" s="434"/>
      <c r="W589" s="434"/>
      <c r="X589" s="434"/>
      <c r="Y589" s="434"/>
      <c r="Z589" s="434"/>
      <c r="AA589" s="434"/>
    </row>
    <row r="590" spans="1:27" ht="15.75" customHeight="1" x14ac:dyDescent="0.35">
      <c r="A590" s="434"/>
      <c r="B590" s="434"/>
      <c r="C590" s="434"/>
      <c r="D590" s="434"/>
      <c r="E590" s="434"/>
      <c r="F590" s="434"/>
      <c r="G590" s="434"/>
      <c r="H590" s="434"/>
      <c r="I590" s="434"/>
      <c r="J590" s="434"/>
      <c r="K590" s="434"/>
      <c r="L590" s="434"/>
      <c r="M590" s="434"/>
      <c r="N590" s="434"/>
      <c r="O590" s="434"/>
      <c r="P590" s="434"/>
      <c r="Q590" s="434"/>
      <c r="R590" s="434"/>
      <c r="S590" s="434"/>
      <c r="T590" s="434"/>
      <c r="U590" s="434"/>
      <c r="V590" s="434"/>
      <c r="W590" s="434"/>
      <c r="X590" s="434"/>
      <c r="Y590" s="434"/>
      <c r="Z590" s="434"/>
      <c r="AA590" s="434"/>
    </row>
    <row r="591" spans="1:27" ht="15.75" customHeight="1" x14ac:dyDescent="0.35">
      <c r="A591" s="434"/>
      <c r="B591" s="434"/>
      <c r="C591" s="434"/>
      <c r="D591" s="434"/>
      <c r="E591" s="434"/>
      <c r="F591" s="434"/>
      <c r="G591" s="434"/>
      <c r="H591" s="434"/>
      <c r="I591" s="434"/>
      <c r="J591" s="434"/>
      <c r="K591" s="434"/>
      <c r="L591" s="434"/>
      <c r="M591" s="434"/>
      <c r="N591" s="434"/>
      <c r="O591" s="434"/>
      <c r="P591" s="434"/>
      <c r="Q591" s="434"/>
      <c r="R591" s="434"/>
      <c r="S591" s="434"/>
      <c r="T591" s="434"/>
      <c r="U591" s="434"/>
      <c r="V591" s="434"/>
      <c r="W591" s="434"/>
      <c r="X591" s="434"/>
      <c r="Y591" s="434"/>
      <c r="Z591" s="434"/>
      <c r="AA591" s="434"/>
    </row>
    <row r="592" spans="1:27" ht="15.75" customHeight="1" x14ac:dyDescent="0.35">
      <c r="A592" s="434"/>
      <c r="B592" s="434"/>
      <c r="C592" s="434"/>
      <c r="D592" s="434"/>
      <c r="E592" s="434"/>
      <c r="F592" s="434"/>
      <c r="G592" s="434"/>
      <c r="H592" s="434"/>
      <c r="I592" s="434"/>
      <c r="J592" s="434"/>
      <c r="K592" s="434"/>
      <c r="L592" s="434"/>
      <c r="M592" s="434"/>
      <c r="N592" s="434"/>
      <c r="O592" s="434"/>
      <c r="P592" s="434"/>
      <c r="Q592" s="434"/>
      <c r="R592" s="434"/>
      <c r="S592" s="434"/>
      <c r="T592" s="434"/>
      <c r="U592" s="434"/>
      <c r="V592" s="434"/>
      <c r="W592" s="434"/>
      <c r="X592" s="434"/>
      <c r="Y592" s="434"/>
      <c r="Z592" s="434"/>
      <c r="AA592" s="434"/>
    </row>
    <row r="593" spans="1:27" ht="15.75" customHeight="1" x14ac:dyDescent="0.35">
      <c r="A593" s="434"/>
      <c r="B593" s="434"/>
      <c r="C593" s="434"/>
      <c r="D593" s="434"/>
      <c r="E593" s="434"/>
      <c r="F593" s="434"/>
      <c r="G593" s="434"/>
      <c r="H593" s="434"/>
      <c r="I593" s="434"/>
      <c r="J593" s="434"/>
      <c r="K593" s="434"/>
      <c r="L593" s="434"/>
      <c r="M593" s="434"/>
      <c r="N593" s="434"/>
      <c r="O593" s="434"/>
      <c r="P593" s="434"/>
      <c r="Q593" s="434"/>
      <c r="R593" s="434"/>
      <c r="S593" s="434"/>
      <c r="T593" s="434"/>
      <c r="U593" s="434"/>
      <c r="V593" s="434"/>
      <c r="W593" s="434"/>
      <c r="X593" s="434"/>
      <c r="Y593" s="434"/>
      <c r="Z593" s="434"/>
      <c r="AA593" s="434"/>
    </row>
    <row r="594" spans="1:27" ht="15.75" customHeight="1" x14ac:dyDescent="0.35">
      <c r="A594" s="434"/>
      <c r="B594" s="434"/>
      <c r="C594" s="434"/>
      <c r="D594" s="434"/>
      <c r="E594" s="434"/>
      <c r="F594" s="434"/>
      <c r="G594" s="434"/>
      <c r="H594" s="434"/>
      <c r="I594" s="434"/>
      <c r="J594" s="434"/>
      <c r="K594" s="434"/>
      <c r="L594" s="434"/>
      <c r="M594" s="434"/>
      <c r="N594" s="434"/>
      <c r="O594" s="434"/>
      <c r="P594" s="434"/>
      <c r="Q594" s="434"/>
      <c r="R594" s="434"/>
      <c r="S594" s="434"/>
      <c r="T594" s="434"/>
      <c r="U594" s="434"/>
      <c r="V594" s="434"/>
      <c r="W594" s="434"/>
      <c r="X594" s="434"/>
      <c r="Y594" s="434"/>
      <c r="Z594" s="434"/>
      <c r="AA594" s="434"/>
    </row>
    <row r="595" spans="1:27" ht="15.75" customHeight="1" x14ac:dyDescent="0.35">
      <c r="A595" s="434"/>
      <c r="B595" s="434"/>
      <c r="C595" s="434"/>
      <c r="D595" s="434"/>
      <c r="E595" s="434"/>
      <c r="F595" s="434"/>
      <c r="G595" s="434"/>
      <c r="H595" s="434"/>
      <c r="I595" s="434"/>
      <c r="J595" s="434"/>
      <c r="K595" s="434"/>
      <c r="L595" s="434"/>
      <c r="M595" s="434"/>
      <c r="N595" s="434"/>
      <c r="O595" s="434"/>
      <c r="P595" s="434"/>
      <c r="Q595" s="434"/>
      <c r="R595" s="434"/>
      <c r="S595" s="434"/>
      <c r="T595" s="434"/>
      <c r="U595" s="434"/>
      <c r="V595" s="434"/>
      <c r="W595" s="434"/>
      <c r="X595" s="434"/>
      <c r="Y595" s="434"/>
      <c r="Z595" s="434"/>
      <c r="AA595" s="434"/>
    </row>
    <row r="596" spans="1:27" ht="15.75" customHeight="1" x14ac:dyDescent="0.35">
      <c r="A596" s="434"/>
      <c r="B596" s="434"/>
      <c r="C596" s="434"/>
      <c r="D596" s="434"/>
      <c r="E596" s="434"/>
      <c r="F596" s="434"/>
      <c r="G596" s="434"/>
      <c r="H596" s="434"/>
      <c r="I596" s="434"/>
      <c r="J596" s="434"/>
      <c r="K596" s="434"/>
      <c r="L596" s="434"/>
      <c r="M596" s="434"/>
      <c r="N596" s="434"/>
      <c r="O596" s="434"/>
      <c r="P596" s="434"/>
      <c r="Q596" s="434"/>
      <c r="R596" s="434"/>
      <c r="S596" s="434"/>
      <c r="T596" s="434"/>
      <c r="U596" s="434"/>
      <c r="V596" s="434"/>
      <c r="W596" s="434"/>
      <c r="X596" s="434"/>
      <c r="Y596" s="434"/>
      <c r="Z596" s="434"/>
      <c r="AA596" s="434"/>
    </row>
    <row r="597" spans="1:27" ht="15.75" customHeight="1" x14ac:dyDescent="0.35">
      <c r="A597" s="434"/>
      <c r="B597" s="434"/>
      <c r="C597" s="434"/>
      <c r="D597" s="434"/>
      <c r="E597" s="434"/>
      <c r="F597" s="434"/>
      <c r="G597" s="434"/>
      <c r="H597" s="434"/>
      <c r="I597" s="434"/>
      <c r="J597" s="434"/>
      <c r="K597" s="434"/>
      <c r="L597" s="434"/>
      <c r="M597" s="434"/>
      <c r="N597" s="434"/>
      <c r="O597" s="434"/>
      <c r="P597" s="434"/>
      <c r="Q597" s="434"/>
      <c r="R597" s="434"/>
      <c r="S597" s="434"/>
      <c r="T597" s="434"/>
      <c r="U597" s="434"/>
      <c r="V597" s="434"/>
      <c r="W597" s="434"/>
      <c r="X597" s="434"/>
      <c r="Y597" s="434"/>
      <c r="Z597" s="434"/>
      <c r="AA597" s="434"/>
    </row>
    <row r="598" spans="1:27" ht="15.75" customHeight="1" x14ac:dyDescent="0.35">
      <c r="A598" s="434"/>
      <c r="B598" s="434"/>
      <c r="C598" s="434"/>
      <c r="D598" s="434"/>
      <c r="E598" s="434"/>
      <c r="F598" s="434"/>
      <c r="G598" s="434"/>
      <c r="H598" s="434"/>
      <c r="I598" s="434"/>
      <c r="J598" s="434"/>
      <c r="K598" s="434"/>
      <c r="L598" s="434"/>
      <c r="M598" s="434"/>
      <c r="N598" s="434"/>
      <c r="O598" s="434"/>
      <c r="P598" s="434"/>
      <c r="Q598" s="434"/>
      <c r="R598" s="434"/>
      <c r="S598" s="434"/>
      <c r="T598" s="434"/>
      <c r="U598" s="434"/>
      <c r="V598" s="434"/>
      <c r="W598" s="434"/>
      <c r="X598" s="434"/>
      <c r="Y598" s="434"/>
      <c r="Z598" s="434"/>
      <c r="AA598" s="434"/>
    </row>
    <row r="599" spans="1:27" ht="15.75" customHeight="1" x14ac:dyDescent="0.35">
      <c r="A599" s="434"/>
      <c r="B599" s="434"/>
      <c r="C599" s="434"/>
      <c r="D599" s="434"/>
      <c r="E599" s="434"/>
      <c r="F599" s="434"/>
      <c r="G599" s="434"/>
      <c r="H599" s="434"/>
      <c r="I599" s="434"/>
      <c r="J599" s="434"/>
      <c r="K599" s="434"/>
      <c r="L599" s="434"/>
      <c r="M599" s="434"/>
      <c r="N599" s="434"/>
      <c r="O599" s="434"/>
      <c r="P599" s="434"/>
      <c r="Q599" s="434"/>
      <c r="R599" s="434"/>
      <c r="S599" s="434"/>
      <c r="T599" s="434"/>
      <c r="U599" s="434"/>
      <c r="V599" s="434"/>
      <c r="W599" s="434"/>
      <c r="X599" s="434"/>
      <c r="Y599" s="434"/>
      <c r="Z599" s="434"/>
      <c r="AA599" s="434"/>
    </row>
    <row r="600" spans="1:27" ht="15.75" customHeight="1" x14ac:dyDescent="0.35">
      <c r="A600" s="434"/>
      <c r="B600" s="434"/>
      <c r="C600" s="434"/>
      <c r="D600" s="434"/>
      <c r="E600" s="434"/>
      <c r="F600" s="434"/>
      <c r="G600" s="434"/>
      <c r="H600" s="434"/>
      <c r="I600" s="434"/>
      <c r="J600" s="434"/>
      <c r="K600" s="434"/>
      <c r="L600" s="434"/>
      <c r="M600" s="434"/>
      <c r="N600" s="434"/>
      <c r="O600" s="434"/>
      <c r="P600" s="434"/>
      <c r="Q600" s="434"/>
      <c r="R600" s="434"/>
      <c r="S600" s="434"/>
      <c r="T600" s="434"/>
      <c r="U600" s="434"/>
      <c r="V600" s="434"/>
      <c r="W600" s="434"/>
      <c r="X600" s="434"/>
      <c r="Y600" s="434"/>
      <c r="Z600" s="434"/>
      <c r="AA600" s="434"/>
    </row>
    <row r="601" spans="1:27" ht="15.75" customHeight="1" x14ac:dyDescent="0.35">
      <c r="A601" s="434"/>
      <c r="B601" s="434"/>
      <c r="C601" s="434"/>
      <c r="D601" s="434"/>
      <c r="E601" s="434"/>
      <c r="F601" s="434"/>
      <c r="G601" s="434"/>
      <c r="H601" s="434"/>
      <c r="I601" s="434"/>
      <c r="J601" s="434"/>
      <c r="K601" s="434"/>
      <c r="L601" s="434"/>
      <c r="M601" s="434"/>
      <c r="N601" s="434"/>
      <c r="O601" s="434"/>
      <c r="P601" s="434"/>
      <c r="Q601" s="434"/>
      <c r="R601" s="434"/>
      <c r="S601" s="434"/>
      <c r="T601" s="434"/>
      <c r="U601" s="434"/>
      <c r="V601" s="434"/>
      <c r="W601" s="434"/>
      <c r="X601" s="434"/>
      <c r="Y601" s="434"/>
      <c r="Z601" s="434"/>
      <c r="AA601" s="434"/>
    </row>
    <row r="602" spans="1:27" ht="15.75" customHeight="1" x14ac:dyDescent="0.35">
      <c r="A602" s="434"/>
      <c r="B602" s="434"/>
      <c r="C602" s="434"/>
      <c r="D602" s="434"/>
      <c r="E602" s="434"/>
      <c r="F602" s="434"/>
      <c r="G602" s="434"/>
      <c r="H602" s="434"/>
      <c r="I602" s="434"/>
      <c r="J602" s="434"/>
      <c r="K602" s="434"/>
      <c r="L602" s="434"/>
      <c r="M602" s="434"/>
      <c r="N602" s="434"/>
      <c r="O602" s="434"/>
      <c r="P602" s="434"/>
      <c r="Q602" s="434"/>
      <c r="R602" s="434"/>
      <c r="S602" s="434"/>
      <c r="T602" s="434"/>
      <c r="U602" s="434"/>
      <c r="V602" s="434"/>
      <c r="W602" s="434"/>
      <c r="X602" s="434"/>
      <c r="Y602" s="434"/>
      <c r="Z602" s="434"/>
      <c r="AA602" s="434"/>
    </row>
    <row r="603" spans="1:27" ht="15.75" customHeight="1" x14ac:dyDescent="0.35">
      <c r="A603" s="434"/>
      <c r="B603" s="434"/>
      <c r="C603" s="434"/>
      <c r="D603" s="434"/>
      <c r="E603" s="434"/>
      <c r="F603" s="434"/>
      <c r="G603" s="434"/>
      <c r="H603" s="434"/>
      <c r="I603" s="434"/>
      <c r="J603" s="434"/>
      <c r="K603" s="434"/>
      <c r="L603" s="434"/>
      <c r="M603" s="434"/>
      <c r="N603" s="434"/>
      <c r="O603" s="434"/>
      <c r="P603" s="434"/>
      <c r="Q603" s="434"/>
      <c r="R603" s="434"/>
      <c r="S603" s="434"/>
      <c r="T603" s="434"/>
      <c r="U603" s="434"/>
      <c r="V603" s="434"/>
      <c r="W603" s="434"/>
      <c r="X603" s="434"/>
      <c r="Y603" s="434"/>
      <c r="Z603" s="434"/>
      <c r="AA603" s="434"/>
    </row>
    <row r="604" spans="1:27" ht="15.75" customHeight="1" x14ac:dyDescent="0.35">
      <c r="A604" s="434"/>
      <c r="B604" s="434"/>
      <c r="C604" s="434"/>
      <c r="D604" s="434"/>
      <c r="E604" s="434"/>
      <c r="F604" s="434"/>
      <c r="G604" s="434"/>
      <c r="H604" s="434"/>
      <c r="I604" s="434"/>
      <c r="J604" s="434"/>
      <c r="K604" s="434"/>
      <c r="L604" s="434"/>
      <c r="M604" s="434"/>
      <c r="N604" s="434"/>
      <c r="O604" s="434"/>
      <c r="P604" s="434"/>
      <c r="Q604" s="434"/>
      <c r="R604" s="434"/>
      <c r="S604" s="434"/>
      <c r="T604" s="434"/>
      <c r="U604" s="434"/>
      <c r="V604" s="434"/>
      <c r="W604" s="434"/>
      <c r="X604" s="434"/>
      <c r="Y604" s="434"/>
      <c r="Z604" s="434"/>
      <c r="AA604" s="434"/>
    </row>
    <row r="605" spans="1:27" ht="15.75" customHeight="1" x14ac:dyDescent="0.35">
      <c r="A605" s="434"/>
      <c r="B605" s="434"/>
      <c r="C605" s="434"/>
      <c r="D605" s="434"/>
      <c r="E605" s="434"/>
      <c r="F605" s="434"/>
      <c r="G605" s="434"/>
      <c r="H605" s="434"/>
      <c r="I605" s="434"/>
      <c r="J605" s="434"/>
      <c r="K605" s="434"/>
      <c r="L605" s="434"/>
      <c r="M605" s="434"/>
      <c r="N605" s="434"/>
      <c r="O605" s="434"/>
      <c r="P605" s="434"/>
      <c r="Q605" s="434"/>
      <c r="R605" s="434"/>
      <c r="S605" s="434"/>
      <c r="T605" s="434"/>
      <c r="U605" s="434"/>
      <c r="V605" s="434"/>
      <c r="W605" s="434"/>
      <c r="X605" s="434"/>
      <c r="Y605" s="434"/>
      <c r="Z605" s="434"/>
      <c r="AA605" s="434"/>
    </row>
    <row r="606" spans="1:27" ht="15.75" customHeight="1" x14ac:dyDescent="0.35">
      <c r="A606" s="434"/>
      <c r="B606" s="434"/>
      <c r="C606" s="434"/>
      <c r="D606" s="434"/>
      <c r="E606" s="434"/>
      <c r="F606" s="434"/>
      <c r="G606" s="434"/>
      <c r="H606" s="434"/>
      <c r="I606" s="434"/>
      <c r="J606" s="434"/>
      <c r="K606" s="434"/>
      <c r="L606" s="434"/>
      <c r="M606" s="434"/>
      <c r="N606" s="434"/>
      <c r="O606" s="434"/>
      <c r="P606" s="434"/>
      <c r="Q606" s="434"/>
      <c r="R606" s="434"/>
      <c r="S606" s="434"/>
      <c r="T606" s="434"/>
      <c r="U606" s="434"/>
      <c r="V606" s="434"/>
      <c r="W606" s="434"/>
      <c r="X606" s="434"/>
      <c r="Y606" s="434"/>
      <c r="Z606" s="434"/>
      <c r="AA606" s="434"/>
    </row>
    <row r="607" spans="1:27" ht="15.75" customHeight="1" x14ac:dyDescent="0.35">
      <c r="A607" s="434"/>
      <c r="B607" s="434"/>
      <c r="C607" s="434"/>
      <c r="D607" s="434"/>
      <c r="E607" s="434"/>
      <c r="F607" s="434"/>
      <c r="G607" s="434"/>
      <c r="H607" s="434"/>
      <c r="I607" s="434"/>
      <c r="J607" s="434"/>
      <c r="K607" s="434"/>
      <c r="L607" s="434"/>
      <c r="M607" s="434"/>
      <c r="N607" s="434"/>
      <c r="O607" s="434"/>
      <c r="P607" s="434"/>
      <c r="Q607" s="434"/>
      <c r="R607" s="434"/>
      <c r="S607" s="434"/>
      <c r="T607" s="434"/>
      <c r="U607" s="434"/>
      <c r="V607" s="434"/>
      <c r="W607" s="434"/>
      <c r="X607" s="434"/>
      <c r="Y607" s="434"/>
      <c r="Z607" s="434"/>
      <c r="AA607" s="434"/>
    </row>
    <row r="608" spans="1:27" ht="15.75" customHeight="1" x14ac:dyDescent="0.35">
      <c r="A608" s="434"/>
      <c r="B608" s="434"/>
      <c r="C608" s="434"/>
      <c r="D608" s="434"/>
      <c r="E608" s="434"/>
      <c r="F608" s="434"/>
      <c r="G608" s="434"/>
      <c r="H608" s="434"/>
      <c r="I608" s="434"/>
      <c r="J608" s="434"/>
      <c r="K608" s="434"/>
      <c r="L608" s="434"/>
      <c r="M608" s="434"/>
      <c r="N608" s="434"/>
      <c r="O608" s="434"/>
      <c r="P608" s="434"/>
      <c r="Q608" s="434"/>
      <c r="R608" s="434"/>
      <c r="S608" s="434"/>
      <c r="T608" s="434"/>
      <c r="U608" s="434"/>
      <c r="V608" s="434"/>
      <c r="W608" s="434"/>
      <c r="X608" s="434"/>
      <c r="Y608" s="434"/>
      <c r="Z608" s="434"/>
      <c r="AA608" s="434"/>
    </row>
    <row r="609" spans="1:27" ht="15.75" customHeight="1" x14ac:dyDescent="0.35">
      <c r="A609" s="434"/>
      <c r="B609" s="434"/>
      <c r="C609" s="434"/>
      <c r="D609" s="434"/>
      <c r="E609" s="434"/>
      <c r="F609" s="434"/>
      <c r="G609" s="434"/>
      <c r="H609" s="434"/>
      <c r="I609" s="434"/>
      <c r="J609" s="434"/>
      <c r="K609" s="434"/>
      <c r="L609" s="434"/>
      <c r="M609" s="434"/>
      <c r="N609" s="434"/>
      <c r="O609" s="434"/>
      <c r="P609" s="434"/>
      <c r="Q609" s="434"/>
      <c r="R609" s="434"/>
      <c r="S609" s="434"/>
      <c r="T609" s="434"/>
      <c r="U609" s="434"/>
      <c r="V609" s="434"/>
      <c r="W609" s="434"/>
      <c r="X609" s="434"/>
      <c r="Y609" s="434"/>
      <c r="Z609" s="434"/>
      <c r="AA609" s="434"/>
    </row>
    <row r="610" spans="1:27" ht="15.75" customHeight="1" x14ac:dyDescent="0.35">
      <c r="A610" s="434"/>
      <c r="B610" s="434"/>
      <c r="C610" s="434"/>
      <c r="D610" s="434"/>
      <c r="E610" s="434"/>
      <c r="F610" s="434"/>
      <c r="G610" s="434"/>
      <c r="H610" s="434"/>
      <c r="I610" s="434"/>
      <c r="J610" s="434"/>
      <c r="K610" s="434"/>
      <c r="L610" s="434"/>
      <c r="M610" s="434"/>
      <c r="N610" s="434"/>
      <c r="O610" s="434"/>
      <c r="P610" s="434"/>
      <c r="Q610" s="434"/>
      <c r="R610" s="434"/>
      <c r="S610" s="434"/>
      <c r="T610" s="434"/>
      <c r="U610" s="434"/>
      <c r="V610" s="434"/>
      <c r="W610" s="434"/>
      <c r="X610" s="434"/>
      <c r="Y610" s="434"/>
      <c r="Z610" s="434"/>
      <c r="AA610" s="434"/>
    </row>
    <row r="611" spans="1:27" ht="15.75" customHeight="1" x14ac:dyDescent="0.35">
      <c r="A611" s="434"/>
      <c r="B611" s="434"/>
      <c r="C611" s="434"/>
      <c r="D611" s="434"/>
      <c r="E611" s="434"/>
      <c r="F611" s="434"/>
      <c r="G611" s="434"/>
      <c r="H611" s="434"/>
      <c r="I611" s="434"/>
      <c r="J611" s="434"/>
      <c r="K611" s="434"/>
      <c r="L611" s="434"/>
      <c r="M611" s="434"/>
      <c r="N611" s="434"/>
      <c r="O611" s="434"/>
      <c r="P611" s="434"/>
      <c r="Q611" s="434"/>
      <c r="R611" s="434"/>
      <c r="S611" s="434"/>
      <c r="T611" s="434"/>
      <c r="U611" s="434"/>
      <c r="V611" s="434"/>
      <c r="W611" s="434"/>
      <c r="X611" s="434"/>
      <c r="Y611" s="434"/>
      <c r="Z611" s="434"/>
      <c r="AA611" s="434"/>
    </row>
    <row r="612" spans="1:27" ht="15.75" customHeight="1" x14ac:dyDescent="0.35">
      <c r="A612" s="434"/>
      <c r="B612" s="434"/>
      <c r="C612" s="434"/>
      <c r="D612" s="434"/>
      <c r="E612" s="434"/>
      <c r="F612" s="434"/>
      <c r="G612" s="434"/>
      <c r="H612" s="434"/>
      <c r="I612" s="434"/>
      <c r="J612" s="434"/>
      <c r="K612" s="434"/>
      <c r="L612" s="434"/>
      <c r="M612" s="434"/>
      <c r="N612" s="434"/>
      <c r="O612" s="434"/>
      <c r="P612" s="434"/>
      <c r="Q612" s="434"/>
      <c r="R612" s="434"/>
      <c r="S612" s="434"/>
      <c r="T612" s="434"/>
      <c r="U612" s="434"/>
      <c r="V612" s="434"/>
      <c r="W612" s="434"/>
      <c r="X612" s="434"/>
      <c r="Y612" s="434"/>
      <c r="Z612" s="434"/>
      <c r="AA612" s="434"/>
    </row>
    <row r="613" spans="1:27" ht="15.75" customHeight="1" x14ac:dyDescent="0.35">
      <c r="A613" s="434"/>
      <c r="B613" s="434"/>
      <c r="C613" s="434"/>
      <c r="D613" s="434"/>
      <c r="E613" s="434"/>
      <c r="F613" s="434"/>
      <c r="G613" s="434"/>
      <c r="H613" s="434"/>
      <c r="I613" s="434"/>
      <c r="J613" s="434"/>
      <c r="K613" s="434"/>
      <c r="L613" s="434"/>
      <c r="M613" s="434"/>
      <c r="N613" s="434"/>
      <c r="O613" s="434"/>
      <c r="P613" s="434"/>
      <c r="Q613" s="434"/>
      <c r="R613" s="434"/>
      <c r="S613" s="434"/>
      <c r="T613" s="434"/>
      <c r="U613" s="434"/>
      <c r="V613" s="434"/>
      <c r="W613" s="434"/>
      <c r="X613" s="434"/>
      <c r="Y613" s="434"/>
      <c r="Z613" s="434"/>
      <c r="AA613" s="434"/>
    </row>
    <row r="614" spans="1:27" ht="15.75" customHeight="1" x14ac:dyDescent="0.35">
      <c r="A614" s="434"/>
      <c r="B614" s="434"/>
      <c r="C614" s="434"/>
      <c r="D614" s="434"/>
      <c r="E614" s="434"/>
      <c r="F614" s="434"/>
      <c r="G614" s="434"/>
      <c r="H614" s="434"/>
      <c r="I614" s="434"/>
      <c r="J614" s="434"/>
      <c r="K614" s="434"/>
      <c r="L614" s="434"/>
      <c r="M614" s="434"/>
      <c r="N614" s="434"/>
      <c r="O614" s="434"/>
      <c r="P614" s="434"/>
      <c r="Q614" s="434"/>
      <c r="R614" s="434"/>
      <c r="S614" s="434"/>
      <c r="T614" s="434"/>
      <c r="U614" s="434"/>
      <c r="V614" s="434"/>
      <c r="W614" s="434"/>
      <c r="X614" s="434"/>
      <c r="Y614" s="434"/>
      <c r="Z614" s="434"/>
      <c r="AA614" s="434"/>
    </row>
    <row r="615" spans="1:27" ht="15.75" customHeight="1" x14ac:dyDescent="0.35">
      <c r="A615" s="434"/>
      <c r="B615" s="434"/>
      <c r="C615" s="434"/>
      <c r="D615" s="434"/>
      <c r="E615" s="434"/>
      <c r="F615" s="434"/>
      <c r="G615" s="434"/>
      <c r="H615" s="434"/>
      <c r="I615" s="434"/>
      <c r="J615" s="434"/>
      <c r="K615" s="434"/>
      <c r="L615" s="434"/>
      <c r="M615" s="434"/>
      <c r="N615" s="434"/>
      <c r="O615" s="434"/>
      <c r="P615" s="434"/>
      <c r="Q615" s="434"/>
      <c r="R615" s="434"/>
      <c r="S615" s="434"/>
      <c r="T615" s="434"/>
      <c r="U615" s="434"/>
      <c r="V615" s="434"/>
      <c r="W615" s="434"/>
      <c r="X615" s="434"/>
      <c r="Y615" s="434"/>
      <c r="Z615" s="434"/>
      <c r="AA615" s="434"/>
    </row>
    <row r="616" spans="1:27" ht="15.75" customHeight="1" x14ac:dyDescent="0.35">
      <c r="A616" s="434"/>
      <c r="B616" s="434"/>
      <c r="C616" s="434"/>
      <c r="D616" s="434"/>
      <c r="E616" s="434"/>
      <c r="F616" s="434"/>
      <c r="G616" s="434"/>
      <c r="H616" s="434"/>
      <c r="I616" s="434"/>
      <c r="J616" s="434"/>
      <c r="K616" s="434"/>
      <c r="L616" s="434"/>
      <c r="M616" s="434"/>
      <c r="N616" s="434"/>
      <c r="O616" s="434"/>
      <c r="P616" s="434"/>
      <c r="Q616" s="434"/>
      <c r="R616" s="434"/>
      <c r="S616" s="434"/>
      <c r="T616" s="434"/>
      <c r="U616" s="434"/>
      <c r="V616" s="434"/>
      <c r="W616" s="434"/>
      <c r="X616" s="434"/>
      <c r="Y616" s="434"/>
      <c r="Z616" s="434"/>
      <c r="AA616" s="434"/>
    </row>
    <row r="617" spans="1:27" ht="15.75" customHeight="1" x14ac:dyDescent="0.35">
      <c r="A617" s="434"/>
      <c r="B617" s="434"/>
      <c r="C617" s="434"/>
      <c r="D617" s="434"/>
      <c r="E617" s="434"/>
      <c r="F617" s="434"/>
      <c r="G617" s="434"/>
      <c r="H617" s="434"/>
      <c r="I617" s="434"/>
      <c r="J617" s="434"/>
      <c r="K617" s="434"/>
      <c r="L617" s="434"/>
      <c r="M617" s="434"/>
      <c r="N617" s="434"/>
      <c r="O617" s="434"/>
      <c r="P617" s="434"/>
      <c r="Q617" s="434"/>
      <c r="R617" s="434"/>
      <c r="S617" s="434"/>
      <c r="T617" s="434"/>
      <c r="U617" s="434"/>
      <c r="V617" s="434"/>
      <c r="W617" s="434"/>
      <c r="X617" s="434"/>
      <c r="Y617" s="434"/>
      <c r="Z617" s="434"/>
      <c r="AA617" s="434"/>
    </row>
    <row r="618" spans="1:27" ht="15.75" customHeight="1" x14ac:dyDescent="0.35">
      <c r="A618" s="434"/>
      <c r="B618" s="434"/>
      <c r="C618" s="434"/>
      <c r="D618" s="434"/>
      <c r="E618" s="434"/>
      <c r="F618" s="434"/>
      <c r="G618" s="434"/>
      <c r="H618" s="434"/>
      <c r="I618" s="434"/>
      <c r="J618" s="434"/>
      <c r="K618" s="434"/>
      <c r="L618" s="434"/>
      <c r="M618" s="434"/>
      <c r="N618" s="434"/>
      <c r="O618" s="434"/>
      <c r="P618" s="434"/>
      <c r="Q618" s="434"/>
      <c r="R618" s="434"/>
      <c r="S618" s="434"/>
      <c r="T618" s="434"/>
      <c r="U618" s="434"/>
      <c r="V618" s="434"/>
      <c r="W618" s="434"/>
      <c r="X618" s="434"/>
      <c r="Y618" s="434"/>
      <c r="Z618" s="434"/>
      <c r="AA618" s="434"/>
    </row>
    <row r="619" spans="1:27" ht="15.75" customHeight="1" x14ac:dyDescent="0.35">
      <c r="A619" s="434"/>
      <c r="B619" s="434"/>
      <c r="C619" s="434"/>
      <c r="D619" s="434"/>
      <c r="E619" s="434"/>
      <c r="F619" s="434"/>
      <c r="G619" s="434"/>
      <c r="H619" s="434"/>
      <c r="I619" s="434"/>
      <c r="J619" s="434"/>
      <c r="K619" s="434"/>
      <c r="L619" s="434"/>
      <c r="M619" s="434"/>
      <c r="N619" s="434"/>
      <c r="O619" s="434"/>
      <c r="P619" s="434"/>
      <c r="Q619" s="434"/>
      <c r="R619" s="434"/>
      <c r="S619" s="434"/>
      <c r="T619" s="434"/>
      <c r="U619" s="434"/>
      <c r="V619" s="434"/>
      <c r="W619" s="434"/>
      <c r="X619" s="434"/>
      <c r="Y619" s="434"/>
      <c r="Z619" s="434"/>
      <c r="AA619" s="434"/>
    </row>
    <row r="620" spans="1:27" ht="15.75" customHeight="1" x14ac:dyDescent="0.35">
      <c r="A620" s="434"/>
      <c r="B620" s="434"/>
      <c r="C620" s="434"/>
      <c r="D620" s="434"/>
      <c r="E620" s="434"/>
      <c r="F620" s="434"/>
      <c r="G620" s="434"/>
      <c r="H620" s="434"/>
      <c r="I620" s="434"/>
      <c r="J620" s="434"/>
      <c r="K620" s="434"/>
      <c r="L620" s="434"/>
      <c r="M620" s="434"/>
      <c r="N620" s="434"/>
      <c r="O620" s="434"/>
      <c r="P620" s="434"/>
      <c r="Q620" s="434"/>
      <c r="R620" s="434"/>
      <c r="S620" s="434"/>
      <c r="T620" s="434"/>
      <c r="U620" s="434"/>
      <c r="V620" s="434"/>
      <c r="W620" s="434"/>
      <c r="X620" s="434"/>
      <c r="Y620" s="434"/>
      <c r="Z620" s="434"/>
      <c r="AA620" s="434"/>
    </row>
    <row r="621" spans="1:27" ht="15.75" customHeight="1" x14ac:dyDescent="0.35">
      <c r="A621" s="434"/>
      <c r="B621" s="434"/>
      <c r="C621" s="434"/>
      <c r="D621" s="434"/>
      <c r="E621" s="434"/>
      <c r="F621" s="434"/>
      <c r="G621" s="434"/>
      <c r="H621" s="434"/>
      <c r="I621" s="434"/>
      <c r="J621" s="434"/>
      <c r="K621" s="434"/>
      <c r="L621" s="434"/>
      <c r="M621" s="434"/>
      <c r="N621" s="434"/>
      <c r="O621" s="434"/>
      <c r="P621" s="434"/>
      <c r="Q621" s="434"/>
      <c r="R621" s="434"/>
      <c r="S621" s="434"/>
      <c r="T621" s="434"/>
      <c r="U621" s="434"/>
      <c r="V621" s="434"/>
      <c r="W621" s="434"/>
      <c r="X621" s="434"/>
      <c r="Y621" s="434"/>
      <c r="Z621" s="434"/>
      <c r="AA621" s="434"/>
    </row>
    <row r="622" spans="1:27" ht="15.75" customHeight="1" x14ac:dyDescent="0.35">
      <c r="A622" s="434"/>
      <c r="B622" s="434"/>
      <c r="C622" s="434"/>
      <c r="D622" s="434"/>
      <c r="E622" s="434"/>
      <c r="F622" s="434"/>
      <c r="G622" s="434"/>
      <c r="H622" s="434"/>
      <c r="I622" s="434"/>
      <c r="J622" s="434"/>
      <c r="K622" s="434"/>
      <c r="L622" s="434"/>
      <c r="M622" s="434"/>
      <c r="N622" s="434"/>
      <c r="O622" s="434"/>
      <c r="P622" s="434"/>
      <c r="Q622" s="434"/>
      <c r="R622" s="434"/>
      <c r="S622" s="434"/>
      <c r="T622" s="434"/>
      <c r="U622" s="434"/>
      <c r="V622" s="434"/>
      <c r="W622" s="434"/>
      <c r="X622" s="434"/>
      <c r="Y622" s="434"/>
      <c r="Z622" s="434"/>
      <c r="AA622" s="434"/>
    </row>
    <row r="623" spans="1:27" ht="15.75" customHeight="1" x14ac:dyDescent="0.35">
      <c r="A623" s="434"/>
      <c r="B623" s="434"/>
      <c r="C623" s="434"/>
      <c r="D623" s="434"/>
      <c r="E623" s="434"/>
      <c r="F623" s="434"/>
      <c r="G623" s="434"/>
      <c r="H623" s="434"/>
      <c r="I623" s="434"/>
      <c r="J623" s="434"/>
      <c r="K623" s="434"/>
      <c r="L623" s="434"/>
      <c r="M623" s="434"/>
      <c r="N623" s="434"/>
      <c r="O623" s="434"/>
      <c r="P623" s="434"/>
      <c r="Q623" s="434"/>
      <c r="R623" s="434"/>
      <c r="S623" s="434"/>
      <c r="T623" s="434"/>
      <c r="U623" s="434"/>
      <c r="V623" s="434"/>
      <c r="W623" s="434"/>
      <c r="X623" s="434"/>
      <c r="Y623" s="434"/>
      <c r="Z623" s="434"/>
      <c r="AA623" s="434"/>
    </row>
    <row r="624" spans="1:27" ht="15.75" customHeight="1" x14ac:dyDescent="0.35">
      <c r="A624" s="434"/>
      <c r="B624" s="434"/>
      <c r="C624" s="434"/>
      <c r="D624" s="434"/>
      <c r="E624" s="434"/>
      <c r="F624" s="434"/>
      <c r="G624" s="434"/>
      <c r="H624" s="434"/>
      <c r="I624" s="434"/>
      <c r="J624" s="434"/>
      <c r="K624" s="434"/>
      <c r="L624" s="434"/>
      <c r="M624" s="434"/>
      <c r="N624" s="434"/>
      <c r="O624" s="434"/>
      <c r="P624" s="434"/>
      <c r="Q624" s="434"/>
      <c r="R624" s="434"/>
      <c r="S624" s="434"/>
      <c r="T624" s="434"/>
      <c r="U624" s="434"/>
      <c r="V624" s="434"/>
      <c r="W624" s="434"/>
      <c r="X624" s="434"/>
      <c r="Y624" s="434"/>
      <c r="Z624" s="434"/>
      <c r="AA624" s="434"/>
    </row>
    <row r="625" spans="1:27" ht="15.75" customHeight="1" x14ac:dyDescent="0.35">
      <c r="A625" s="434"/>
      <c r="B625" s="434"/>
      <c r="C625" s="434"/>
      <c r="D625" s="434"/>
      <c r="E625" s="434"/>
      <c r="F625" s="434"/>
      <c r="G625" s="434"/>
      <c r="H625" s="434"/>
      <c r="I625" s="434"/>
      <c r="J625" s="434"/>
      <c r="K625" s="434"/>
      <c r="L625" s="434"/>
      <c r="M625" s="434"/>
      <c r="N625" s="434"/>
      <c r="O625" s="434"/>
      <c r="P625" s="434"/>
      <c r="Q625" s="434"/>
      <c r="R625" s="434"/>
      <c r="S625" s="434"/>
      <c r="T625" s="434"/>
      <c r="U625" s="434"/>
      <c r="V625" s="434"/>
      <c r="W625" s="434"/>
      <c r="X625" s="434"/>
      <c r="Y625" s="434"/>
      <c r="Z625" s="434"/>
      <c r="AA625" s="434"/>
    </row>
    <row r="626" spans="1:27" ht="15.75" customHeight="1" x14ac:dyDescent="0.35">
      <c r="A626" s="434"/>
      <c r="B626" s="434"/>
      <c r="C626" s="434"/>
      <c r="D626" s="434"/>
      <c r="E626" s="434"/>
      <c r="F626" s="434"/>
      <c r="G626" s="434"/>
      <c r="H626" s="434"/>
      <c r="I626" s="434"/>
      <c r="J626" s="434"/>
      <c r="K626" s="434"/>
      <c r="L626" s="434"/>
      <c r="M626" s="434"/>
      <c r="N626" s="434"/>
      <c r="O626" s="434"/>
      <c r="P626" s="434"/>
      <c r="Q626" s="434"/>
      <c r="R626" s="434"/>
      <c r="S626" s="434"/>
      <c r="T626" s="434"/>
      <c r="U626" s="434"/>
      <c r="V626" s="434"/>
      <c r="W626" s="434"/>
      <c r="X626" s="434"/>
      <c r="Y626" s="434"/>
      <c r="Z626" s="434"/>
      <c r="AA626" s="434"/>
    </row>
    <row r="627" spans="1:27" ht="15.75" customHeight="1" x14ac:dyDescent="0.35">
      <c r="A627" s="434"/>
      <c r="B627" s="434"/>
      <c r="C627" s="434"/>
      <c r="D627" s="434"/>
      <c r="E627" s="434"/>
      <c r="F627" s="434"/>
      <c r="G627" s="434"/>
      <c r="H627" s="434"/>
      <c r="I627" s="434"/>
      <c r="J627" s="434"/>
      <c r="K627" s="434"/>
      <c r="L627" s="434"/>
      <c r="M627" s="434"/>
      <c r="N627" s="434"/>
      <c r="O627" s="434"/>
      <c r="P627" s="434"/>
      <c r="Q627" s="434"/>
      <c r="R627" s="434"/>
      <c r="S627" s="434"/>
      <c r="T627" s="434"/>
      <c r="U627" s="434"/>
      <c r="V627" s="434"/>
      <c r="W627" s="434"/>
      <c r="X627" s="434"/>
      <c r="Y627" s="434"/>
      <c r="Z627" s="434"/>
      <c r="AA627" s="434"/>
    </row>
    <row r="628" spans="1:27" ht="15.75" customHeight="1" x14ac:dyDescent="0.35">
      <c r="A628" s="434"/>
      <c r="B628" s="434"/>
      <c r="C628" s="434"/>
      <c r="D628" s="434"/>
      <c r="E628" s="434"/>
      <c r="F628" s="434"/>
      <c r="G628" s="434"/>
      <c r="H628" s="434"/>
      <c r="I628" s="434"/>
      <c r="J628" s="434"/>
      <c r="K628" s="434"/>
      <c r="L628" s="434"/>
      <c r="M628" s="434"/>
      <c r="N628" s="434"/>
      <c r="O628" s="434"/>
      <c r="P628" s="434"/>
      <c r="Q628" s="434"/>
      <c r="R628" s="434"/>
      <c r="S628" s="434"/>
      <c r="T628" s="434"/>
      <c r="U628" s="434"/>
      <c r="V628" s="434"/>
      <c r="W628" s="434"/>
      <c r="X628" s="434"/>
      <c r="Y628" s="434"/>
      <c r="Z628" s="434"/>
      <c r="AA628" s="434"/>
    </row>
    <row r="629" spans="1:27" ht="15.75" customHeight="1" x14ac:dyDescent="0.35">
      <c r="A629" s="434"/>
      <c r="B629" s="434"/>
      <c r="C629" s="434"/>
      <c r="D629" s="434"/>
      <c r="E629" s="434"/>
      <c r="F629" s="434"/>
      <c r="G629" s="434"/>
      <c r="H629" s="434"/>
      <c r="I629" s="434"/>
      <c r="J629" s="434"/>
      <c r="K629" s="434"/>
      <c r="L629" s="434"/>
      <c r="M629" s="434"/>
      <c r="N629" s="434"/>
      <c r="O629" s="434"/>
      <c r="P629" s="434"/>
      <c r="Q629" s="434"/>
      <c r="R629" s="434"/>
      <c r="S629" s="434"/>
      <c r="T629" s="434"/>
      <c r="U629" s="434"/>
      <c r="V629" s="434"/>
      <c r="W629" s="434"/>
      <c r="X629" s="434"/>
      <c r="Y629" s="434"/>
      <c r="Z629" s="434"/>
      <c r="AA629" s="434"/>
    </row>
    <row r="630" spans="1:27" ht="15.75" customHeight="1" x14ac:dyDescent="0.35">
      <c r="A630" s="434"/>
      <c r="B630" s="434"/>
      <c r="C630" s="434"/>
      <c r="D630" s="434"/>
      <c r="E630" s="434"/>
      <c r="F630" s="434"/>
      <c r="G630" s="434"/>
      <c r="H630" s="434"/>
      <c r="I630" s="434"/>
      <c r="J630" s="434"/>
      <c r="K630" s="434"/>
      <c r="L630" s="434"/>
      <c r="M630" s="434"/>
      <c r="N630" s="434"/>
      <c r="O630" s="434"/>
      <c r="P630" s="434"/>
      <c r="Q630" s="434"/>
      <c r="R630" s="434"/>
      <c r="S630" s="434"/>
      <c r="T630" s="434"/>
      <c r="U630" s="434"/>
      <c r="V630" s="434"/>
      <c r="W630" s="434"/>
      <c r="X630" s="434"/>
      <c r="Y630" s="434"/>
      <c r="Z630" s="434"/>
      <c r="AA630" s="434"/>
    </row>
    <row r="631" spans="1:27" ht="15.75" customHeight="1" x14ac:dyDescent="0.35">
      <c r="A631" s="434"/>
      <c r="B631" s="434"/>
      <c r="C631" s="434"/>
      <c r="D631" s="434"/>
      <c r="E631" s="434"/>
      <c r="F631" s="434"/>
      <c r="G631" s="434"/>
      <c r="H631" s="434"/>
      <c r="I631" s="434"/>
      <c r="J631" s="434"/>
      <c r="K631" s="434"/>
      <c r="L631" s="434"/>
      <c r="M631" s="434"/>
      <c r="N631" s="434"/>
      <c r="O631" s="434"/>
      <c r="P631" s="434"/>
      <c r="Q631" s="434"/>
      <c r="R631" s="434"/>
      <c r="S631" s="434"/>
      <c r="T631" s="434"/>
      <c r="U631" s="434"/>
      <c r="V631" s="434"/>
      <c r="W631" s="434"/>
      <c r="X631" s="434"/>
      <c r="Y631" s="434"/>
      <c r="Z631" s="434"/>
      <c r="AA631" s="434"/>
    </row>
    <row r="632" spans="1:27" ht="15.75" customHeight="1" x14ac:dyDescent="0.35">
      <c r="A632" s="434"/>
      <c r="B632" s="434"/>
      <c r="C632" s="434"/>
      <c r="D632" s="434"/>
      <c r="E632" s="434"/>
      <c r="F632" s="434"/>
      <c r="G632" s="434"/>
      <c r="H632" s="434"/>
      <c r="I632" s="434"/>
      <c r="J632" s="434"/>
      <c r="K632" s="434"/>
      <c r="L632" s="434"/>
      <c r="M632" s="434"/>
      <c r="N632" s="434"/>
      <c r="O632" s="434"/>
      <c r="P632" s="434"/>
      <c r="Q632" s="434"/>
      <c r="R632" s="434"/>
      <c r="S632" s="434"/>
      <c r="T632" s="434"/>
      <c r="U632" s="434"/>
      <c r="V632" s="434"/>
      <c r="W632" s="434"/>
      <c r="X632" s="434"/>
      <c r="Y632" s="434"/>
      <c r="Z632" s="434"/>
      <c r="AA632" s="434"/>
    </row>
    <row r="633" spans="1:27" ht="15.75" customHeight="1" x14ac:dyDescent="0.35">
      <c r="A633" s="434"/>
      <c r="B633" s="434"/>
      <c r="C633" s="434"/>
      <c r="D633" s="434"/>
      <c r="E633" s="434"/>
      <c r="F633" s="434"/>
      <c r="G633" s="434"/>
      <c r="H633" s="434"/>
      <c r="I633" s="434"/>
      <c r="J633" s="434"/>
      <c r="K633" s="434"/>
      <c r="L633" s="434"/>
      <c r="M633" s="434"/>
      <c r="N633" s="434"/>
      <c r="O633" s="434"/>
      <c r="P633" s="434"/>
      <c r="Q633" s="434"/>
      <c r="R633" s="434"/>
      <c r="S633" s="434"/>
      <c r="T633" s="434"/>
      <c r="U633" s="434"/>
      <c r="V633" s="434"/>
      <c r="W633" s="434"/>
      <c r="X633" s="434"/>
      <c r="Y633" s="434"/>
      <c r="Z633" s="434"/>
      <c r="AA633" s="434"/>
    </row>
    <row r="634" spans="1:27" ht="15.75" customHeight="1" x14ac:dyDescent="0.35">
      <c r="A634" s="434"/>
      <c r="B634" s="434"/>
      <c r="C634" s="434"/>
      <c r="D634" s="434"/>
      <c r="E634" s="434"/>
      <c r="F634" s="434"/>
      <c r="G634" s="434"/>
      <c r="H634" s="434"/>
      <c r="I634" s="434"/>
      <c r="J634" s="434"/>
      <c r="K634" s="434"/>
      <c r="L634" s="434"/>
      <c r="M634" s="434"/>
      <c r="N634" s="434"/>
      <c r="O634" s="434"/>
      <c r="P634" s="434"/>
      <c r="Q634" s="434"/>
      <c r="R634" s="434"/>
      <c r="S634" s="434"/>
      <c r="T634" s="434"/>
      <c r="U634" s="434"/>
      <c r="V634" s="434"/>
      <c r="W634" s="434"/>
      <c r="X634" s="434"/>
      <c r="Y634" s="434"/>
      <c r="Z634" s="434"/>
      <c r="AA634" s="434"/>
    </row>
    <row r="635" spans="1:27" ht="15.75" customHeight="1" x14ac:dyDescent="0.35">
      <c r="A635" s="434"/>
      <c r="B635" s="434"/>
      <c r="C635" s="434"/>
      <c r="D635" s="434"/>
      <c r="E635" s="434"/>
      <c r="F635" s="434"/>
      <c r="G635" s="434"/>
      <c r="H635" s="434"/>
      <c r="I635" s="434"/>
      <c r="J635" s="434"/>
      <c r="K635" s="434"/>
      <c r="L635" s="434"/>
      <c r="M635" s="434"/>
      <c r="N635" s="434"/>
      <c r="O635" s="434"/>
      <c r="P635" s="434"/>
      <c r="Q635" s="434"/>
      <c r="R635" s="434"/>
      <c r="S635" s="434"/>
      <c r="T635" s="434"/>
      <c r="U635" s="434"/>
      <c r="V635" s="434"/>
      <c r="W635" s="434"/>
      <c r="X635" s="434"/>
      <c r="Y635" s="434"/>
      <c r="Z635" s="434"/>
      <c r="AA635" s="434"/>
    </row>
    <row r="636" spans="1:27" ht="15.75" customHeight="1" x14ac:dyDescent="0.35">
      <c r="A636" s="434"/>
      <c r="B636" s="434"/>
      <c r="C636" s="434"/>
      <c r="D636" s="434"/>
      <c r="E636" s="434"/>
      <c r="F636" s="434"/>
      <c r="G636" s="434"/>
      <c r="H636" s="434"/>
      <c r="I636" s="434"/>
      <c r="J636" s="434"/>
      <c r="K636" s="434"/>
      <c r="L636" s="434"/>
      <c r="M636" s="434"/>
      <c r="N636" s="434"/>
      <c r="O636" s="434"/>
      <c r="P636" s="434"/>
      <c r="Q636" s="434"/>
      <c r="R636" s="434"/>
      <c r="S636" s="434"/>
      <c r="T636" s="434"/>
      <c r="U636" s="434"/>
      <c r="V636" s="434"/>
      <c r="W636" s="434"/>
      <c r="X636" s="434"/>
      <c r="Y636" s="434"/>
      <c r="Z636" s="434"/>
      <c r="AA636" s="434"/>
    </row>
    <row r="637" spans="1:27" ht="15.75" customHeight="1" x14ac:dyDescent="0.35">
      <c r="A637" s="434"/>
      <c r="B637" s="434"/>
      <c r="C637" s="434"/>
      <c r="D637" s="434"/>
      <c r="E637" s="434"/>
      <c r="F637" s="434"/>
      <c r="G637" s="434"/>
      <c r="H637" s="434"/>
      <c r="I637" s="434"/>
      <c r="J637" s="434"/>
      <c r="K637" s="434"/>
      <c r="L637" s="434"/>
      <c r="M637" s="434"/>
      <c r="N637" s="434"/>
      <c r="O637" s="434"/>
      <c r="P637" s="434"/>
      <c r="Q637" s="434"/>
      <c r="R637" s="434"/>
      <c r="S637" s="434"/>
      <c r="T637" s="434"/>
      <c r="U637" s="434"/>
      <c r="V637" s="434"/>
      <c r="W637" s="434"/>
      <c r="X637" s="434"/>
      <c r="Y637" s="434"/>
      <c r="Z637" s="434"/>
      <c r="AA637" s="434"/>
    </row>
    <row r="638" spans="1:27" ht="15.75" customHeight="1" x14ac:dyDescent="0.35">
      <c r="A638" s="434"/>
      <c r="B638" s="434"/>
      <c r="C638" s="434"/>
      <c r="D638" s="434"/>
      <c r="E638" s="434"/>
      <c r="F638" s="434"/>
      <c r="G638" s="434"/>
      <c r="H638" s="434"/>
      <c r="I638" s="434"/>
      <c r="J638" s="434"/>
      <c r="K638" s="434"/>
      <c r="L638" s="434"/>
      <c r="M638" s="434"/>
      <c r="N638" s="434"/>
      <c r="O638" s="434"/>
      <c r="P638" s="434"/>
      <c r="Q638" s="434"/>
      <c r="R638" s="434"/>
      <c r="S638" s="434"/>
      <c r="T638" s="434"/>
      <c r="U638" s="434"/>
      <c r="V638" s="434"/>
      <c r="W638" s="434"/>
      <c r="X638" s="434"/>
      <c r="Y638" s="434"/>
      <c r="Z638" s="434"/>
      <c r="AA638" s="434"/>
    </row>
    <row r="639" spans="1:27" ht="15.75" customHeight="1" x14ac:dyDescent="0.35">
      <c r="A639" s="434"/>
      <c r="B639" s="434"/>
      <c r="C639" s="434"/>
      <c r="D639" s="434"/>
      <c r="E639" s="434"/>
      <c r="F639" s="434"/>
      <c r="G639" s="434"/>
      <c r="H639" s="434"/>
      <c r="I639" s="434"/>
      <c r="J639" s="434"/>
      <c r="K639" s="434"/>
      <c r="L639" s="434"/>
      <c r="M639" s="434"/>
      <c r="N639" s="434"/>
      <c r="O639" s="434"/>
      <c r="P639" s="434"/>
      <c r="Q639" s="434"/>
      <c r="R639" s="434"/>
      <c r="S639" s="434"/>
      <c r="T639" s="434"/>
      <c r="U639" s="434"/>
      <c r="V639" s="434"/>
      <c r="W639" s="434"/>
      <c r="X639" s="434"/>
      <c r="Y639" s="434"/>
      <c r="Z639" s="434"/>
      <c r="AA639" s="434"/>
    </row>
    <row r="640" spans="1:27" ht="15.75" customHeight="1" x14ac:dyDescent="0.35">
      <c r="A640" s="434"/>
      <c r="B640" s="434"/>
      <c r="C640" s="434"/>
      <c r="D640" s="434"/>
      <c r="E640" s="434"/>
      <c r="F640" s="434"/>
      <c r="G640" s="434"/>
      <c r="H640" s="434"/>
      <c r="I640" s="434"/>
      <c r="J640" s="434"/>
      <c r="K640" s="434"/>
      <c r="L640" s="434"/>
      <c r="M640" s="434"/>
      <c r="N640" s="434"/>
      <c r="O640" s="434"/>
      <c r="P640" s="434"/>
      <c r="Q640" s="434"/>
      <c r="R640" s="434"/>
      <c r="S640" s="434"/>
      <c r="T640" s="434"/>
      <c r="U640" s="434"/>
      <c r="V640" s="434"/>
      <c r="W640" s="434"/>
      <c r="X640" s="434"/>
      <c r="Y640" s="434"/>
      <c r="Z640" s="434"/>
      <c r="AA640" s="434"/>
    </row>
    <row r="641" spans="1:27" ht="15.75" customHeight="1" x14ac:dyDescent="0.35">
      <c r="A641" s="434"/>
      <c r="B641" s="434"/>
      <c r="C641" s="434"/>
      <c r="D641" s="434"/>
      <c r="E641" s="434"/>
      <c r="F641" s="434"/>
      <c r="G641" s="434"/>
      <c r="H641" s="434"/>
      <c r="I641" s="434"/>
      <c r="J641" s="434"/>
      <c r="K641" s="434"/>
      <c r="L641" s="434"/>
      <c r="M641" s="434"/>
      <c r="N641" s="434"/>
      <c r="O641" s="434"/>
      <c r="P641" s="434"/>
      <c r="Q641" s="434"/>
      <c r="R641" s="434"/>
      <c r="S641" s="434"/>
      <c r="T641" s="434"/>
      <c r="U641" s="434"/>
      <c r="V641" s="434"/>
      <c r="W641" s="434"/>
      <c r="X641" s="434"/>
      <c r="Y641" s="434"/>
      <c r="Z641" s="434"/>
      <c r="AA641" s="434"/>
    </row>
    <row r="642" spans="1:27" ht="15.75" customHeight="1" x14ac:dyDescent="0.35">
      <c r="A642" s="434"/>
      <c r="B642" s="434"/>
      <c r="C642" s="434"/>
      <c r="D642" s="434"/>
      <c r="E642" s="434"/>
      <c r="F642" s="434"/>
      <c r="G642" s="434"/>
      <c r="H642" s="434"/>
      <c r="I642" s="434"/>
      <c r="J642" s="434"/>
      <c r="K642" s="434"/>
      <c r="L642" s="434"/>
      <c r="M642" s="434"/>
      <c r="N642" s="434"/>
      <c r="O642" s="434"/>
      <c r="P642" s="434"/>
      <c r="Q642" s="434"/>
      <c r="R642" s="434"/>
      <c r="S642" s="434"/>
      <c r="T642" s="434"/>
      <c r="U642" s="434"/>
      <c r="V642" s="434"/>
      <c r="W642" s="434"/>
      <c r="X642" s="434"/>
      <c r="Y642" s="434"/>
      <c r="Z642" s="434"/>
      <c r="AA642" s="434"/>
    </row>
    <row r="643" spans="1:27" ht="15.75" customHeight="1" x14ac:dyDescent="0.35">
      <c r="A643" s="434"/>
      <c r="B643" s="434"/>
      <c r="C643" s="434"/>
      <c r="D643" s="434"/>
      <c r="E643" s="434"/>
      <c r="F643" s="434"/>
      <c r="G643" s="434"/>
      <c r="H643" s="434"/>
      <c r="I643" s="434"/>
      <c r="J643" s="434"/>
      <c r="K643" s="434"/>
      <c r="L643" s="434"/>
      <c r="M643" s="434"/>
      <c r="N643" s="434"/>
      <c r="O643" s="434"/>
      <c r="P643" s="434"/>
      <c r="Q643" s="434"/>
      <c r="R643" s="434"/>
      <c r="S643" s="434"/>
      <c r="T643" s="434"/>
      <c r="U643" s="434"/>
      <c r="V643" s="434"/>
      <c r="W643" s="434"/>
      <c r="X643" s="434"/>
      <c r="Y643" s="434"/>
      <c r="Z643" s="434"/>
      <c r="AA643" s="434"/>
    </row>
    <row r="644" spans="1:27" ht="15.75" customHeight="1" x14ac:dyDescent="0.35">
      <c r="A644" s="434"/>
      <c r="B644" s="434"/>
      <c r="C644" s="434"/>
      <c r="D644" s="434"/>
      <c r="E644" s="434"/>
      <c r="F644" s="434"/>
      <c r="G644" s="434"/>
      <c r="H644" s="434"/>
      <c r="I644" s="434"/>
      <c r="J644" s="434"/>
      <c r="K644" s="434"/>
      <c r="L644" s="434"/>
      <c r="M644" s="434"/>
      <c r="N644" s="434"/>
      <c r="O644" s="434"/>
      <c r="P644" s="434"/>
      <c r="Q644" s="434"/>
      <c r="R644" s="434"/>
      <c r="S644" s="434"/>
      <c r="T644" s="434"/>
      <c r="U644" s="434"/>
      <c r="V644" s="434"/>
      <c r="W644" s="434"/>
      <c r="X644" s="434"/>
      <c r="Y644" s="434"/>
      <c r="Z644" s="434"/>
      <c r="AA644" s="434"/>
    </row>
    <row r="645" spans="1:27" ht="15.75" customHeight="1" x14ac:dyDescent="0.35">
      <c r="A645" s="434"/>
      <c r="B645" s="434"/>
      <c r="C645" s="434"/>
      <c r="D645" s="434"/>
      <c r="E645" s="434"/>
      <c r="F645" s="434"/>
      <c r="G645" s="434"/>
      <c r="H645" s="434"/>
      <c r="I645" s="434"/>
      <c r="J645" s="434"/>
      <c r="K645" s="434"/>
      <c r="L645" s="434"/>
      <c r="M645" s="434"/>
      <c r="N645" s="434"/>
      <c r="O645" s="434"/>
      <c r="P645" s="434"/>
      <c r="Q645" s="434"/>
      <c r="R645" s="434"/>
      <c r="S645" s="434"/>
      <c r="T645" s="434"/>
      <c r="U645" s="434"/>
      <c r="V645" s="434"/>
      <c r="W645" s="434"/>
      <c r="X645" s="434"/>
      <c r="Y645" s="434"/>
      <c r="Z645" s="434"/>
      <c r="AA645" s="434"/>
    </row>
    <row r="646" spans="1:27" ht="15.75" customHeight="1" x14ac:dyDescent="0.35">
      <c r="A646" s="434"/>
      <c r="B646" s="434"/>
      <c r="C646" s="434"/>
      <c r="D646" s="434"/>
      <c r="E646" s="434"/>
      <c r="F646" s="434"/>
      <c r="G646" s="434"/>
      <c r="H646" s="434"/>
      <c r="I646" s="434"/>
      <c r="J646" s="434"/>
      <c r="K646" s="434"/>
      <c r="L646" s="434"/>
      <c r="M646" s="434"/>
      <c r="N646" s="434"/>
      <c r="O646" s="434"/>
      <c r="P646" s="434"/>
      <c r="Q646" s="434"/>
      <c r="R646" s="434"/>
      <c r="S646" s="434"/>
      <c r="T646" s="434"/>
      <c r="U646" s="434"/>
      <c r="V646" s="434"/>
      <c r="W646" s="434"/>
      <c r="X646" s="434"/>
      <c r="Y646" s="434"/>
      <c r="Z646" s="434"/>
      <c r="AA646" s="434"/>
    </row>
    <row r="647" spans="1:27" ht="15.75" customHeight="1" x14ac:dyDescent="0.35">
      <c r="A647" s="434"/>
      <c r="B647" s="434"/>
      <c r="C647" s="434"/>
      <c r="D647" s="434"/>
      <c r="E647" s="434"/>
      <c r="F647" s="434"/>
      <c r="G647" s="434"/>
      <c r="H647" s="434"/>
      <c r="I647" s="434"/>
      <c r="J647" s="434"/>
      <c r="K647" s="434"/>
      <c r="L647" s="434"/>
      <c r="M647" s="434"/>
      <c r="N647" s="434"/>
      <c r="O647" s="434"/>
      <c r="P647" s="434"/>
      <c r="Q647" s="434"/>
      <c r="R647" s="434"/>
      <c r="S647" s="434"/>
      <c r="T647" s="434"/>
      <c r="U647" s="434"/>
      <c r="V647" s="434"/>
      <c r="W647" s="434"/>
      <c r="X647" s="434"/>
      <c r="Y647" s="434"/>
      <c r="Z647" s="434"/>
      <c r="AA647" s="434"/>
    </row>
    <row r="648" spans="1:27" ht="15.75" customHeight="1" x14ac:dyDescent="0.35">
      <c r="A648" s="434"/>
      <c r="B648" s="434"/>
      <c r="C648" s="434"/>
      <c r="D648" s="434"/>
      <c r="E648" s="434"/>
      <c r="F648" s="434"/>
      <c r="G648" s="434"/>
      <c r="H648" s="434"/>
      <c r="I648" s="434"/>
      <c r="J648" s="434"/>
      <c r="K648" s="434"/>
      <c r="L648" s="434"/>
      <c r="M648" s="434"/>
      <c r="N648" s="434"/>
      <c r="O648" s="434"/>
      <c r="P648" s="434"/>
      <c r="Q648" s="434"/>
      <c r="R648" s="434"/>
      <c r="S648" s="434"/>
      <c r="T648" s="434"/>
      <c r="U648" s="434"/>
      <c r="V648" s="434"/>
      <c r="W648" s="434"/>
      <c r="X648" s="434"/>
      <c r="Y648" s="434"/>
      <c r="Z648" s="434"/>
      <c r="AA648" s="434"/>
    </row>
    <row r="649" spans="1:27" ht="15.75" customHeight="1" x14ac:dyDescent="0.35">
      <c r="A649" s="434"/>
      <c r="B649" s="434"/>
      <c r="C649" s="434"/>
      <c r="D649" s="434"/>
      <c r="E649" s="434"/>
      <c r="F649" s="434"/>
      <c r="G649" s="434"/>
      <c r="H649" s="434"/>
      <c r="I649" s="434"/>
      <c r="J649" s="434"/>
      <c r="K649" s="434"/>
      <c r="L649" s="434"/>
      <c r="M649" s="434"/>
      <c r="N649" s="434"/>
      <c r="O649" s="434"/>
      <c r="P649" s="434"/>
      <c r="Q649" s="434"/>
      <c r="R649" s="434"/>
      <c r="S649" s="434"/>
      <c r="T649" s="434"/>
      <c r="U649" s="434"/>
      <c r="V649" s="434"/>
      <c r="W649" s="434"/>
      <c r="X649" s="434"/>
      <c r="Y649" s="434"/>
      <c r="Z649" s="434"/>
      <c r="AA649" s="434"/>
    </row>
    <row r="650" spans="1:27" ht="15.75" customHeight="1" x14ac:dyDescent="0.35">
      <c r="A650" s="434"/>
      <c r="B650" s="434"/>
      <c r="C650" s="434"/>
      <c r="D650" s="434"/>
      <c r="E650" s="434"/>
      <c r="F650" s="434"/>
      <c r="G650" s="434"/>
      <c r="H650" s="434"/>
      <c r="I650" s="434"/>
      <c r="J650" s="434"/>
      <c r="K650" s="434"/>
      <c r="L650" s="434"/>
      <c r="M650" s="434"/>
      <c r="N650" s="434"/>
      <c r="O650" s="434"/>
      <c r="P650" s="434"/>
      <c r="Q650" s="434"/>
      <c r="R650" s="434"/>
      <c r="S650" s="434"/>
      <c r="T650" s="434"/>
      <c r="U650" s="434"/>
      <c r="V650" s="434"/>
      <c r="W650" s="434"/>
      <c r="X650" s="434"/>
      <c r="Y650" s="434"/>
      <c r="Z650" s="434"/>
      <c r="AA650" s="434"/>
    </row>
    <row r="651" spans="1:27" ht="15.75" customHeight="1" x14ac:dyDescent="0.35">
      <c r="A651" s="434"/>
      <c r="B651" s="434"/>
      <c r="C651" s="434"/>
      <c r="D651" s="434"/>
      <c r="E651" s="434"/>
      <c r="F651" s="434"/>
      <c r="G651" s="434"/>
      <c r="H651" s="434"/>
      <c r="I651" s="434"/>
      <c r="J651" s="434"/>
      <c r="K651" s="434"/>
      <c r="L651" s="434"/>
      <c r="M651" s="434"/>
      <c r="N651" s="434"/>
      <c r="O651" s="434"/>
      <c r="P651" s="434"/>
      <c r="Q651" s="434"/>
      <c r="R651" s="434"/>
      <c r="S651" s="434"/>
      <c r="T651" s="434"/>
      <c r="U651" s="434"/>
      <c r="V651" s="434"/>
      <c r="W651" s="434"/>
      <c r="X651" s="434"/>
      <c r="Y651" s="434"/>
      <c r="Z651" s="434"/>
      <c r="AA651" s="434"/>
    </row>
    <row r="652" spans="1:27" ht="15.75" customHeight="1" x14ac:dyDescent="0.35">
      <c r="A652" s="434"/>
      <c r="B652" s="434"/>
      <c r="C652" s="434"/>
      <c r="D652" s="434"/>
      <c r="E652" s="434"/>
      <c r="F652" s="434"/>
      <c r="G652" s="434"/>
      <c r="H652" s="434"/>
      <c r="I652" s="434"/>
      <c r="J652" s="434"/>
      <c r="K652" s="434"/>
      <c r="L652" s="434"/>
      <c r="M652" s="434"/>
      <c r="N652" s="434"/>
      <c r="O652" s="434"/>
      <c r="P652" s="434"/>
      <c r="Q652" s="434"/>
      <c r="R652" s="434"/>
      <c r="S652" s="434"/>
      <c r="T652" s="434"/>
      <c r="U652" s="434"/>
      <c r="V652" s="434"/>
      <c r="W652" s="434"/>
      <c r="X652" s="434"/>
      <c r="Y652" s="434"/>
      <c r="Z652" s="434"/>
      <c r="AA652" s="434"/>
    </row>
    <row r="653" spans="1:27" ht="15.75" customHeight="1" x14ac:dyDescent="0.35">
      <c r="A653" s="434"/>
      <c r="B653" s="434"/>
      <c r="C653" s="434"/>
      <c r="D653" s="434"/>
      <c r="E653" s="434"/>
      <c r="F653" s="434"/>
      <c r="G653" s="434"/>
      <c r="H653" s="434"/>
      <c r="I653" s="434"/>
      <c r="J653" s="434"/>
      <c r="K653" s="434"/>
      <c r="L653" s="434"/>
      <c r="M653" s="434"/>
      <c r="N653" s="434"/>
      <c r="O653" s="434"/>
      <c r="P653" s="434"/>
      <c r="Q653" s="434"/>
      <c r="R653" s="434"/>
      <c r="S653" s="434"/>
      <c r="T653" s="434"/>
      <c r="U653" s="434"/>
      <c r="V653" s="434"/>
      <c r="W653" s="434"/>
      <c r="X653" s="434"/>
      <c r="Y653" s="434"/>
      <c r="Z653" s="434"/>
      <c r="AA653" s="434"/>
    </row>
    <row r="654" spans="1:27" ht="15.75" customHeight="1" x14ac:dyDescent="0.35">
      <c r="A654" s="434"/>
      <c r="B654" s="434"/>
      <c r="C654" s="434"/>
      <c r="D654" s="434"/>
      <c r="E654" s="434"/>
      <c r="F654" s="434"/>
      <c r="G654" s="434"/>
      <c r="H654" s="434"/>
      <c r="I654" s="434"/>
      <c r="J654" s="434"/>
      <c r="K654" s="434"/>
      <c r="L654" s="434"/>
      <c r="M654" s="434"/>
      <c r="N654" s="434"/>
      <c r="O654" s="434"/>
      <c r="P654" s="434"/>
      <c r="Q654" s="434"/>
      <c r="R654" s="434"/>
      <c r="S654" s="434"/>
      <c r="T654" s="434"/>
      <c r="U654" s="434"/>
      <c r="V654" s="434"/>
      <c r="W654" s="434"/>
      <c r="X654" s="434"/>
      <c r="Y654" s="434"/>
      <c r="Z654" s="434"/>
      <c r="AA654" s="434"/>
    </row>
    <row r="655" spans="1:27" ht="15.75" customHeight="1" x14ac:dyDescent="0.35">
      <c r="A655" s="434"/>
      <c r="B655" s="434"/>
      <c r="C655" s="434"/>
      <c r="D655" s="434"/>
      <c r="E655" s="434"/>
      <c r="F655" s="434"/>
      <c r="G655" s="434"/>
      <c r="H655" s="434"/>
      <c r="I655" s="434"/>
      <c r="J655" s="434"/>
      <c r="K655" s="434"/>
      <c r="L655" s="434"/>
      <c r="M655" s="434"/>
      <c r="N655" s="434"/>
      <c r="O655" s="434"/>
      <c r="P655" s="434"/>
      <c r="Q655" s="434"/>
      <c r="R655" s="434"/>
      <c r="S655" s="434"/>
      <c r="T655" s="434"/>
      <c r="U655" s="434"/>
      <c r="V655" s="434"/>
      <c r="W655" s="434"/>
      <c r="X655" s="434"/>
      <c r="Y655" s="434"/>
      <c r="Z655" s="434"/>
      <c r="AA655" s="434"/>
    </row>
    <row r="656" spans="1:27" ht="15.75" customHeight="1" x14ac:dyDescent="0.35">
      <c r="A656" s="434"/>
      <c r="B656" s="434"/>
      <c r="C656" s="434"/>
      <c r="D656" s="434"/>
      <c r="E656" s="434"/>
      <c r="F656" s="434"/>
      <c r="G656" s="434"/>
      <c r="H656" s="434"/>
      <c r="I656" s="434"/>
      <c r="J656" s="434"/>
      <c r="K656" s="434"/>
      <c r="L656" s="434"/>
      <c r="M656" s="434"/>
      <c r="N656" s="434"/>
      <c r="O656" s="434"/>
      <c r="P656" s="434"/>
      <c r="Q656" s="434"/>
      <c r="R656" s="434"/>
      <c r="S656" s="434"/>
      <c r="T656" s="434"/>
      <c r="U656" s="434"/>
      <c r="V656" s="434"/>
      <c r="W656" s="434"/>
      <c r="X656" s="434"/>
      <c r="Y656" s="434"/>
      <c r="Z656" s="434"/>
      <c r="AA656" s="434"/>
    </row>
    <row r="657" spans="1:27" ht="15.75" customHeight="1" x14ac:dyDescent="0.35">
      <c r="A657" s="434"/>
      <c r="B657" s="434"/>
      <c r="C657" s="434"/>
      <c r="D657" s="434"/>
      <c r="E657" s="434"/>
      <c r="F657" s="434"/>
      <c r="G657" s="434"/>
      <c r="H657" s="434"/>
      <c r="I657" s="434"/>
      <c r="J657" s="434"/>
      <c r="K657" s="434"/>
      <c r="L657" s="434"/>
      <c r="M657" s="434"/>
      <c r="N657" s="434"/>
      <c r="O657" s="434"/>
      <c r="P657" s="434"/>
      <c r="Q657" s="434"/>
      <c r="R657" s="434"/>
      <c r="S657" s="434"/>
      <c r="T657" s="434"/>
      <c r="U657" s="434"/>
      <c r="V657" s="434"/>
      <c r="W657" s="434"/>
      <c r="X657" s="434"/>
      <c r="Y657" s="434"/>
      <c r="Z657" s="434"/>
      <c r="AA657" s="434"/>
    </row>
    <row r="658" spans="1:27" ht="15.75" customHeight="1" x14ac:dyDescent="0.35">
      <c r="A658" s="434"/>
      <c r="B658" s="434"/>
      <c r="C658" s="434"/>
      <c r="D658" s="434"/>
      <c r="E658" s="434"/>
      <c r="F658" s="434"/>
      <c r="G658" s="434"/>
      <c r="H658" s="434"/>
      <c r="I658" s="434"/>
      <c r="J658" s="434"/>
      <c r="K658" s="434"/>
      <c r="L658" s="434"/>
      <c r="M658" s="434"/>
      <c r="N658" s="434"/>
      <c r="O658" s="434"/>
      <c r="P658" s="434"/>
      <c r="Q658" s="434"/>
      <c r="R658" s="434"/>
      <c r="S658" s="434"/>
      <c r="T658" s="434"/>
      <c r="U658" s="434"/>
      <c r="V658" s="434"/>
      <c r="W658" s="434"/>
      <c r="X658" s="434"/>
      <c r="Y658" s="434"/>
      <c r="Z658" s="434"/>
      <c r="AA658" s="434"/>
    </row>
    <row r="659" spans="1:27" ht="15.75" customHeight="1" x14ac:dyDescent="0.35">
      <c r="A659" s="434"/>
      <c r="B659" s="434"/>
      <c r="C659" s="434"/>
      <c r="D659" s="434"/>
      <c r="E659" s="434"/>
      <c r="F659" s="434"/>
      <c r="G659" s="434"/>
      <c r="H659" s="434"/>
      <c r="I659" s="434"/>
      <c r="J659" s="434"/>
      <c r="K659" s="434"/>
      <c r="L659" s="434"/>
      <c r="M659" s="434"/>
      <c r="N659" s="434"/>
      <c r="O659" s="434"/>
      <c r="P659" s="434"/>
      <c r="Q659" s="434"/>
      <c r="R659" s="434"/>
      <c r="S659" s="434"/>
      <c r="T659" s="434"/>
      <c r="U659" s="434"/>
      <c r="V659" s="434"/>
      <c r="W659" s="434"/>
      <c r="X659" s="434"/>
      <c r="Y659" s="434"/>
      <c r="Z659" s="434"/>
      <c r="AA659" s="434"/>
    </row>
    <row r="660" spans="1:27" ht="15.75" customHeight="1" x14ac:dyDescent="0.35">
      <c r="A660" s="434"/>
      <c r="B660" s="434"/>
      <c r="C660" s="434"/>
      <c r="D660" s="434"/>
      <c r="E660" s="434"/>
      <c r="F660" s="434"/>
      <c r="G660" s="434"/>
      <c r="H660" s="434"/>
      <c r="I660" s="434"/>
      <c r="J660" s="434"/>
      <c r="K660" s="434"/>
      <c r="L660" s="434"/>
      <c r="M660" s="434"/>
      <c r="N660" s="434"/>
      <c r="O660" s="434"/>
      <c r="P660" s="434"/>
      <c r="Q660" s="434"/>
      <c r="R660" s="434"/>
      <c r="S660" s="434"/>
      <c r="T660" s="434"/>
      <c r="U660" s="434"/>
      <c r="V660" s="434"/>
      <c r="W660" s="434"/>
      <c r="X660" s="434"/>
      <c r="Y660" s="434"/>
      <c r="Z660" s="434"/>
      <c r="AA660" s="434"/>
    </row>
    <row r="661" spans="1:27" ht="15.75" customHeight="1" x14ac:dyDescent="0.35">
      <c r="A661" s="434"/>
      <c r="B661" s="434"/>
      <c r="C661" s="434"/>
      <c r="D661" s="434"/>
      <c r="E661" s="434"/>
      <c r="F661" s="434"/>
      <c r="G661" s="434"/>
      <c r="H661" s="434"/>
      <c r="I661" s="434"/>
      <c r="J661" s="434"/>
      <c r="K661" s="434"/>
      <c r="L661" s="434"/>
      <c r="M661" s="434"/>
      <c r="N661" s="434"/>
      <c r="O661" s="434"/>
      <c r="P661" s="434"/>
      <c r="Q661" s="434"/>
      <c r="R661" s="434"/>
      <c r="S661" s="434"/>
      <c r="T661" s="434"/>
      <c r="U661" s="434"/>
      <c r="V661" s="434"/>
      <c r="W661" s="434"/>
      <c r="X661" s="434"/>
      <c r="Y661" s="434"/>
      <c r="Z661" s="434"/>
      <c r="AA661" s="434"/>
    </row>
    <row r="662" spans="1:27" ht="15.75" customHeight="1" x14ac:dyDescent="0.35">
      <c r="A662" s="434"/>
      <c r="B662" s="434"/>
      <c r="C662" s="434"/>
      <c r="D662" s="434"/>
      <c r="E662" s="434"/>
      <c r="F662" s="434"/>
      <c r="G662" s="434"/>
      <c r="H662" s="434"/>
      <c r="I662" s="434"/>
      <c r="J662" s="434"/>
      <c r="K662" s="434"/>
      <c r="L662" s="434"/>
      <c r="M662" s="434"/>
      <c r="N662" s="434"/>
      <c r="O662" s="434"/>
      <c r="P662" s="434"/>
      <c r="Q662" s="434"/>
      <c r="R662" s="434"/>
      <c r="S662" s="434"/>
      <c r="T662" s="434"/>
      <c r="U662" s="434"/>
      <c r="V662" s="434"/>
      <c r="W662" s="434"/>
      <c r="X662" s="434"/>
      <c r="Y662" s="434"/>
      <c r="Z662" s="434"/>
      <c r="AA662" s="434"/>
    </row>
    <row r="663" spans="1:27" ht="15.75" customHeight="1" x14ac:dyDescent="0.35">
      <c r="A663" s="434"/>
      <c r="B663" s="434"/>
      <c r="C663" s="434"/>
      <c r="D663" s="434"/>
      <c r="E663" s="434"/>
      <c r="F663" s="434"/>
      <c r="G663" s="434"/>
      <c r="H663" s="434"/>
      <c r="I663" s="434"/>
      <c r="J663" s="434"/>
      <c r="K663" s="434"/>
      <c r="L663" s="434"/>
      <c r="M663" s="434"/>
      <c r="N663" s="434"/>
      <c r="O663" s="434"/>
      <c r="P663" s="434"/>
      <c r="Q663" s="434"/>
      <c r="R663" s="434"/>
      <c r="S663" s="434"/>
      <c r="T663" s="434"/>
      <c r="U663" s="434"/>
      <c r="V663" s="434"/>
      <c r="W663" s="434"/>
      <c r="X663" s="434"/>
      <c r="Y663" s="434"/>
      <c r="Z663" s="434"/>
      <c r="AA663" s="434"/>
    </row>
    <row r="664" spans="1:27" ht="15.75" customHeight="1" x14ac:dyDescent="0.35">
      <c r="A664" s="434"/>
      <c r="B664" s="434"/>
      <c r="C664" s="434"/>
      <c r="D664" s="434"/>
      <c r="E664" s="434"/>
      <c r="F664" s="434"/>
      <c r="G664" s="434"/>
      <c r="H664" s="434"/>
      <c r="I664" s="434"/>
      <c r="J664" s="434"/>
      <c r="K664" s="434"/>
      <c r="L664" s="434"/>
      <c r="M664" s="434"/>
      <c r="N664" s="434"/>
      <c r="O664" s="434"/>
      <c r="P664" s="434"/>
      <c r="Q664" s="434"/>
      <c r="R664" s="434"/>
      <c r="S664" s="434"/>
      <c r="T664" s="434"/>
      <c r="U664" s="434"/>
      <c r="V664" s="434"/>
      <c r="W664" s="434"/>
      <c r="X664" s="434"/>
      <c r="Y664" s="434"/>
      <c r="Z664" s="434"/>
      <c r="AA664" s="434"/>
    </row>
    <row r="665" spans="1:27" ht="15.75" customHeight="1" x14ac:dyDescent="0.35">
      <c r="A665" s="434"/>
      <c r="B665" s="434"/>
      <c r="C665" s="434"/>
      <c r="D665" s="434"/>
      <c r="E665" s="434"/>
      <c r="F665" s="434"/>
      <c r="G665" s="434"/>
      <c r="H665" s="434"/>
      <c r="I665" s="434"/>
      <c r="J665" s="434"/>
      <c r="K665" s="434"/>
      <c r="L665" s="434"/>
      <c r="M665" s="434"/>
      <c r="N665" s="434"/>
      <c r="O665" s="434"/>
      <c r="P665" s="434"/>
      <c r="Q665" s="434"/>
      <c r="R665" s="434"/>
      <c r="S665" s="434"/>
      <c r="T665" s="434"/>
      <c r="U665" s="434"/>
      <c r="V665" s="434"/>
      <c r="W665" s="434"/>
      <c r="X665" s="434"/>
      <c r="Y665" s="434"/>
      <c r="Z665" s="434"/>
      <c r="AA665" s="434"/>
    </row>
    <row r="666" spans="1:27" ht="15.75" customHeight="1" x14ac:dyDescent="0.35">
      <c r="A666" s="434"/>
      <c r="B666" s="434"/>
      <c r="C666" s="434"/>
      <c r="D666" s="434"/>
      <c r="E666" s="434"/>
      <c r="F666" s="434"/>
      <c r="G666" s="434"/>
      <c r="H666" s="434"/>
      <c r="I666" s="434"/>
      <c r="J666" s="434"/>
      <c r="K666" s="434"/>
      <c r="L666" s="434"/>
      <c r="M666" s="434"/>
      <c r="N666" s="434"/>
      <c r="O666" s="434"/>
      <c r="P666" s="434"/>
      <c r="Q666" s="434"/>
      <c r="R666" s="434"/>
      <c r="S666" s="434"/>
      <c r="T666" s="434"/>
      <c r="U666" s="434"/>
      <c r="V666" s="434"/>
      <c r="W666" s="434"/>
      <c r="X666" s="434"/>
      <c r="Y666" s="434"/>
      <c r="Z666" s="434"/>
      <c r="AA666" s="434"/>
    </row>
    <row r="667" spans="1:27" ht="15.75" customHeight="1" x14ac:dyDescent="0.35">
      <c r="A667" s="434"/>
      <c r="B667" s="434"/>
      <c r="C667" s="434"/>
      <c r="D667" s="434"/>
      <c r="E667" s="434"/>
      <c r="F667" s="434"/>
      <c r="G667" s="434"/>
      <c r="H667" s="434"/>
      <c r="I667" s="434"/>
      <c r="J667" s="434"/>
      <c r="K667" s="434"/>
      <c r="L667" s="434"/>
      <c r="M667" s="434"/>
      <c r="N667" s="434"/>
      <c r="O667" s="434"/>
      <c r="P667" s="434"/>
      <c r="Q667" s="434"/>
      <c r="R667" s="434"/>
      <c r="S667" s="434"/>
      <c r="T667" s="434"/>
      <c r="U667" s="434"/>
      <c r="V667" s="434"/>
      <c r="W667" s="434"/>
      <c r="X667" s="434"/>
      <c r="Y667" s="434"/>
      <c r="Z667" s="434"/>
      <c r="AA667" s="434"/>
    </row>
    <row r="668" spans="1:27" ht="15.75" customHeight="1" x14ac:dyDescent="0.35">
      <c r="A668" s="434"/>
      <c r="B668" s="434"/>
      <c r="C668" s="434"/>
      <c r="D668" s="434"/>
      <c r="E668" s="434"/>
      <c r="F668" s="434"/>
      <c r="G668" s="434"/>
      <c r="H668" s="434"/>
      <c r="I668" s="434"/>
      <c r="J668" s="434"/>
      <c r="K668" s="434"/>
      <c r="L668" s="434"/>
      <c r="M668" s="434"/>
      <c r="N668" s="434"/>
      <c r="O668" s="434"/>
      <c r="P668" s="434"/>
      <c r="Q668" s="434"/>
      <c r="R668" s="434"/>
      <c r="S668" s="434"/>
      <c r="T668" s="434"/>
      <c r="U668" s="434"/>
      <c r="V668" s="434"/>
      <c r="W668" s="434"/>
      <c r="X668" s="434"/>
      <c r="Y668" s="434"/>
      <c r="Z668" s="434"/>
      <c r="AA668" s="434"/>
    </row>
    <row r="669" spans="1:27" ht="15.75" customHeight="1" x14ac:dyDescent="0.35">
      <c r="A669" s="434"/>
      <c r="B669" s="434"/>
      <c r="C669" s="434"/>
      <c r="D669" s="434"/>
      <c r="E669" s="434"/>
      <c r="F669" s="434"/>
      <c r="G669" s="434"/>
      <c r="H669" s="434"/>
      <c r="I669" s="434"/>
      <c r="J669" s="434"/>
      <c r="K669" s="434"/>
      <c r="L669" s="434"/>
      <c r="M669" s="434"/>
      <c r="N669" s="434"/>
      <c r="O669" s="434"/>
      <c r="P669" s="434"/>
      <c r="Q669" s="434"/>
      <c r="R669" s="434"/>
      <c r="S669" s="434"/>
      <c r="T669" s="434"/>
      <c r="U669" s="434"/>
      <c r="V669" s="434"/>
      <c r="W669" s="434"/>
      <c r="X669" s="434"/>
      <c r="Y669" s="434"/>
      <c r="Z669" s="434"/>
      <c r="AA669" s="434"/>
    </row>
    <row r="670" spans="1:27" ht="15.75" customHeight="1" x14ac:dyDescent="0.35">
      <c r="A670" s="434"/>
      <c r="B670" s="434"/>
      <c r="C670" s="434"/>
      <c r="D670" s="434"/>
      <c r="E670" s="434"/>
      <c r="F670" s="434"/>
      <c r="G670" s="434"/>
      <c r="H670" s="434"/>
      <c r="I670" s="434"/>
      <c r="J670" s="434"/>
      <c r="K670" s="434"/>
      <c r="L670" s="434"/>
      <c r="M670" s="434"/>
      <c r="N670" s="434"/>
      <c r="O670" s="434"/>
      <c r="P670" s="434"/>
      <c r="Q670" s="434"/>
      <c r="R670" s="434"/>
      <c r="S670" s="434"/>
      <c r="T670" s="434"/>
      <c r="U670" s="434"/>
      <c r="V670" s="434"/>
      <c r="W670" s="434"/>
      <c r="X670" s="434"/>
      <c r="Y670" s="434"/>
      <c r="Z670" s="434"/>
      <c r="AA670" s="434"/>
    </row>
    <row r="671" spans="1:27" ht="15.75" customHeight="1" x14ac:dyDescent="0.35">
      <c r="A671" s="434"/>
      <c r="B671" s="434"/>
      <c r="C671" s="434"/>
      <c r="D671" s="434"/>
      <c r="E671" s="434"/>
      <c r="F671" s="434"/>
      <c r="G671" s="434"/>
      <c r="H671" s="434"/>
      <c r="I671" s="434"/>
      <c r="J671" s="434"/>
      <c r="K671" s="434"/>
      <c r="L671" s="434"/>
      <c r="M671" s="434"/>
      <c r="N671" s="434"/>
      <c r="O671" s="434"/>
      <c r="P671" s="434"/>
      <c r="Q671" s="434"/>
      <c r="R671" s="434"/>
      <c r="S671" s="434"/>
      <c r="T671" s="434"/>
      <c r="U671" s="434"/>
      <c r="V671" s="434"/>
      <c r="W671" s="434"/>
      <c r="X671" s="434"/>
      <c r="Y671" s="434"/>
      <c r="Z671" s="434"/>
      <c r="AA671" s="434"/>
    </row>
    <row r="672" spans="1:27" ht="15.75" customHeight="1" x14ac:dyDescent="0.35">
      <c r="A672" s="434"/>
      <c r="B672" s="434"/>
      <c r="C672" s="434"/>
      <c r="D672" s="434"/>
      <c r="E672" s="434"/>
      <c r="F672" s="434"/>
      <c r="G672" s="434"/>
      <c r="H672" s="434"/>
      <c r="I672" s="434"/>
      <c r="J672" s="434"/>
      <c r="K672" s="434"/>
      <c r="L672" s="434"/>
      <c r="M672" s="434"/>
      <c r="N672" s="434"/>
      <c r="O672" s="434"/>
      <c r="P672" s="434"/>
      <c r="Q672" s="434"/>
      <c r="R672" s="434"/>
      <c r="S672" s="434"/>
      <c r="T672" s="434"/>
      <c r="U672" s="434"/>
      <c r="V672" s="434"/>
      <c r="W672" s="434"/>
      <c r="X672" s="434"/>
      <c r="Y672" s="434"/>
      <c r="Z672" s="434"/>
      <c r="AA672" s="434"/>
    </row>
    <row r="673" spans="1:27" ht="15.75" customHeight="1" x14ac:dyDescent="0.35">
      <c r="A673" s="434"/>
      <c r="B673" s="434"/>
      <c r="C673" s="434"/>
      <c r="D673" s="434"/>
      <c r="E673" s="434"/>
      <c r="F673" s="434"/>
      <c r="G673" s="434"/>
      <c r="H673" s="434"/>
      <c r="I673" s="434"/>
      <c r="J673" s="434"/>
      <c r="K673" s="434"/>
      <c r="L673" s="434"/>
      <c r="M673" s="434"/>
      <c r="N673" s="434"/>
      <c r="O673" s="434"/>
      <c r="P673" s="434"/>
      <c r="Q673" s="434"/>
      <c r="R673" s="434"/>
      <c r="S673" s="434"/>
      <c r="T673" s="434"/>
      <c r="U673" s="434"/>
      <c r="V673" s="434"/>
      <c r="W673" s="434"/>
      <c r="X673" s="434"/>
      <c r="Y673" s="434"/>
      <c r="Z673" s="434"/>
      <c r="AA673" s="434"/>
    </row>
    <row r="674" spans="1:27" ht="15.75" customHeight="1" x14ac:dyDescent="0.35">
      <c r="A674" s="434"/>
      <c r="B674" s="434"/>
      <c r="C674" s="434"/>
      <c r="D674" s="434"/>
      <c r="E674" s="434"/>
      <c r="F674" s="434"/>
      <c r="G674" s="434"/>
      <c r="H674" s="434"/>
      <c r="I674" s="434"/>
      <c r="J674" s="434"/>
      <c r="K674" s="434"/>
      <c r="L674" s="434"/>
      <c r="M674" s="434"/>
      <c r="N674" s="434"/>
      <c r="O674" s="434"/>
      <c r="P674" s="434"/>
      <c r="Q674" s="434"/>
      <c r="R674" s="434"/>
      <c r="S674" s="434"/>
      <c r="T674" s="434"/>
      <c r="U674" s="434"/>
      <c r="V674" s="434"/>
      <c r="W674" s="434"/>
      <c r="X674" s="434"/>
      <c r="Y674" s="434"/>
      <c r="Z674" s="434"/>
      <c r="AA674" s="434"/>
    </row>
    <row r="675" spans="1:27" ht="15.75" customHeight="1" x14ac:dyDescent="0.35">
      <c r="A675" s="434"/>
      <c r="B675" s="434"/>
      <c r="C675" s="434"/>
      <c r="D675" s="434"/>
      <c r="E675" s="434"/>
      <c r="F675" s="434"/>
      <c r="G675" s="434"/>
      <c r="H675" s="434"/>
      <c r="I675" s="434"/>
      <c r="J675" s="434"/>
      <c r="K675" s="434"/>
      <c r="L675" s="434"/>
      <c r="M675" s="434"/>
      <c r="N675" s="434"/>
      <c r="O675" s="434"/>
      <c r="P675" s="434"/>
      <c r="Q675" s="434"/>
      <c r="R675" s="434"/>
      <c r="S675" s="434"/>
      <c r="T675" s="434"/>
      <c r="U675" s="434"/>
      <c r="V675" s="434"/>
      <c r="W675" s="434"/>
      <c r="X675" s="434"/>
      <c r="Y675" s="434"/>
      <c r="Z675" s="434"/>
      <c r="AA675" s="434"/>
    </row>
    <row r="676" spans="1:27" ht="15.75" customHeight="1" x14ac:dyDescent="0.35">
      <c r="A676" s="434"/>
      <c r="B676" s="434"/>
      <c r="C676" s="434"/>
      <c r="D676" s="434"/>
      <c r="E676" s="434"/>
      <c r="F676" s="434"/>
      <c r="G676" s="434"/>
      <c r="H676" s="434"/>
      <c r="I676" s="434"/>
      <c r="J676" s="434"/>
      <c r="K676" s="434"/>
      <c r="L676" s="434"/>
      <c r="M676" s="434"/>
      <c r="N676" s="434"/>
      <c r="O676" s="434"/>
      <c r="P676" s="434"/>
      <c r="Q676" s="434"/>
      <c r="R676" s="434"/>
      <c r="S676" s="434"/>
      <c r="T676" s="434"/>
      <c r="U676" s="434"/>
      <c r="V676" s="434"/>
      <c r="W676" s="434"/>
      <c r="X676" s="434"/>
      <c r="Y676" s="434"/>
      <c r="Z676" s="434"/>
      <c r="AA676" s="434"/>
    </row>
    <row r="677" spans="1:27" ht="15.75" customHeight="1" x14ac:dyDescent="0.35">
      <c r="A677" s="434"/>
      <c r="B677" s="434"/>
      <c r="C677" s="434"/>
      <c r="D677" s="434"/>
      <c r="E677" s="434"/>
      <c r="F677" s="434"/>
      <c r="G677" s="434"/>
      <c r="H677" s="434"/>
      <c r="I677" s="434"/>
      <c r="J677" s="434"/>
      <c r="K677" s="434"/>
      <c r="L677" s="434"/>
      <c r="M677" s="434"/>
      <c r="N677" s="434"/>
      <c r="O677" s="434"/>
      <c r="P677" s="434"/>
      <c r="Q677" s="434"/>
      <c r="R677" s="434"/>
      <c r="S677" s="434"/>
      <c r="T677" s="434"/>
      <c r="U677" s="434"/>
      <c r="V677" s="434"/>
      <c r="W677" s="434"/>
      <c r="X677" s="434"/>
      <c r="Y677" s="434"/>
      <c r="Z677" s="434"/>
      <c r="AA677" s="434"/>
    </row>
    <row r="678" spans="1:27" ht="15.75" customHeight="1" x14ac:dyDescent="0.35">
      <c r="A678" s="434"/>
      <c r="B678" s="434"/>
      <c r="C678" s="434"/>
      <c r="D678" s="434"/>
      <c r="E678" s="434"/>
      <c r="F678" s="434"/>
      <c r="G678" s="434"/>
      <c r="H678" s="434"/>
      <c r="I678" s="434"/>
      <c r="J678" s="434"/>
      <c r="K678" s="434"/>
      <c r="L678" s="434"/>
      <c r="M678" s="434"/>
      <c r="N678" s="434"/>
      <c r="O678" s="434"/>
      <c r="P678" s="434"/>
      <c r="Q678" s="434"/>
      <c r="R678" s="434"/>
      <c r="S678" s="434"/>
      <c r="T678" s="434"/>
      <c r="U678" s="434"/>
      <c r="V678" s="434"/>
      <c r="W678" s="434"/>
      <c r="X678" s="434"/>
      <c r="Y678" s="434"/>
      <c r="Z678" s="434"/>
      <c r="AA678" s="434"/>
    </row>
    <row r="679" spans="1:27" ht="15.75" customHeight="1" x14ac:dyDescent="0.35">
      <c r="A679" s="434"/>
      <c r="B679" s="434"/>
      <c r="C679" s="434"/>
      <c r="D679" s="434"/>
      <c r="E679" s="434"/>
      <c r="F679" s="434"/>
      <c r="G679" s="434"/>
      <c r="H679" s="434"/>
      <c r="I679" s="434"/>
      <c r="J679" s="434"/>
      <c r="K679" s="434"/>
      <c r="L679" s="434"/>
      <c r="M679" s="434"/>
      <c r="N679" s="434"/>
      <c r="O679" s="434"/>
      <c r="P679" s="434"/>
      <c r="Q679" s="434"/>
      <c r="R679" s="434"/>
      <c r="S679" s="434"/>
      <c r="T679" s="434"/>
      <c r="U679" s="434"/>
      <c r="V679" s="434"/>
      <c r="W679" s="434"/>
      <c r="X679" s="434"/>
      <c r="Y679" s="434"/>
      <c r="Z679" s="434"/>
      <c r="AA679" s="434"/>
    </row>
    <row r="680" spans="1:27" ht="15.75" customHeight="1" x14ac:dyDescent="0.35">
      <c r="A680" s="434"/>
      <c r="B680" s="434"/>
      <c r="C680" s="434"/>
      <c r="D680" s="434"/>
      <c r="E680" s="434"/>
      <c r="F680" s="434"/>
      <c r="G680" s="434"/>
      <c r="H680" s="434"/>
      <c r="I680" s="434"/>
      <c r="J680" s="434"/>
      <c r="K680" s="434"/>
      <c r="L680" s="434"/>
      <c r="M680" s="434"/>
      <c r="N680" s="434"/>
      <c r="O680" s="434"/>
      <c r="P680" s="434"/>
      <c r="Q680" s="434"/>
      <c r="R680" s="434"/>
      <c r="S680" s="434"/>
      <c r="T680" s="434"/>
      <c r="U680" s="434"/>
      <c r="V680" s="434"/>
      <c r="W680" s="434"/>
      <c r="X680" s="434"/>
      <c r="Y680" s="434"/>
      <c r="Z680" s="434"/>
      <c r="AA680" s="434"/>
    </row>
    <row r="681" spans="1:27" ht="15.75" customHeight="1" x14ac:dyDescent="0.35">
      <c r="A681" s="434"/>
      <c r="B681" s="434"/>
      <c r="C681" s="434"/>
      <c r="D681" s="434"/>
      <c r="E681" s="434"/>
      <c r="F681" s="434"/>
      <c r="G681" s="434"/>
      <c r="H681" s="434"/>
      <c r="I681" s="434"/>
      <c r="J681" s="434"/>
      <c r="K681" s="434"/>
      <c r="L681" s="434"/>
      <c r="M681" s="434"/>
      <c r="N681" s="434"/>
      <c r="O681" s="434"/>
      <c r="P681" s="434"/>
      <c r="Q681" s="434"/>
      <c r="R681" s="434"/>
      <c r="S681" s="434"/>
      <c r="T681" s="434"/>
      <c r="U681" s="434"/>
      <c r="V681" s="434"/>
      <c r="W681" s="434"/>
      <c r="X681" s="434"/>
      <c r="Y681" s="434"/>
      <c r="Z681" s="434"/>
      <c r="AA681" s="434"/>
    </row>
    <row r="682" spans="1:27" ht="15.75" customHeight="1" x14ac:dyDescent="0.35">
      <c r="A682" s="434"/>
      <c r="B682" s="434"/>
      <c r="C682" s="434"/>
      <c r="D682" s="434"/>
      <c r="E682" s="434"/>
      <c r="F682" s="434"/>
      <c r="G682" s="434"/>
      <c r="H682" s="434"/>
      <c r="I682" s="434"/>
      <c r="J682" s="434"/>
      <c r="K682" s="434"/>
      <c r="L682" s="434"/>
      <c r="M682" s="434"/>
      <c r="N682" s="434"/>
      <c r="O682" s="434"/>
      <c r="P682" s="434"/>
      <c r="Q682" s="434"/>
      <c r="R682" s="434"/>
      <c r="S682" s="434"/>
      <c r="T682" s="434"/>
      <c r="U682" s="434"/>
      <c r="V682" s="434"/>
      <c r="W682" s="434"/>
      <c r="X682" s="434"/>
      <c r="Y682" s="434"/>
      <c r="Z682" s="434"/>
      <c r="AA682" s="434"/>
    </row>
    <row r="683" spans="1:27" ht="15.75" customHeight="1" x14ac:dyDescent="0.35">
      <c r="A683" s="434"/>
      <c r="B683" s="434"/>
      <c r="C683" s="434"/>
      <c r="D683" s="434"/>
      <c r="E683" s="434"/>
      <c r="F683" s="434"/>
      <c r="G683" s="434"/>
      <c r="H683" s="434"/>
      <c r="I683" s="434"/>
      <c r="J683" s="434"/>
      <c r="K683" s="434"/>
      <c r="L683" s="434"/>
      <c r="M683" s="434"/>
      <c r="N683" s="434"/>
      <c r="O683" s="434"/>
      <c r="P683" s="434"/>
      <c r="Q683" s="434"/>
      <c r="R683" s="434"/>
      <c r="S683" s="434"/>
      <c r="T683" s="434"/>
      <c r="U683" s="434"/>
      <c r="V683" s="434"/>
      <c r="W683" s="434"/>
      <c r="X683" s="434"/>
      <c r="Y683" s="434"/>
      <c r="Z683" s="434"/>
      <c r="AA683" s="434"/>
    </row>
    <row r="684" spans="1:27" ht="15.75" customHeight="1" x14ac:dyDescent="0.35">
      <c r="A684" s="434"/>
      <c r="B684" s="434"/>
      <c r="C684" s="434"/>
      <c r="D684" s="434"/>
      <c r="E684" s="434"/>
      <c r="F684" s="434"/>
      <c r="G684" s="434"/>
      <c r="H684" s="434"/>
      <c r="I684" s="434"/>
      <c r="J684" s="434"/>
      <c r="K684" s="434"/>
      <c r="L684" s="434"/>
      <c r="M684" s="434"/>
      <c r="N684" s="434"/>
      <c r="O684" s="434"/>
      <c r="P684" s="434"/>
      <c r="Q684" s="434"/>
      <c r="R684" s="434"/>
      <c r="S684" s="434"/>
      <c r="T684" s="434"/>
      <c r="U684" s="434"/>
      <c r="V684" s="434"/>
      <c r="W684" s="434"/>
      <c r="X684" s="434"/>
      <c r="Y684" s="434"/>
      <c r="Z684" s="434"/>
      <c r="AA684" s="434"/>
    </row>
    <row r="685" spans="1:27" ht="15.75" customHeight="1" x14ac:dyDescent="0.35">
      <c r="A685" s="434"/>
      <c r="B685" s="434"/>
      <c r="C685" s="434"/>
      <c r="D685" s="434"/>
      <c r="E685" s="434"/>
      <c r="F685" s="434"/>
      <c r="G685" s="434"/>
      <c r="H685" s="434"/>
      <c r="I685" s="434"/>
      <c r="J685" s="434"/>
      <c r="K685" s="434"/>
      <c r="L685" s="434"/>
      <c r="M685" s="434"/>
      <c r="N685" s="434"/>
      <c r="O685" s="434"/>
      <c r="P685" s="434"/>
      <c r="Q685" s="434"/>
      <c r="R685" s="434"/>
      <c r="S685" s="434"/>
      <c r="T685" s="434"/>
      <c r="U685" s="434"/>
      <c r="V685" s="434"/>
      <c r="W685" s="434"/>
      <c r="X685" s="434"/>
      <c r="Y685" s="434"/>
      <c r="Z685" s="434"/>
      <c r="AA685" s="434"/>
    </row>
    <row r="686" spans="1:27" ht="15.75" customHeight="1" x14ac:dyDescent="0.35">
      <c r="A686" s="434"/>
      <c r="B686" s="434"/>
      <c r="C686" s="434"/>
      <c r="D686" s="434"/>
      <c r="E686" s="434"/>
      <c r="F686" s="434"/>
      <c r="G686" s="434"/>
      <c r="H686" s="434"/>
      <c r="I686" s="434"/>
      <c r="J686" s="434"/>
      <c r="K686" s="434"/>
      <c r="L686" s="434"/>
      <c r="M686" s="434"/>
      <c r="N686" s="434"/>
      <c r="O686" s="434"/>
      <c r="P686" s="434"/>
      <c r="Q686" s="434"/>
      <c r="R686" s="434"/>
      <c r="S686" s="434"/>
      <c r="T686" s="434"/>
      <c r="U686" s="434"/>
      <c r="V686" s="434"/>
      <c r="W686" s="434"/>
      <c r="X686" s="434"/>
      <c r="Y686" s="434"/>
      <c r="Z686" s="434"/>
      <c r="AA686" s="434"/>
    </row>
    <row r="687" spans="1:27" ht="15.75" customHeight="1" x14ac:dyDescent="0.35">
      <c r="A687" s="434"/>
      <c r="B687" s="434"/>
      <c r="C687" s="434"/>
      <c r="D687" s="434"/>
      <c r="E687" s="434"/>
      <c r="F687" s="434"/>
      <c r="G687" s="434"/>
      <c r="H687" s="434"/>
      <c r="I687" s="434"/>
      <c r="J687" s="434"/>
      <c r="K687" s="434"/>
      <c r="L687" s="434"/>
      <c r="M687" s="434"/>
      <c r="N687" s="434"/>
      <c r="O687" s="434"/>
      <c r="P687" s="434"/>
      <c r="Q687" s="434"/>
      <c r="R687" s="434"/>
      <c r="S687" s="434"/>
      <c r="T687" s="434"/>
      <c r="U687" s="434"/>
      <c r="V687" s="434"/>
      <c r="W687" s="434"/>
      <c r="X687" s="434"/>
      <c r="Y687" s="434"/>
      <c r="Z687" s="434"/>
      <c r="AA687" s="434"/>
    </row>
    <row r="688" spans="1:27" ht="15.75" customHeight="1" x14ac:dyDescent="0.35">
      <c r="A688" s="434"/>
      <c r="B688" s="434"/>
      <c r="C688" s="434"/>
      <c r="D688" s="434"/>
      <c r="E688" s="434"/>
      <c r="F688" s="434"/>
      <c r="G688" s="434"/>
      <c r="H688" s="434"/>
      <c r="I688" s="434"/>
      <c r="J688" s="434"/>
      <c r="K688" s="434"/>
      <c r="L688" s="434"/>
      <c r="M688" s="434"/>
      <c r="N688" s="434"/>
      <c r="O688" s="434"/>
      <c r="P688" s="434"/>
      <c r="Q688" s="434"/>
      <c r="R688" s="434"/>
      <c r="S688" s="434"/>
      <c r="T688" s="434"/>
      <c r="U688" s="434"/>
      <c r="V688" s="434"/>
      <c r="W688" s="434"/>
      <c r="X688" s="434"/>
      <c r="Y688" s="434"/>
      <c r="Z688" s="434"/>
      <c r="AA688" s="434"/>
    </row>
    <row r="689" spans="1:27" ht="15.75" customHeight="1" x14ac:dyDescent="0.35">
      <c r="A689" s="434"/>
      <c r="B689" s="434"/>
      <c r="C689" s="434"/>
      <c r="D689" s="434"/>
      <c r="E689" s="434"/>
      <c r="F689" s="434"/>
      <c r="G689" s="434"/>
      <c r="H689" s="434"/>
      <c r="I689" s="434"/>
      <c r="J689" s="434"/>
      <c r="K689" s="434"/>
      <c r="L689" s="434"/>
      <c r="M689" s="434"/>
      <c r="N689" s="434"/>
      <c r="O689" s="434"/>
      <c r="P689" s="434"/>
      <c r="Q689" s="434"/>
      <c r="R689" s="434"/>
      <c r="S689" s="434"/>
      <c r="T689" s="434"/>
      <c r="U689" s="434"/>
      <c r="V689" s="434"/>
      <c r="W689" s="434"/>
      <c r="X689" s="434"/>
      <c r="Y689" s="434"/>
      <c r="Z689" s="434"/>
      <c r="AA689" s="434"/>
    </row>
    <row r="690" spans="1:27" ht="15.75" customHeight="1" x14ac:dyDescent="0.35">
      <c r="A690" s="434"/>
      <c r="B690" s="434"/>
      <c r="C690" s="434"/>
      <c r="D690" s="434"/>
      <c r="E690" s="434"/>
      <c r="F690" s="434"/>
      <c r="G690" s="434"/>
      <c r="H690" s="434"/>
      <c r="I690" s="434"/>
      <c r="J690" s="434"/>
      <c r="K690" s="434"/>
      <c r="L690" s="434"/>
      <c r="M690" s="434"/>
      <c r="N690" s="434"/>
      <c r="O690" s="434"/>
      <c r="P690" s="434"/>
      <c r="Q690" s="434"/>
      <c r="R690" s="434"/>
      <c r="S690" s="434"/>
      <c r="T690" s="434"/>
      <c r="U690" s="434"/>
      <c r="V690" s="434"/>
      <c r="W690" s="434"/>
      <c r="X690" s="434"/>
      <c r="Y690" s="434"/>
      <c r="Z690" s="434"/>
      <c r="AA690" s="434"/>
    </row>
    <row r="691" spans="1:27" ht="15.75" customHeight="1" x14ac:dyDescent="0.35">
      <c r="A691" s="434"/>
      <c r="B691" s="434"/>
      <c r="C691" s="434"/>
      <c r="D691" s="434"/>
      <c r="E691" s="434"/>
      <c r="F691" s="434"/>
      <c r="G691" s="434"/>
      <c r="H691" s="434"/>
      <c r="I691" s="434"/>
      <c r="J691" s="434"/>
      <c r="K691" s="434"/>
      <c r="L691" s="434"/>
      <c r="M691" s="434"/>
      <c r="N691" s="434"/>
      <c r="O691" s="434"/>
      <c r="P691" s="434"/>
      <c r="Q691" s="434"/>
      <c r="R691" s="434"/>
      <c r="S691" s="434"/>
      <c r="T691" s="434"/>
      <c r="U691" s="434"/>
      <c r="V691" s="434"/>
      <c r="W691" s="434"/>
      <c r="X691" s="434"/>
      <c r="Y691" s="434"/>
      <c r="Z691" s="434"/>
      <c r="AA691" s="434"/>
    </row>
    <row r="692" spans="1:27" ht="15.75" customHeight="1" x14ac:dyDescent="0.35">
      <c r="A692" s="434"/>
      <c r="B692" s="434"/>
      <c r="C692" s="434"/>
      <c r="D692" s="434"/>
      <c r="E692" s="434"/>
      <c r="F692" s="434"/>
      <c r="G692" s="434"/>
      <c r="H692" s="434"/>
      <c r="I692" s="434"/>
      <c r="J692" s="434"/>
      <c r="K692" s="434"/>
      <c r="L692" s="434"/>
      <c r="M692" s="434"/>
      <c r="N692" s="434"/>
      <c r="O692" s="434"/>
      <c r="P692" s="434"/>
      <c r="Q692" s="434"/>
      <c r="R692" s="434"/>
      <c r="S692" s="434"/>
      <c r="T692" s="434"/>
      <c r="U692" s="434"/>
      <c r="V692" s="434"/>
      <c r="W692" s="434"/>
      <c r="X692" s="434"/>
      <c r="Y692" s="434"/>
      <c r="Z692" s="434"/>
      <c r="AA692" s="434"/>
    </row>
    <row r="693" spans="1:27" ht="15.75" customHeight="1" x14ac:dyDescent="0.35">
      <c r="A693" s="434"/>
      <c r="B693" s="434"/>
      <c r="C693" s="434"/>
      <c r="D693" s="434"/>
      <c r="E693" s="434"/>
      <c r="F693" s="434"/>
      <c r="G693" s="434"/>
      <c r="H693" s="434"/>
      <c r="I693" s="434"/>
      <c r="J693" s="434"/>
      <c r="K693" s="434"/>
      <c r="L693" s="434"/>
      <c r="M693" s="434"/>
      <c r="N693" s="434"/>
      <c r="O693" s="434"/>
      <c r="P693" s="434"/>
      <c r="Q693" s="434"/>
      <c r="R693" s="434"/>
      <c r="S693" s="434"/>
      <c r="T693" s="434"/>
      <c r="U693" s="434"/>
      <c r="V693" s="434"/>
      <c r="W693" s="434"/>
      <c r="X693" s="434"/>
      <c r="Y693" s="434"/>
      <c r="Z693" s="434"/>
      <c r="AA693" s="434"/>
    </row>
    <row r="694" spans="1:27" ht="15.75" customHeight="1" x14ac:dyDescent="0.35">
      <c r="A694" s="434"/>
      <c r="B694" s="434"/>
      <c r="C694" s="434"/>
      <c r="D694" s="434"/>
      <c r="E694" s="434"/>
      <c r="F694" s="434"/>
      <c r="G694" s="434"/>
      <c r="H694" s="434"/>
      <c r="I694" s="434"/>
      <c r="J694" s="434"/>
      <c r="K694" s="434"/>
      <c r="L694" s="434"/>
      <c r="M694" s="434"/>
      <c r="N694" s="434"/>
      <c r="O694" s="434"/>
      <c r="P694" s="434"/>
      <c r="Q694" s="434"/>
      <c r="R694" s="434"/>
      <c r="S694" s="434"/>
      <c r="T694" s="434"/>
      <c r="U694" s="434"/>
      <c r="V694" s="434"/>
      <c r="W694" s="434"/>
      <c r="X694" s="434"/>
      <c r="Y694" s="434"/>
      <c r="Z694" s="434"/>
      <c r="AA694" s="434"/>
    </row>
    <row r="695" spans="1:27" ht="15.75" customHeight="1" x14ac:dyDescent="0.35">
      <c r="A695" s="434"/>
      <c r="B695" s="434"/>
      <c r="C695" s="434"/>
      <c r="D695" s="434"/>
      <c r="E695" s="434"/>
      <c r="F695" s="434"/>
      <c r="G695" s="434"/>
      <c r="H695" s="434"/>
      <c r="I695" s="434"/>
      <c r="J695" s="434"/>
      <c r="K695" s="434"/>
      <c r="L695" s="434"/>
      <c r="M695" s="434"/>
      <c r="N695" s="434"/>
      <c r="O695" s="434"/>
      <c r="P695" s="434"/>
      <c r="Q695" s="434"/>
      <c r="R695" s="434"/>
      <c r="S695" s="434"/>
      <c r="T695" s="434"/>
      <c r="U695" s="434"/>
      <c r="V695" s="434"/>
      <c r="W695" s="434"/>
      <c r="X695" s="434"/>
      <c r="Y695" s="434"/>
      <c r="Z695" s="434"/>
      <c r="AA695" s="434"/>
    </row>
    <row r="696" spans="1:27" ht="15.75" customHeight="1" x14ac:dyDescent="0.35">
      <c r="A696" s="434"/>
      <c r="B696" s="434"/>
      <c r="C696" s="434"/>
      <c r="D696" s="434"/>
      <c r="E696" s="434"/>
      <c r="F696" s="434"/>
      <c r="G696" s="434"/>
      <c r="H696" s="434"/>
      <c r="I696" s="434"/>
      <c r="J696" s="434"/>
      <c r="K696" s="434"/>
      <c r="L696" s="434"/>
      <c r="M696" s="434"/>
      <c r="N696" s="434"/>
      <c r="O696" s="434"/>
      <c r="P696" s="434"/>
      <c r="Q696" s="434"/>
      <c r="R696" s="434"/>
      <c r="S696" s="434"/>
      <c r="T696" s="434"/>
      <c r="U696" s="434"/>
      <c r="V696" s="434"/>
      <c r="W696" s="434"/>
      <c r="X696" s="434"/>
      <c r="Y696" s="434"/>
      <c r="Z696" s="434"/>
      <c r="AA696" s="434"/>
    </row>
    <row r="697" spans="1:27" ht="15.75" customHeight="1" x14ac:dyDescent="0.35">
      <c r="A697" s="434"/>
      <c r="B697" s="434"/>
      <c r="C697" s="434"/>
      <c r="D697" s="434"/>
      <c r="E697" s="434"/>
      <c r="F697" s="434"/>
      <c r="G697" s="434"/>
      <c r="H697" s="434"/>
      <c r="I697" s="434"/>
      <c r="J697" s="434"/>
      <c r="K697" s="434"/>
      <c r="L697" s="434"/>
      <c r="M697" s="434"/>
      <c r="N697" s="434"/>
      <c r="O697" s="434"/>
      <c r="P697" s="434"/>
      <c r="Q697" s="434"/>
      <c r="R697" s="434"/>
      <c r="S697" s="434"/>
      <c r="T697" s="434"/>
      <c r="U697" s="434"/>
      <c r="V697" s="434"/>
      <c r="W697" s="434"/>
      <c r="X697" s="434"/>
      <c r="Y697" s="434"/>
      <c r="Z697" s="434"/>
      <c r="AA697" s="434"/>
    </row>
    <row r="698" spans="1:27" ht="15.75" customHeight="1" x14ac:dyDescent="0.35">
      <c r="A698" s="434"/>
      <c r="B698" s="434"/>
      <c r="C698" s="434"/>
      <c r="D698" s="434"/>
      <c r="E698" s="434"/>
      <c r="F698" s="434"/>
      <c r="G698" s="434"/>
      <c r="H698" s="434"/>
      <c r="I698" s="434"/>
      <c r="J698" s="434"/>
      <c r="K698" s="434"/>
      <c r="L698" s="434"/>
      <c r="M698" s="434"/>
      <c r="N698" s="434"/>
      <c r="O698" s="434"/>
      <c r="P698" s="434"/>
      <c r="Q698" s="434"/>
      <c r="R698" s="434"/>
      <c r="S698" s="434"/>
      <c r="T698" s="434"/>
      <c r="U698" s="434"/>
      <c r="V698" s="434"/>
      <c r="W698" s="434"/>
      <c r="X698" s="434"/>
      <c r="Y698" s="434"/>
      <c r="Z698" s="434"/>
      <c r="AA698" s="434"/>
    </row>
    <row r="699" spans="1:27" ht="15.75" customHeight="1" x14ac:dyDescent="0.35">
      <c r="A699" s="434"/>
      <c r="B699" s="434"/>
      <c r="C699" s="434"/>
      <c r="D699" s="434"/>
      <c r="E699" s="434"/>
      <c r="F699" s="434"/>
      <c r="G699" s="434"/>
      <c r="H699" s="434"/>
      <c r="I699" s="434"/>
      <c r="J699" s="434"/>
      <c r="K699" s="434"/>
      <c r="L699" s="434"/>
      <c r="M699" s="434"/>
      <c r="N699" s="434"/>
      <c r="O699" s="434"/>
      <c r="P699" s="434"/>
      <c r="Q699" s="434"/>
      <c r="R699" s="434"/>
      <c r="S699" s="434"/>
      <c r="T699" s="434"/>
      <c r="U699" s="434"/>
      <c r="V699" s="434"/>
      <c r="W699" s="434"/>
      <c r="X699" s="434"/>
      <c r="Y699" s="434"/>
      <c r="Z699" s="434"/>
      <c r="AA699" s="434"/>
    </row>
    <row r="700" spans="1:27" ht="15.75" customHeight="1" x14ac:dyDescent="0.35">
      <c r="A700" s="434"/>
      <c r="B700" s="434"/>
      <c r="C700" s="434"/>
      <c r="D700" s="434"/>
      <c r="E700" s="434"/>
      <c r="F700" s="434"/>
      <c r="G700" s="434"/>
      <c r="H700" s="434"/>
      <c r="I700" s="434"/>
      <c r="J700" s="434"/>
      <c r="K700" s="434"/>
      <c r="L700" s="434"/>
      <c r="M700" s="434"/>
      <c r="N700" s="434"/>
      <c r="O700" s="434"/>
      <c r="P700" s="434"/>
      <c r="Q700" s="434"/>
      <c r="R700" s="434"/>
      <c r="S700" s="434"/>
      <c r="T700" s="434"/>
      <c r="U700" s="434"/>
      <c r="V700" s="434"/>
      <c r="W700" s="434"/>
      <c r="X700" s="434"/>
      <c r="Y700" s="434"/>
      <c r="Z700" s="434"/>
      <c r="AA700" s="434"/>
    </row>
    <row r="701" spans="1:27" ht="15.75" customHeight="1" x14ac:dyDescent="0.35">
      <c r="A701" s="434"/>
      <c r="B701" s="434"/>
      <c r="C701" s="434"/>
      <c r="D701" s="434"/>
      <c r="E701" s="434"/>
      <c r="F701" s="434"/>
      <c r="G701" s="434"/>
      <c r="H701" s="434"/>
      <c r="I701" s="434"/>
      <c r="J701" s="434"/>
      <c r="K701" s="434"/>
      <c r="L701" s="434"/>
      <c r="M701" s="434"/>
      <c r="N701" s="434"/>
      <c r="O701" s="434"/>
      <c r="P701" s="434"/>
      <c r="Q701" s="434"/>
      <c r="R701" s="434"/>
      <c r="S701" s="434"/>
      <c r="T701" s="434"/>
      <c r="U701" s="434"/>
      <c r="V701" s="434"/>
      <c r="W701" s="434"/>
      <c r="X701" s="434"/>
      <c r="Y701" s="434"/>
      <c r="Z701" s="434"/>
      <c r="AA701" s="434"/>
    </row>
    <row r="702" spans="1:27" ht="15.75" customHeight="1" x14ac:dyDescent="0.35">
      <c r="A702" s="434"/>
      <c r="B702" s="434"/>
      <c r="C702" s="434"/>
      <c r="D702" s="434"/>
      <c r="E702" s="434"/>
      <c r="F702" s="434"/>
      <c r="G702" s="434"/>
      <c r="H702" s="434"/>
      <c r="I702" s="434"/>
      <c r="J702" s="434"/>
      <c r="K702" s="434"/>
      <c r="L702" s="434"/>
      <c r="M702" s="434"/>
      <c r="N702" s="434"/>
      <c r="O702" s="434"/>
      <c r="P702" s="434"/>
      <c r="Q702" s="434"/>
      <c r="R702" s="434"/>
      <c r="S702" s="434"/>
      <c r="T702" s="434"/>
      <c r="U702" s="434"/>
      <c r="V702" s="434"/>
      <c r="W702" s="434"/>
      <c r="X702" s="434"/>
      <c r="Y702" s="434"/>
      <c r="Z702" s="434"/>
      <c r="AA702" s="434"/>
    </row>
    <row r="703" spans="1:27" ht="15.75" customHeight="1" x14ac:dyDescent="0.35">
      <c r="A703" s="434"/>
      <c r="B703" s="434"/>
      <c r="C703" s="434"/>
      <c r="D703" s="434"/>
      <c r="E703" s="434"/>
      <c r="F703" s="434"/>
      <c r="G703" s="434"/>
      <c r="H703" s="434"/>
      <c r="I703" s="434"/>
      <c r="J703" s="434"/>
      <c r="K703" s="434"/>
      <c r="L703" s="434"/>
      <c r="M703" s="434"/>
      <c r="N703" s="434"/>
      <c r="O703" s="434"/>
      <c r="P703" s="434"/>
      <c r="Q703" s="434"/>
      <c r="R703" s="434"/>
      <c r="S703" s="434"/>
      <c r="T703" s="434"/>
      <c r="U703" s="434"/>
      <c r="V703" s="434"/>
      <c r="W703" s="434"/>
      <c r="X703" s="434"/>
      <c r="Y703" s="434"/>
      <c r="Z703" s="434"/>
      <c r="AA703" s="434"/>
    </row>
    <row r="704" spans="1:27" ht="15.75" customHeight="1" x14ac:dyDescent="0.35">
      <c r="A704" s="434"/>
      <c r="B704" s="434"/>
      <c r="C704" s="434"/>
      <c r="D704" s="434"/>
      <c r="E704" s="434"/>
      <c r="F704" s="434"/>
      <c r="G704" s="434"/>
      <c r="H704" s="434"/>
      <c r="I704" s="434"/>
      <c r="J704" s="434"/>
      <c r="K704" s="434"/>
      <c r="L704" s="434"/>
      <c r="M704" s="434"/>
      <c r="N704" s="434"/>
      <c r="O704" s="434"/>
      <c r="P704" s="434"/>
      <c r="Q704" s="434"/>
      <c r="R704" s="434"/>
      <c r="S704" s="434"/>
      <c r="T704" s="434"/>
      <c r="U704" s="434"/>
      <c r="V704" s="434"/>
      <c r="W704" s="434"/>
      <c r="X704" s="434"/>
      <c r="Y704" s="434"/>
      <c r="Z704" s="434"/>
      <c r="AA704" s="434"/>
    </row>
    <row r="705" spans="1:27" ht="15.75" customHeight="1" x14ac:dyDescent="0.35">
      <c r="A705" s="434"/>
      <c r="B705" s="434"/>
      <c r="C705" s="434"/>
      <c r="D705" s="434"/>
      <c r="E705" s="434"/>
      <c r="F705" s="434"/>
      <c r="G705" s="434"/>
      <c r="H705" s="434"/>
      <c r="I705" s="434"/>
      <c r="J705" s="434"/>
      <c r="K705" s="434"/>
      <c r="L705" s="434"/>
      <c r="M705" s="434"/>
      <c r="N705" s="434"/>
      <c r="O705" s="434"/>
      <c r="P705" s="434"/>
      <c r="Q705" s="434"/>
      <c r="R705" s="434"/>
      <c r="S705" s="434"/>
      <c r="T705" s="434"/>
      <c r="U705" s="434"/>
      <c r="V705" s="434"/>
      <c r="W705" s="434"/>
      <c r="X705" s="434"/>
      <c r="Y705" s="434"/>
      <c r="Z705" s="434"/>
      <c r="AA705" s="434"/>
    </row>
    <row r="706" spans="1:27" ht="15.75" customHeight="1" x14ac:dyDescent="0.35">
      <c r="A706" s="434"/>
      <c r="B706" s="434"/>
      <c r="C706" s="434"/>
      <c r="D706" s="434"/>
      <c r="E706" s="434"/>
      <c r="F706" s="434"/>
      <c r="G706" s="434"/>
      <c r="H706" s="434"/>
      <c r="I706" s="434"/>
      <c r="J706" s="434"/>
      <c r="K706" s="434"/>
      <c r="L706" s="434"/>
      <c r="M706" s="434"/>
      <c r="N706" s="434"/>
      <c r="O706" s="434"/>
      <c r="P706" s="434"/>
      <c r="Q706" s="434"/>
      <c r="R706" s="434"/>
      <c r="S706" s="434"/>
      <c r="T706" s="434"/>
      <c r="U706" s="434"/>
      <c r="V706" s="434"/>
      <c r="W706" s="434"/>
      <c r="X706" s="434"/>
      <c r="Y706" s="434"/>
      <c r="Z706" s="434"/>
      <c r="AA706" s="434"/>
    </row>
    <row r="707" spans="1:27" ht="15.75" customHeight="1" x14ac:dyDescent="0.35">
      <c r="A707" s="434"/>
      <c r="B707" s="434"/>
      <c r="C707" s="434"/>
      <c r="D707" s="434"/>
      <c r="E707" s="434"/>
      <c r="F707" s="434"/>
      <c r="G707" s="434"/>
      <c r="H707" s="434"/>
      <c r="I707" s="434"/>
      <c r="J707" s="434"/>
      <c r="K707" s="434"/>
      <c r="L707" s="434"/>
      <c r="M707" s="434"/>
      <c r="N707" s="434"/>
      <c r="O707" s="434"/>
      <c r="P707" s="434"/>
      <c r="Q707" s="434"/>
      <c r="R707" s="434"/>
      <c r="S707" s="434"/>
      <c r="T707" s="434"/>
      <c r="U707" s="434"/>
      <c r="V707" s="434"/>
      <c r="W707" s="434"/>
      <c r="X707" s="434"/>
      <c r="Y707" s="434"/>
      <c r="Z707" s="434"/>
      <c r="AA707" s="434"/>
    </row>
    <row r="708" spans="1:27" ht="15.75" customHeight="1" x14ac:dyDescent="0.35">
      <c r="A708" s="434"/>
      <c r="B708" s="434"/>
      <c r="C708" s="434"/>
      <c r="D708" s="434"/>
      <c r="E708" s="434"/>
      <c r="F708" s="434"/>
      <c r="G708" s="434"/>
      <c r="H708" s="434"/>
      <c r="I708" s="434"/>
      <c r="J708" s="434"/>
      <c r="K708" s="434"/>
      <c r="L708" s="434"/>
      <c r="M708" s="434"/>
      <c r="N708" s="434"/>
      <c r="O708" s="434"/>
      <c r="P708" s="434"/>
      <c r="Q708" s="434"/>
      <c r="R708" s="434"/>
      <c r="S708" s="434"/>
      <c r="T708" s="434"/>
      <c r="U708" s="434"/>
      <c r="V708" s="434"/>
      <c r="W708" s="434"/>
      <c r="X708" s="434"/>
      <c r="Y708" s="434"/>
      <c r="Z708" s="434"/>
      <c r="AA708" s="434"/>
    </row>
    <row r="709" spans="1:27" ht="15.75" customHeight="1" x14ac:dyDescent="0.35">
      <c r="A709" s="434"/>
      <c r="B709" s="434"/>
      <c r="C709" s="434"/>
      <c r="D709" s="434"/>
      <c r="E709" s="434"/>
      <c r="F709" s="434"/>
      <c r="G709" s="434"/>
      <c r="H709" s="434"/>
      <c r="I709" s="434"/>
      <c r="J709" s="434"/>
      <c r="K709" s="434"/>
      <c r="L709" s="434"/>
      <c r="M709" s="434"/>
      <c r="N709" s="434"/>
      <c r="O709" s="434"/>
      <c r="P709" s="434"/>
      <c r="Q709" s="434"/>
      <c r="R709" s="434"/>
      <c r="S709" s="434"/>
      <c r="T709" s="434"/>
      <c r="U709" s="434"/>
      <c r="V709" s="434"/>
      <c r="W709" s="434"/>
      <c r="X709" s="434"/>
      <c r="Y709" s="434"/>
      <c r="Z709" s="434"/>
      <c r="AA709" s="434"/>
    </row>
    <row r="710" spans="1:27" ht="15.75" customHeight="1" x14ac:dyDescent="0.35">
      <c r="A710" s="434"/>
      <c r="B710" s="434"/>
      <c r="C710" s="434"/>
      <c r="D710" s="434"/>
      <c r="E710" s="434"/>
      <c r="F710" s="434"/>
      <c r="G710" s="434"/>
      <c r="H710" s="434"/>
      <c r="I710" s="434"/>
      <c r="J710" s="434"/>
      <c r="K710" s="434"/>
      <c r="L710" s="434"/>
      <c r="M710" s="434"/>
      <c r="N710" s="434"/>
      <c r="O710" s="434"/>
      <c r="P710" s="434"/>
      <c r="Q710" s="434"/>
      <c r="R710" s="434"/>
      <c r="S710" s="434"/>
      <c r="T710" s="434"/>
      <c r="U710" s="434"/>
      <c r="V710" s="434"/>
      <c r="W710" s="434"/>
      <c r="X710" s="434"/>
      <c r="Y710" s="434"/>
      <c r="Z710" s="434"/>
      <c r="AA710" s="434"/>
    </row>
    <row r="711" spans="1:27" ht="15.75" customHeight="1" x14ac:dyDescent="0.35">
      <c r="A711" s="434"/>
      <c r="B711" s="434"/>
      <c r="C711" s="434"/>
      <c r="D711" s="434"/>
      <c r="E711" s="434"/>
      <c r="F711" s="434"/>
      <c r="G711" s="434"/>
      <c r="H711" s="434"/>
      <c r="I711" s="434"/>
      <c r="J711" s="434"/>
      <c r="K711" s="434"/>
      <c r="L711" s="434"/>
      <c r="M711" s="434"/>
      <c r="N711" s="434"/>
      <c r="O711" s="434"/>
      <c r="P711" s="434"/>
      <c r="Q711" s="434"/>
      <c r="R711" s="434"/>
      <c r="S711" s="434"/>
      <c r="T711" s="434"/>
      <c r="U711" s="434"/>
      <c r="V711" s="434"/>
      <c r="W711" s="434"/>
      <c r="X711" s="434"/>
      <c r="Y711" s="434"/>
      <c r="Z711" s="434"/>
      <c r="AA711" s="434"/>
    </row>
    <row r="712" spans="1:27" ht="15.75" customHeight="1" x14ac:dyDescent="0.35">
      <c r="A712" s="434"/>
      <c r="B712" s="434"/>
      <c r="C712" s="434"/>
      <c r="D712" s="434"/>
      <c r="E712" s="434"/>
      <c r="F712" s="434"/>
      <c r="G712" s="434"/>
      <c r="H712" s="434"/>
      <c r="I712" s="434"/>
      <c r="J712" s="434"/>
      <c r="K712" s="434"/>
      <c r="L712" s="434"/>
      <c r="M712" s="434"/>
      <c r="N712" s="434"/>
      <c r="O712" s="434"/>
      <c r="P712" s="434"/>
      <c r="Q712" s="434"/>
      <c r="R712" s="434"/>
      <c r="S712" s="434"/>
      <c r="T712" s="434"/>
      <c r="U712" s="434"/>
      <c r="V712" s="434"/>
      <c r="W712" s="434"/>
      <c r="X712" s="434"/>
      <c r="Y712" s="434"/>
      <c r="Z712" s="434"/>
      <c r="AA712" s="434"/>
    </row>
    <row r="713" spans="1:27" ht="15.75" customHeight="1" x14ac:dyDescent="0.35">
      <c r="A713" s="434"/>
      <c r="B713" s="434"/>
      <c r="C713" s="434"/>
      <c r="D713" s="434"/>
      <c r="E713" s="434"/>
      <c r="F713" s="434"/>
      <c r="G713" s="434"/>
      <c r="H713" s="434"/>
      <c r="I713" s="434"/>
      <c r="J713" s="434"/>
      <c r="K713" s="434"/>
      <c r="L713" s="434"/>
      <c r="M713" s="434"/>
      <c r="N713" s="434"/>
      <c r="O713" s="434"/>
      <c r="P713" s="434"/>
      <c r="Q713" s="434"/>
      <c r="R713" s="434"/>
      <c r="S713" s="434"/>
      <c r="T713" s="434"/>
      <c r="U713" s="434"/>
      <c r="V713" s="434"/>
      <c r="W713" s="434"/>
      <c r="X713" s="434"/>
      <c r="Y713" s="434"/>
      <c r="Z713" s="434"/>
      <c r="AA713" s="434"/>
    </row>
    <row r="714" spans="1:27" ht="15.75" customHeight="1" x14ac:dyDescent="0.35">
      <c r="A714" s="434"/>
      <c r="B714" s="434"/>
      <c r="C714" s="434"/>
      <c r="D714" s="434"/>
      <c r="E714" s="434"/>
      <c r="F714" s="434"/>
      <c r="G714" s="434"/>
      <c r="H714" s="434"/>
      <c r="I714" s="434"/>
      <c r="J714" s="434"/>
      <c r="K714" s="434"/>
      <c r="L714" s="434"/>
      <c r="M714" s="434"/>
      <c r="N714" s="434"/>
      <c r="O714" s="434"/>
      <c r="P714" s="434"/>
      <c r="Q714" s="434"/>
      <c r="R714" s="434"/>
      <c r="S714" s="434"/>
      <c r="T714" s="434"/>
      <c r="U714" s="434"/>
      <c r="V714" s="434"/>
      <c r="W714" s="434"/>
      <c r="X714" s="434"/>
      <c r="Y714" s="434"/>
      <c r="Z714" s="434"/>
      <c r="AA714" s="434"/>
    </row>
    <row r="715" spans="1:27" ht="15.75" customHeight="1" x14ac:dyDescent="0.35">
      <c r="A715" s="434"/>
      <c r="B715" s="434"/>
      <c r="C715" s="434"/>
      <c r="D715" s="434"/>
      <c r="E715" s="434"/>
      <c r="F715" s="434"/>
      <c r="G715" s="434"/>
      <c r="H715" s="434"/>
      <c r="I715" s="434"/>
      <c r="J715" s="434"/>
      <c r="K715" s="434"/>
      <c r="L715" s="434"/>
      <c r="M715" s="434"/>
      <c r="N715" s="434"/>
      <c r="O715" s="434"/>
      <c r="P715" s="434"/>
      <c r="Q715" s="434"/>
      <c r="R715" s="434"/>
      <c r="S715" s="434"/>
      <c r="T715" s="434"/>
      <c r="U715" s="434"/>
      <c r="V715" s="434"/>
      <c r="W715" s="434"/>
      <c r="X715" s="434"/>
      <c r="Y715" s="434"/>
      <c r="Z715" s="434"/>
      <c r="AA715" s="434"/>
    </row>
    <row r="716" spans="1:27" ht="15.75" customHeight="1" x14ac:dyDescent="0.35">
      <c r="A716" s="434"/>
      <c r="B716" s="434"/>
      <c r="C716" s="434"/>
      <c r="D716" s="434"/>
      <c r="E716" s="434"/>
      <c r="F716" s="434"/>
      <c r="G716" s="434"/>
      <c r="H716" s="434"/>
      <c r="I716" s="434"/>
      <c r="J716" s="434"/>
      <c r="K716" s="434"/>
      <c r="L716" s="434"/>
      <c r="M716" s="434"/>
      <c r="N716" s="434"/>
      <c r="O716" s="434"/>
      <c r="P716" s="434"/>
      <c r="Q716" s="434"/>
      <c r="R716" s="434"/>
      <c r="S716" s="434"/>
      <c r="T716" s="434"/>
      <c r="U716" s="434"/>
      <c r="V716" s="434"/>
      <c r="W716" s="434"/>
      <c r="X716" s="434"/>
      <c r="Y716" s="434"/>
      <c r="Z716" s="434"/>
      <c r="AA716" s="434"/>
    </row>
    <row r="717" spans="1:27" ht="15.75" customHeight="1" x14ac:dyDescent="0.35">
      <c r="A717" s="434"/>
      <c r="B717" s="434"/>
      <c r="C717" s="434"/>
      <c r="D717" s="434"/>
      <c r="E717" s="434"/>
      <c r="F717" s="434"/>
      <c r="G717" s="434"/>
      <c r="H717" s="434"/>
      <c r="I717" s="434"/>
      <c r="J717" s="434"/>
      <c r="K717" s="434"/>
      <c r="L717" s="434"/>
      <c r="M717" s="434"/>
      <c r="N717" s="434"/>
      <c r="O717" s="434"/>
      <c r="P717" s="434"/>
      <c r="Q717" s="434"/>
      <c r="R717" s="434"/>
      <c r="S717" s="434"/>
      <c r="T717" s="434"/>
      <c r="U717" s="434"/>
      <c r="V717" s="434"/>
      <c r="W717" s="434"/>
      <c r="X717" s="434"/>
      <c r="Y717" s="434"/>
      <c r="Z717" s="434"/>
      <c r="AA717" s="434"/>
    </row>
    <row r="718" spans="1:27" ht="15.75" customHeight="1" x14ac:dyDescent="0.35">
      <c r="A718" s="434"/>
      <c r="B718" s="434"/>
      <c r="C718" s="434"/>
      <c r="D718" s="434"/>
      <c r="E718" s="434"/>
      <c r="F718" s="434"/>
      <c r="G718" s="434"/>
      <c r="H718" s="434"/>
      <c r="I718" s="434"/>
      <c r="J718" s="434"/>
      <c r="K718" s="434"/>
      <c r="L718" s="434"/>
      <c r="M718" s="434"/>
      <c r="N718" s="434"/>
      <c r="O718" s="434"/>
      <c r="P718" s="434"/>
      <c r="Q718" s="434"/>
      <c r="R718" s="434"/>
      <c r="S718" s="434"/>
      <c r="T718" s="434"/>
      <c r="U718" s="434"/>
      <c r="V718" s="434"/>
      <c r="W718" s="434"/>
      <c r="X718" s="434"/>
      <c r="Y718" s="434"/>
      <c r="Z718" s="434"/>
      <c r="AA718" s="434"/>
    </row>
    <row r="719" spans="1:27" ht="15.75" customHeight="1" x14ac:dyDescent="0.35">
      <c r="A719" s="434"/>
      <c r="B719" s="434"/>
      <c r="C719" s="434"/>
      <c r="D719" s="434"/>
      <c r="E719" s="434"/>
      <c r="F719" s="434"/>
      <c r="G719" s="434"/>
      <c r="H719" s="434"/>
      <c r="I719" s="434"/>
      <c r="J719" s="434"/>
      <c r="K719" s="434"/>
      <c r="L719" s="434"/>
      <c r="M719" s="434"/>
      <c r="N719" s="434"/>
      <c r="O719" s="434"/>
      <c r="P719" s="434"/>
      <c r="Q719" s="434"/>
      <c r="R719" s="434"/>
      <c r="S719" s="434"/>
      <c r="T719" s="434"/>
      <c r="U719" s="434"/>
      <c r="V719" s="434"/>
      <c r="W719" s="434"/>
      <c r="X719" s="434"/>
      <c r="Y719" s="434"/>
      <c r="Z719" s="434"/>
      <c r="AA719" s="434"/>
    </row>
    <row r="720" spans="1:27" ht="15.75" customHeight="1" x14ac:dyDescent="0.35">
      <c r="A720" s="434"/>
      <c r="B720" s="434"/>
      <c r="C720" s="434"/>
      <c r="D720" s="434"/>
      <c r="E720" s="434"/>
      <c r="F720" s="434"/>
      <c r="G720" s="434"/>
      <c r="H720" s="434"/>
      <c r="I720" s="434"/>
      <c r="J720" s="434"/>
      <c r="K720" s="434"/>
      <c r="L720" s="434"/>
      <c r="M720" s="434"/>
      <c r="N720" s="434"/>
      <c r="O720" s="434"/>
      <c r="P720" s="434"/>
      <c r="Q720" s="434"/>
      <c r="R720" s="434"/>
      <c r="S720" s="434"/>
      <c r="T720" s="434"/>
      <c r="U720" s="434"/>
      <c r="V720" s="434"/>
      <c r="W720" s="434"/>
      <c r="X720" s="434"/>
      <c r="Y720" s="434"/>
      <c r="Z720" s="434"/>
      <c r="AA720" s="434"/>
    </row>
    <row r="721" spans="1:27" ht="15.75" customHeight="1" x14ac:dyDescent="0.35">
      <c r="A721" s="434"/>
      <c r="B721" s="434"/>
      <c r="C721" s="434"/>
      <c r="D721" s="434"/>
      <c r="E721" s="434"/>
      <c r="F721" s="434"/>
      <c r="G721" s="434"/>
      <c r="H721" s="434"/>
      <c r="I721" s="434"/>
      <c r="J721" s="434"/>
      <c r="K721" s="434"/>
      <c r="L721" s="434"/>
      <c r="M721" s="434"/>
      <c r="N721" s="434"/>
      <c r="O721" s="434"/>
      <c r="P721" s="434"/>
      <c r="Q721" s="434"/>
      <c r="R721" s="434"/>
      <c r="S721" s="434"/>
      <c r="T721" s="434"/>
      <c r="U721" s="434"/>
      <c r="V721" s="434"/>
      <c r="W721" s="434"/>
      <c r="X721" s="434"/>
      <c r="Y721" s="434"/>
      <c r="Z721" s="434"/>
      <c r="AA721" s="434"/>
    </row>
    <row r="722" spans="1:27" ht="15.75" customHeight="1" x14ac:dyDescent="0.35">
      <c r="A722" s="434"/>
      <c r="B722" s="434"/>
      <c r="C722" s="434"/>
      <c r="D722" s="434"/>
      <c r="E722" s="434"/>
      <c r="F722" s="434"/>
      <c r="G722" s="434"/>
      <c r="H722" s="434"/>
      <c r="I722" s="434"/>
      <c r="J722" s="434"/>
      <c r="K722" s="434"/>
      <c r="L722" s="434"/>
      <c r="M722" s="434"/>
      <c r="N722" s="434"/>
      <c r="O722" s="434"/>
      <c r="P722" s="434"/>
      <c r="Q722" s="434"/>
      <c r="R722" s="434"/>
      <c r="S722" s="434"/>
      <c r="T722" s="434"/>
      <c r="U722" s="434"/>
      <c r="V722" s="434"/>
      <c r="W722" s="434"/>
      <c r="X722" s="434"/>
      <c r="Y722" s="434"/>
      <c r="Z722" s="434"/>
      <c r="AA722" s="434"/>
    </row>
    <row r="723" spans="1:27" ht="15.75" customHeight="1" x14ac:dyDescent="0.35">
      <c r="A723" s="434"/>
      <c r="B723" s="434"/>
      <c r="C723" s="434"/>
      <c r="D723" s="434"/>
      <c r="E723" s="434"/>
      <c r="F723" s="434"/>
      <c r="G723" s="434"/>
      <c r="H723" s="434"/>
      <c r="I723" s="434"/>
      <c r="J723" s="434"/>
      <c r="K723" s="434"/>
      <c r="L723" s="434"/>
      <c r="M723" s="434"/>
      <c r="N723" s="434"/>
      <c r="O723" s="434"/>
      <c r="P723" s="434"/>
      <c r="Q723" s="434"/>
      <c r="R723" s="434"/>
      <c r="S723" s="434"/>
      <c r="T723" s="434"/>
      <c r="U723" s="434"/>
      <c r="V723" s="434"/>
      <c r="W723" s="434"/>
      <c r="X723" s="434"/>
      <c r="Y723" s="434"/>
      <c r="Z723" s="434"/>
      <c r="AA723" s="434"/>
    </row>
    <row r="724" spans="1:27" ht="15.75" customHeight="1" x14ac:dyDescent="0.35">
      <c r="A724" s="434"/>
      <c r="B724" s="434"/>
      <c r="C724" s="434"/>
      <c r="D724" s="434"/>
      <c r="E724" s="434"/>
      <c r="F724" s="434"/>
      <c r="G724" s="434"/>
      <c r="H724" s="434"/>
      <c r="I724" s="434"/>
      <c r="J724" s="434"/>
      <c r="K724" s="434"/>
      <c r="L724" s="434"/>
      <c r="M724" s="434"/>
      <c r="N724" s="434"/>
      <c r="O724" s="434"/>
      <c r="P724" s="434"/>
      <c r="Q724" s="434"/>
      <c r="R724" s="434"/>
      <c r="S724" s="434"/>
      <c r="T724" s="434"/>
      <c r="U724" s="434"/>
      <c r="V724" s="434"/>
      <c r="W724" s="434"/>
      <c r="X724" s="434"/>
      <c r="Y724" s="434"/>
      <c r="Z724" s="434"/>
      <c r="AA724" s="434"/>
    </row>
    <row r="725" spans="1:27" ht="15.75" customHeight="1" x14ac:dyDescent="0.35">
      <c r="A725" s="434"/>
      <c r="B725" s="434"/>
      <c r="C725" s="434"/>
      <c r="D725" s="434"/>
      <c r="E725" s="434"/>
      <c r="F725" s="434"/>
      <c r="G725" s="434"/>
      <c r="H725" s="434"/>
      <c r="I725" s="434"/>
      <c r="J725" s="434"/>
      <c r="K725" s="434"/>
      <c r="L725" s="434"/>
      <c r="M725" s="434"/>
      <c r="N725" s="434"/>
      <c r="O725" s="434"/>
      <c r="P725" s="434"/>
      <c r="Q725" s="434"/>
      <c r="R725" s="434"/>
      <c r="S725" s="434"/>
      <c r="T725" s="434"/>
      <c r="U725" s="434"/>
      <c r="V725" s="434"/>
      <c r="W725" s="434"/>
      <c r="X725" s="434"/>
      <c r="Y725" s="434"/>
      <c r="Z725" s="434"/>
      <c r="AA725" s="434"/>
    </row>
    <row r="726" spans="1:27" ht="15.75" customHeight="1" x14ac:dyDescent="0.35">
      <c r="A726" s="434"/>
      <c r="B726" s="434"/>
      <c r="C726" s="434"/>
      <c r="D726" s="434"/>
      <c r="E726" s="434"/>
      <c r="F726" s="434"/>
      <c r="G726" s="434"/>
      <c r="H726" s="434"/>
      <c r="I726" s="434"/>
      <c r="J726" s="434"/>
      <c r="K726" s="434"/>
      <c r="L726" s="434"/>
      <c r="M726" s="434"/>
      <c r="N726" s="434"/>
      <c r="O726" s="434"/>
      <c r="P726" s="434"/>
      <c r="Q726" s="434"/>
      <c r="R726" s="434"/>
      <c r="S726" s="434"/>
      <c r="T726" s="434"/>
      <c r="U726" s="434"/>
      <c r="V726" s="434"/>
      <c r="W726" s="434"/>
      <c r="X726" s="434"/>
      <c r="Y726" s="434"/>
      <c r="Z726" s="434"/>
      <c r="AA726" s="434"/>
    </row>
    <row r="727" spans="1:27" ht="15.75" customHeight="1" x14ac:dyDescent="0.35">
      <c r="A727" s="434"/>
      <c r="B727" s="434"/>
      <c r="C727" s="434"/>
      <c r="D727" s="434"/>
      <c r="E727" s="434"/>
      <c r="F727" s="434"/>
      <c r="G727" s="434"/>
      <c r="H727" s="434"/>
      <c r="I727" s="434"/>
      <c r="J727" s="434"/>
      <c r="K727" s="434"/>
      <c r="L727" s="434"/>
      <c r="M727" s="434"/>
      <c r="N727" s="434"/>
      <c r="O727" s="434"/>
      <c r="P727" s="434"/>
      <c r="Q727" s="434"/>
      <c r="R727" s="434"/>
      <c r="S727" s="434"/>
      <c r="T727" s="434"/>
      <c r="U727" s="434"/>
      <c r="V727" s="434"/>
      <c r="W727" s="434"/>
      <c r="X727" s="434"/>
      <c r="Y727" s="434"/>
      <c r="Z727" s="434"/>
      <c r="AA727" s="434"/>
    </row>
    <row r="728" spans="1:27" ht="15.75" customHeight="1" x14ac:dyDescent="0.35">
      <c r="A728" s="434"/>
      <c r="B728" s="434"/>
      <c r="C728" s="434"/>
      <c r="D728" s="434"/>
      <c r="E728" s="434"/>
      <c r="F728" s="434"/>
      <c r="G728" s="434"/>
      <c r="H728" s="434"/>
      <c r="I728" s="434"/>
      <c r="J728" s="434"/>
      <c r="K728" s="434"/>
      <c r="L728" s="434"/>
      <c r="M728" s="434"/>
      <c r="N728" s="434"/>
      <c r="O728" s="434"/>
      <c r="P728" s="434"/>
      <c r="Q728" s="434"/>
      <c r="R728" s="434"/>
      <c r="S728" s="434"/>
      <c r="T728" s="434"/>
      <c r="U728" s="434"/>
      <c r="V728" s="434"/>
      <c r="W728" s="434"/>
      <c r="X728" s="434"/>
      <c r="Y728" s="434"/>
      <c r="Z728" s="434"/>
      <c r="AA728" s="434"/>
    </row>
    <row r="729" spans="1:27" ht="15.75" customHeight="1" x14ac:dyDescent="0.35">
      <c r="A729" s="434"/>
      <c r="B729" s="434"/>
      <c r="C729" s="434"/>
      <c r="D729" s="434"/>
      <c r="E729" s="434"/>
      <c r="F729" s="434"/>
      <c r="G729" s="434"/>
      <c r="H729" s="434"/>
      <c r="I729" s="434"/>
      <c r="J729" s="434"/>
      <c r="K729" s="434"/>
      <c r="L729" s="434"/>
      <c r="M729" s="434"/>
      <c r="N729" s="434"/>
      <c r="O729" s="434"/>
      <c r="P729" s="434"/>
      <c r="Q729" s="434"/>
      <c r="R729" s="434"/>
      <c r="S729" s="434"/>
      <c r="T729" s="434"/>
      <c r="U729" s="434"/>
      <c r="V729" s="434"/>
      <c r="W729" s="434"/>
      <c r="X729" s="434"/>
      <c r="Y729" s="434"/>
      <c r="Z729" s="434"/>
      <c r="AA729" s="434"/>
    </row>
    <row r="730" spans="1:27" ht="15.75" customHeight="1" x14ac:dyDescent="0.35">
      <c r="A730" s="434"/>
      <c r="B730" s="434"/>
      <c r="C730" s="434"/>
      <c r="D730" s="434"/>
      <c r="E730" s="434"/>
      <c r="F730" s="434"/>
      <c r="G730" s="434"/>
      <c r="H730" s="434"/>
      <c r="I730" s="434"/>
      <c r="J730" s="434"/>
      <c r="K730" s="434"/>
      <c r="L730" s="434"/>
      <c r="M730" s="434"/>
      <c r="N730" s="434"/>
      <c r="O730" s="434"/>
      <c r="P730" s="434"/>
      <c r="Q730" s="434"/>
      <c r="R730" s="434"/>
      <c r="S730" s="434"/>
      <c r="T730" s="434"/>
      <c r="U730" s="434"/>
      <c r="V730" s="434"/>
      <c r="W730" s="434"/>
      <c r="X730" s="434"/>
      <c r="Y730" s="434"/>
      <c r="Z730" s="434"/>
      <c r="AA730" s="434"/>
    </row>
    <row r="731" spans="1:27" ht="15.75" customHeight="1" x14ac:dyDescent="0.35">
      <c r="A731" s="434"/>
      <c r="B731" s="434"/>
      <c r="C731" s="434"/>
      <c r="D731" s="434"/>
      <c r="E731" s="434"/>
      <c r="F731" s="434"/>
      <c r="G731" s="434"/>
      <c r="H731" s="434"/>
      <c r="I731" s="434"/>
      <c r="J731" s="434"/>
      <c r="K731" s="434"/>
      <c r="L731" s="434"/>
      <c r="M731" s="434"/>
      <c r="N731" s="434"/>
      <c r="O731" s="434"/>
      <c r="P731" s="434"/>
      <c r="Q731" s="434"/>
      <c r="R731" s="434"/>
      <c r="S731" s="434"/>
      <c r="T731" s="434"/>
      <c r="U731" s="434"/>
      <c r="V731" s="434"/>
      <c r="W731" s="434"/>
      <c r="X731" s="434"/>
      <c r="Y731" s="434"/>
      <c r="Z731" s="434"/>
      <c r="AA731" s="434"/>
    </row>
    <row r="732" spans="1:27" ht="15.75" customHeight="1" x14ac:dyDescent="0.35">
      <c r="A732" s="434"/>
      <c r="B732" s="434"/>
      <c r="C732" s="434"/>
      <c r="D732" s="434"/>
      <c r="E732" s="434"/>
      <c r="F732" s="434"/>
      <c r="G732" s="434"/>
      <c r="H732" s="434"/>
      <c r="I732" s="434"/>
      <c r="J732" s="434"/>
      <c r="K732" s="434"/>
      <c r="L732" s="434"/>
      <c r="M732" s="434"/>
      <c r="N732" s="434"/>
      <c r="O732" s="434"/>
      <c r="P732" s="434"/>
      <c r="Q732" s="434"/>
      <c r="R732" s="434"/>
      <c r="S732" s="434"/>
      <c r="T732" s="434"/>
      <c r="U732" s="434"/>
      <c r="V732" s="434"/>
      <c r="W732" s="434"/>
      <c r="X732" s="434"/>
      <c r="Y732" s="434"/>
      <c r="Z732" s="434"/>
      <c r="AA732" s="434"/>
    </row>
    <row r="733" spans="1:27" ht="15.75" customHeight="1" x14ac:dyDescent="0.35">
      <c r="A733" s="434"/>
      <c r="B733" s="434"/>
      <c r="C733" s="434"/>
      <c r="D733" s="434"/>
      <c r="E733" s="434"/>
      <c r="F733" s="434"/>
      <c r="G733" s="434"/>
      <c r="H733" s="434"/>
      <c r="I733" s="434"/>
      <c r="J733" s="434"/>
      <c r="K733" s="434"/>
      <c r="L733" s="434"/>
      <c r="M733" s="434"/>
      <c r="N733" s="434"/>
      <c r="O733" s="434"/>
      <c r="P733" s="434"/>
      <c r="Q733" s="434"/>
      <c r="R733" s="434"/>
      <c r="S733" s="434"/>
      <c r="T733" s="434"/>
      <c r="U733" s="434"/>
      <c r="V733" s="434"/>
      <c r="W733" s="434"/>
      <c r="X733" s="434"/>
      <c r="Y733" s="434"/>
      <c r="Z733" s="434"/>
      <c r="AA733" s="434"/>
    </row>
    <row r="734" spans="1:27" ht="15.75" customHeight="1" x14ac:dyDescent="0.35">
      <c r="A734" s="434"/>
      <c r="B734" s="434"/>
      <c r="C734" s="434"/>
      <c r="D734" s="434"/>
      <c r="E734" s="434"/>
      <c r="F734" s="434"/>
      <c r="G734" s="434"/>
      <c r="H734" s="434"/>
      <c r="I734" s="434"/>
      <c r="J734" s="434"/>
      <c r="K734" s="434"/>
      <c r="L734" s="434"/>
      <c r="M734" s="434"/>
      <c r="N734" s="434"/>
      <c r="O734" s="434"/>
      <c r="P734" s="434"/>
      <c r="Q734" s="434"/>
      <c r="R734" s="434"/>
      <c r="S734" s="434"/>
      <c r="T734" s="434"/>
      <c r="U734" s="434"/>
      <c r="V734" s="434"/>
      <c r="W734" s="434"/>
      <c r="X734" s="434"/>
      <c r="Y734" s="434"/>
      <c r="Z734" s="434"/>
      <c r="AA734" s="434"/>
    </row>
    <row r="735" spans="1:27" ht="15.75" customHeight="1" x14ac:dyDescent="0.35">
      <c r="A735" s="434"/>
      <c r="B735" s="434"/>
      <c r="C735" s="434"/>
      <c r="D735" s="434"/>
      <c r="E735" s="434"/>
      <c r="F735" s="434"/>
      <c r="G735" s="434"/>
      <c r="H735" s="434"/>
      <c r="I735" s="434"/>
      <c r="J735" s="434"/>
      <c r="K735" s="434"/>
      <c r="L735" s="434"/>
      <c r="M735" s="434"/>
      <c r="N735" s="434"/>
      <c r="O735" s="434"/>
      <c r="P735" s="434"/>
      <c r="Q735" s="434"/>
      <c r="R735" s="434"/>
      <c r="S735" s="434"/>
      <c r="T735" s="434"/>
      <c r="U735" s="434"/>
      <c r="V735" s="434"/>
      <c r="W735" s="434"/>
      <c r="X735" s="434"/>
      <c r="Y735" s="434"/>
      <c r="Z735" s="434"/>
      <c r="AA735" s="434"/>
    </row>
    <row r="736" spans="1:27" ht="15.75" customHeight="1" x14ac:dyDescent="0.35">
      <c r="A736" s="434"/>
      <c r="B736" s="434"/>
      <c r="C736" s="434"/>
      <c r="D736" s="434"/>
      <c r="E736" s="434"/>
      <c r="F736" s="434"/>
      <c r="G736" s="434"/>
      <c r="H736" s="434"/>
      <c r="I736" s="434"/>
      <c r="J736" s="434"/>
      <c r="K736" s="434"/>
      <c r="L736" s="434"/>
      <c r="M736" s="434"/>
      <c r="N736" s="434"/>
      <c r="O736" s="434"/>
      <c r="P736" s="434"/>
      <c r="Q736" s="434"/>
      <c r="R736" s="434"/>
      <c r="S736" s="434"/>
      <c r="T736" s="434"/>
      <c r="U736" s="434"/>
      <c r="V736" s="434"/>
      <c r="W736" s="434"/>
      <c r="X736" s="434"/>
      <c r="Y736" s="434"/>
      <c r="Z736" s="434"/>
      <c r="AA736" s="434"/>
    </row>
    <row r="737" spans="1:27" ht="15.75" customHeight="1" x14ac:dyDescent="0.35">
      <c r="A737" s="434"/>
      <c r="B737" s="434"/>
      <c r="C737" s="434"/>
      <c r="D737" s="434"/>
      <c r="E737" s="434"/>
      <c r="F737" s="434"/>
      <c r="G737" s="434"/>
      <c r="H737" s="434"/>
      <c r="I737" s="434"/>
      <c r="J737" s="434"/>
      <c r="K737" s="434"/>
      <c r="L737" s="434"/>
      <c r="M737" s="434"/>
      <c r="N737" s="434"/>
      <c r="O737" s="434"/>
      <c r="P737" s="434"/>
      <c r="Q737" s="434"/>
      <c r="R737" s="434"/>
      <c r="S737" s="434"/>
      <c r="T737" s="434"/>
      <c r="U737" s="434"/>
      <c r="V737" s="434"/>
      <c r="W737" s="434"/>
      <c r="X737" s="434"/>
      <c r="Y737" s="434"/>
      <c r="Z737" s="434"/>
      <c r="AA737" s="434"/>
    </row>
    <row r="738" spans="1:27" ht="15.75" customHeight="1" x14ac:dyDescent="0.35">
      <c r="A738" s="434"/>
      <c r="B738" s="434"/>
      <c r="C738" s="434"/>
      <c r="D738" s="434"/>
      <c r="E738" s="434"/>
      <c r="F738" s="434"/>
      <c r="G738" s="434"/>
      <c r="H738" s="434"/>
      <c r="I738" s="434"/>
      <c r="J738" s="434"/>
      <c r="K738" s="434"/>
      <c r="L738" s="434"/>
      <c r="M738" s="434"/>
      <c r="N738" s="434"/>
      <c r="O738" s="434"/>
      <c r="P738" s="434"/>
      <c r="Q738" s="434"/>
      <c r="R738" s="434"/>
      <c r="S738" s="434"/>
      <c r="T738" s="434"/>
      <c r="U738" s="434"/>
      <c r="V738" s="434"/>
      <c r="W738" s="434"/>
      <c r="X738" s="434"/>
      <c r="Y738" s="434"/>
      <c r="Z738" s="434"/>
      <c r="AA738" s="434"/>
    </row>
    <row r="739" spans="1:27" ht="15.75" customHeight="1" x14ac:dyDescent="0.35">
      <c r="A739" s="434"/>
      <c r="B739" s="434"/>
      <c r="C739" s="434"/>
      <c r="D739" s="434"/>
      <c r="E739" s="434"/>
      <c r="F739" s="434"/>
      <c r="G739" s="434"/>
      <c r="H739" s="434"/>
      <c r="I739" s="434"/>
      <c r="J739" s="434"/>
      <c r="K739" s="434"/>
      <c r="L739" s="434"/>
      <c r="M739" s="434"/>
      <c r="N739" s="434"/>
      <c r="O739" s="434"/>
      <c r="P739" s="434"/>
      <c r="Q739" s="434"/>
      <c r="R739" s="434"/>
      <c r="S739" s="434"/>
      <c r="T739" s="434"/>
      <c r="U739" s="434"/>
      <c r="V739" s="434"/>
      <c r="W739" s="434"/>
      <c r="X739" s="434"/>
      <c r="Y739" s="434"/>
      <c r="Z739" s="434"/>
      <c r="AA739" s="434"/>
    </row>
    <row r="740" spans="1:27" ht="15.75" customHeight="1" x14ac:dyDescent="0.35">
      <c r="A740" s="434"/>
      <c r="B740" s="434"/>
      <c r="C740" s="434"/>
      <c r="D740" s="434"/>
      <c r="E740" s="434"/>
      <c r="F740" s="434"/>
      <c r="G740" s="434"/>
      <c r="H740" s="434"/>
      <c r="I740" s="434"/>
      <c r="J740" s="434"/>
      <c r="K740" s="434"/>
      <c r="L740" s="434"/>
      <c r="M740" s="434"/>
      <c r="N740" s="434"/>
      <c r="O740" s="434"/>
      <c r="P740" s="434"/>
      <c r="Q740" s="434"/>
      <c r="R740" s="434"/>
      <c r="S740" s="434"/>
      <c r="T740" s="434"/>
      <c r="U740" s="434"/>
      <c r="V740" s="434"/>
      <c r="W740" s="434"/>
      <c r="X740" s="434"/>
      <c r="Y740" s="434"/>
      <c r="Z740" s="434"/>
      <c r="AA740" s="434"/>
    </row>
    <row r="741" spans="1:27" ht="15.75" customHeight="1" x14ac:dyDescent="0.35">
      <c r="A741" s="434"/>
      <c r="B741" s="434"/>
      <c r="C741" s="434"/>
      <c r="D741" s="434"/>
      <c r="E741" s="434"/>
      <c r="F741" s="434"/>
      <c r="G741" s="434"/>
      <c r="H741" s="434"/>
      <c r="I741" s="434"/>
      <c r="J741" s="434"/>
      <c r="K741" s="434"/>
      <c r="L741" s="434"/>
      <c r="M741" s="434"/>
      <c r="N741" s="434"/>
      <c r="O741" s="434"/>
      <c r="P741" s="434"/>
      <c r="Q741" s="434"/>
      <c r="R741" s="434"/>
      <c r="S741" s="434"/>
      <c r="T741" s="434"/>
      <c r="U741" s="434"/>
      <c r="V741" s="434"/>
      <c r="W741" s="434"/>
      <c r="X741" s="434"/>
      <c r="Y741" s="434"/>
      <c r="Z741" s="434"/>
      <c r="AA741" s="434"/>
    </row>
    <row r="742" spans="1:27" ht="15.75" customHeight="1" x14ac:dyDescent="0.35">
      <c r="A742" s="434"/>
      <c r="B742" s="434"/>
      <c r="C742" s="434"/>
      <c r="D742" s="434"/>
      <c r="E742" s="434"/>
      <c r="F742" s="434"/>
      <c r="G742" s="434"/>
      <c r="H742" s="434"/>
      <c r="I742" s="434"/>
      <c r="J742" s="434"/>
      <c r="K742" s="434"/>
      <c r="L742" s="434"/>
      <c r="M742" s="434"/>
      <c r="N742" s="434"/>
      <c r="O742" s="434"/>
      <c r="P742" s="434"/>
      <c r="Q742" s="434"/>
      <c r="R742" s="434"/>
      <c r="S742" s="434"/>
      <c r="T742" s="434"/>
      <c r="U742" s="434"/>
      <c r="V742" s="434"/>
      <c r="W742" s="434"/>
      <c r="X742" s="434"/>
      <c r="Y742" s="434"/>
      <c r="Z742" s="434"/>
      <c r="AA742" s="434"/>
    </row>
    <row r="743" spans="1:27" ht="15.75" customHeight="1" x14ac:dyDescent="0.35">
      <c r="A743" s="434"/>
      <c r="B743" s="434"/>
      <c r="C743" s="434"/>
      <c r="D743" s="434"/>
      <c r="E743" s="434"/>
      <c r="F743" s="434"/>
      <c r="G743" s="434"/>
      <c r="H743" s="434"/>
      <c r="I743" s="434"/>
      <c r="J743" s="434"/>
      <c r="K743" s="434"/>
      <c r="L743" s="434"/>
      <c r="M743" s="434"/>
      <c r="N743" s="434"/>
      <c r="O743" s="434"/>
      <c r="P743" s="434"/>
      <c r="Q743" s="434"/>
      <c r="R743" s="434"/>
      <c r="S743" s="434"/>
      <c r="T743" s="434"/>
      <c r="U743" s="434"/>
      <c r="V743" s="434"/>
      <c r="W743" s="434"/>
      <c r="X743" s="434"/>
      <c r="Y743" s="434"/>
      <c r="Z743" s="434"/>
      <c r="AA743" s="434"/>
    </row>
    <row r="744" spans="1:27" ht="15.75" customHeight="1" x14ac:dyDescent="0.35">
      <c r="A744" s="434"/>
      <c r="B744" s="434"/>
      <c r="C744" s="434"/>
      <c r="D744" s="434"/>
      <c r="E744" s="434"/>
      <c r="F744" s="434"/>
      <c r="G744" s="434"/>
      <c r="H744" s="434"/>
      <c r="I744" s="434"/>
      <c r="J744" s="434"/>
      <c r="K744" s="434"/>
      <c r="L744" s="434"/>
      <c r="M744" s="434"/>
      <c r="N744" s="434"/>
      <c r="O744" s="434"/>
      <c r="P744" s="434"/>
      <c r="Q744" s="434"/>
      <c r="R744" s="434"/>
      <c r="S744" s="434"/>
      <c r="T744" s="434"/>
      <c r="U744" s="434"/>
      <c r="V744" s="434"/>
      <c r="W744" s="434"/>
      <c r="X744" s="434"/>
      <c r="Y744" s="434"/>
      <c r="Z744" s="434"/>
      <c r="AA744" s="434"/>
    </row>
    <row r="745" spans="1:27" ht="15.75" customHeight="1" x14ac:dyDescent="0.35">
      <c r="A745" s="434"/>
      <c r="B745" s="434"/>
      <c r="C745" s="434"/>
      <c r="D745" s="434"/>
      <c r="E745" s="434"/>
      <c r="F745" s="434"/>
      <c r="G745" s="434"/>
      <c r="H745" s="434"/>
      <c r="I745" s="434"/>
      <c r="J745" s="434"/>
      <c r="K745" s="434"/>
      <c r="L745" s="434"/>
      <c r="M745" s="434"/>
      <c r="N745" s="434"/>
      <c r="O745" s="434"/>
      <c r="P745" s="434"/>
      <c r="Q745" s="434"/>
      <c r="R745" s="434"/>
      <c r="S745" s="434"/>
      <c r="T745" s="434"/>
      <c r="U745" s="434"/>
      <c r="V745" s="434"/>
      <c r="W745" s="434"/>
      <c r="X745" s="434"/>
      <c r="Y745" s="434"/>
      <c r="Z745" s="434"/>
      <c r="AA745" s="434"/>
    </row>
    <row r="746" spans="1:27" ht="15.75" customHeight="1" x14ac:dyDescent="0.35">
      <c r="A746" s="434"/>
      <c r="B746" s="434"/>
      <c r="C746" s="434"/>
      <c r="D746" s="434"/>
      <c r="E746" s="434"/>
      <c r="F746" s="434"/>
      <c r="G746" s="434"/>
      <c r="H746" s="434"/>
      <c r="I746" s="434"/>
      <c r="J746" s="434"/>
      <c r="K746" s="434"/>
      <c r="L746" s="434"/>
      <c r="M746" s="434"/>
      <c r="N746" s="434"/>
      <c r="O746" s="434"/>
      <c r="P746" s="434"/>
      <c r="Q746" s="434"/>
      <c r="R746" s="434"/>
      <c r="S746" s="434"/>
      <c r="T746" s="434"/>
      <c r="U746" s="434"/>
      <c r="V746" s="434"/>
      <c r="W746" s="434"/>
      <c r="X746" s="434"/>
      <c r="Y746" s="434"/>
      <c r="Z746" s="434"/>
      <c r="AA746" s="434"/>
    </row>
    <row r="747" spans="1:27" ht="15.75" customHeight="1" x14ac:dyDescent="0.35">
      <c r="A747" s="434"/>
      <c r="B747" s="434"/>
      <c r="C747" s="434"/>
      <c r="D747" s="434"/>
      <c r="E747" s="434"/>
      <c r="F747" s="434"/>
      <c r="G747" s="434"/>
      <c r="H747" s="434"/>
      <c r="I747" s="434"/>
      <c r="J747" s="434"/>
      <c r="K747" s="434"/>
      <c r="L747" s="434"/>
      <c r="M747" s="434"/>
      <c r="N747" s="434"/>
      <c r="O747" s="434"/>
      <c r="P747" s="434"/>
      <c r="Q747" s="434"/>
      <c r="R747" s="434"/>
      <c r="S747" s="434"/>
      <c r="T747" s="434"/>
      <c r="U747" s="434"/>
      <c r="V747" s="434"/>
      <c r="W747" s="434"/>
      <c r="X747" s="434"/>
      <c r="Y747" s="434"/>
      <c r="Z747" s="434"/>
      <c r="AA747" s="434"/>
    </row>
    <row r="748" spans="1:27" ht="15.75" customHeight="1" x14ac:dyDescent="0.35">
      <c r="A748" s="434"/>
      <c r="B748" s="434"/>
      <c r="C748" s="434"/>
      <c r="D748" s="434"/>
      <c r="E748" s="434"/>
      <c r="F748" s="434"/>
      <c r="G748" s="434"/>
      <c r="H748" s="434"/>
      <c r="I748" s="434"/>
      <c r="J748" s="434"/>
      <c r="K748" s="434"/>
      <c r="L748" s="434"/>
      <c r="M748" s="434"/>
      <c r="N748" s="434"/>
      <c r="O748" s="434"/>
      <c r="P748" s="434"/>
      <c r="Q748" s="434"/>
      <c r="R748" s="434"/>
      <c r="S748" s="434"/>
      <c r="T748" s="434"/>
      <c r="U748" s="434"/>
      <c r="V748" s="434"/>
      <c r="W748" s="434"/>
      <c r="X748" s="434"/>
      <c r="Y748" s="434"/>
      <c r="Z748" s="434"/>
      <c r="AA748" s="434"/>
    </row>
    <row r="749" spans="1:27" ht="15.75" customHeight="1" x14ac:dyDescent="0.35">
      <c r="A749" s="434"/>
      <c r="B749" s="434"/>
      <c r="C749" s="434"/>
      <c r="D749" s="434"/>
      <c r="E749" s="434"/>
      <c r="F749" s="434"/>
      <c r="G749" s="434"/>
      <c r="H749" s="434"/>
      <c r="I749" s="434"/>
      <c r="J749" s="434"/>
      <c r="K749" s="434"/>
      <c r="L749" s="434"/>
      <c r="M749" s="434"/>
      <c r="N749" s="434"/>
      <c r="O749" s="434"/>
      <c r="P749" s="434"/>
      <c r="Q749" s="434"/>
      <c r="R749" s="434"/>
      <c r="S749" s="434"/>
      <c r="T749" s="434"/>
      <c r="U749" s="434"/>
      <c r="V749" s="434"/>
      <c r="W749" s="434"/>
      <c r="X749" s="434"/>
      <c r="Y749" s="434"/>
      <c r="Z749" s="434"/>
      <c r="AA749" s="434"/>
    </row>
    <row r="750" spans="1:27" ht="15.75" customHeight="1" x14ac:dyDescent="0.35">
      <c r="A750" s="434"/>
      <c r="B750" s="434"/>
      <c r="C750" s="434"/>
      <c r="D750" s="434"/>
      <c r="E750" s="434"/>
      <c r="F750" s="434"/>
      <c r="G750" s="434"/>
      <c r="H750" s="434"/>
      <c r="I750" s="434"/>
      <c r="J750" s="434"/>
      <c r="K750" s="434"/>
      <c r="L750" s="434"/>
      <c r="M750" s="434"/>
      <c r="N750" s="434"/>
      <c r="O750" s="434"/>
      <c r="P750" s="434"/>
      <c r="Q750" s="434"/>
      <c r="R750" s="434"/>
      <c r="S750" s="434"/>
      <c r="T750" s="434"/>
      <c r="U750" s="434"/>
      <c r="V750" s="434"/>
      <c r="W750" s="434"/>
      <c r="X750" s="434"/>
      <c r="Y750" s="434"/>
      <c r="Z750" s="434"/>
      <c r="AA750" s="434"/>
    </row>
    <row r="751" spans="1:27" ht="15.75" customHeight="1" x14ac:dyDescent="0.35">
      <c r="A751" s="434"/>
      <c r="B751" s="434"/>
      <c r="C751" s="434"/>
      <c r="D751" s="434"/>
      <c r="E751" s="434"/>
      <c r="F751" s="434"/>
      <c r="G751" s="434"/>
      <c r="H751" s="434"/>
      <c r="I751" s="434"/>
      <c r="J751" s="434"/>
      <c r="K751" s="434"/>
      <c r="L751" s="434"/>
      <c r="M751" s="434"/>
      <c r="N751" s="434"/>
      <c r="O751" s="434"/>
      <c r="P751" s="434"/>
      <c r="Q751" s="434"/>
      <c r="R751" s="434"/>
      <c r="S751" s="434"/>
      <c r="T751" s="434"/>
      <c r="U751" s="434"/>
      <c r="V751" s="434"/>
      <c r="W751" s="434"/>
      <c r="X751" s="434"/>
      <c r="Y751" s="434"/>
      <c r="Z751" s="434"/>
      <c r="AA751" s="434"/>
    </row>
    <row r="752" spans="1:27" ht="15.75" customHeight="1" x14ac:dyDescent="0.35">
      <c r="A752" s="434"/>
      <c r="B752" s="434"/>
      <c r="C752" s="434"/>
      <c r="D752" s="434"/>
      <c r="E752" s="434"/>
      <c r="F752" s="434"/>
      <c r="G752" s="434"/>
      <c r="H752" s="434"/>
      <c r="I752" s="434"/>
      <c r="J752" s="434"/>
      <c r="K752" s="434"/>
      <c r="L752" s="434"/>
      <c r="M752" s="434"/>
      <c r="N752" s="434"/>
      <c r="O752" s="434"/>
      <c r="P752" s="434"/>
      <c r="Q752" s="434"/>
      <c r="R752" s="434"/>
      <c r="S752" s="434"/>
      <c r="T752" s="434"/>
      <c r="U752" s="434"/>
      <c r="V752" s="434"/>
      <c r="W752" s="434"/>
      <c r="X752" s="434"/>
      <c r="Y752" s="434"/>
      <c r="Z752" s="434"/>
      <c r="AA752" s="434"/>
    </row>
    <row r="753" spans="1:27" ht="15.75" customHeight="1" x14ac:dyDescent="0.35">
      <c r="A753" s="434"/>
      <c r="B753" s="434"/>
      <c r="C753" s="434"/>
      <c r="D753" s="434"/>
      <c r="E753" s="434"/>
      <c r="F753" s="434"/>
      <c r="G753" s="434"/>
      <c r="H753" s="434"/>
      <c r="I753" s="434"/>
      <c r="J753" s="434"/>
      <c r="K753" s="434"/>
      <c r="L753" s="434"/>
      <c r="M753" s="434"/>
      <c r="N753" s="434"/>
      <c r="O753" s="434"/>
      <c r="P753" s="434"/>
      <c r="Q753" s="434"/>
      <c r="R753" s="434"/>
      <c r="S753" s="434"/>
      <c r="T753" s="434"/>
      <c r="U753" s="434"/>
      <c r="V753" s="434"/>
      <c r="W753" s="434"/>
      <c r="X753" s="434"/>
      <c r="Y753" s="434"/>
      <c r="Z753" s="434"/>
      <c r="AA753" s="434"/>
    </row>
    <row r="754" spans="1:27" ht="15.75" customHeight="1" x14ac:dyDescent="0.35">
      <c r="A754" s="434"/>
      <c r="B754" s="434"/>
      <c r="C754" s="434"/>
      <c r="D754" s="434"/>
      <c r="E754" s="434"/>
      <c r="F754" s="434"/>
      <c r="G754" s="434"/>
      <c r="H754" s="434"/>
      <c r="I754" s="434"/>
      <c r="J754" s="434"/>
      <c r="K754" s="434"/>
      <c r="L754" s="434"/>
      <c r="M754" s="434"/>
      <c r="N754" s="434"/>
      <c r="O754" s="434"/>
      <c r="P754" s="434"/>
      <c r="Q754" s="434"/>
      <c r="R754" s="434"/>
      <c r="S754" s="434"/>
      <c r="T754" s="434"/>
      <c r="U754" s="434"/>
      <c r="V754" s="434"/>
      <c r="W754" s="434"/>
      <c r="X754" s="434"/>
      <c r="Y754" s="434"/>
      <c r="Z754" s="434"/>
      <c r="AA754" s="434"/>
    </row>
    <row r="755" spans="1:27" ht="15.75" customHeight="1" x14ac:dyDescent="0.35">
      <c r="A755" s="434"/>
      <c r="B755" s="434"/>
      <c r="C755" s="434"/>
      <c r="D755" s="434"/>
      <c r="E755" s="434"/>
      <c r="F755" s="434"/>
      <c r="G755" s="434"/>
      <c r="H755" s="434"/>
      <c r="I755" s="434"/>
      <c r="J755" s="434"/>
      <c r="K755" s="434"/>
      <c r="L755" s="434"/>
      <c r="M755" s="434"/>
      <c r="N755" s="434"/>
      <c r="O755" s="434"/>
      <c r="P755" s="434"/>
      <c r="Q755" s="434"/>
      <c r="R755" s="434"/>
      <c r="S755" s="434"/>
      <c r="T755" s="434"/>
      <c r="U755" s="434"/>
      <c r="V755" s="434"/>
      <c r="W755" s="434"/>
      <c r="X755" s="434"/>
      <c r="Y755" s="434"/>
      <c r="Z755" s="434"/>
      <c r="AA755" s="434"/>
    </row>
    <row r="756" spans="1:27" ht="15.75" customHeight="1" x14ac:dyDescent="0.35">
      <c r="A756" s="434"/>
      <c r="B756" s="434"/>
      <c r="C756" s="434"/>
      <c r="D756" s="434"/>
      <c r="E756" s="434"/>
      <c r="F756" s="434"/>
      <c r="G756" s="434"/>
      <c r="H756" s="434"/>
      <c r="I756" s="434"/>
      <c r="J756" s="434"/>
      <c r="K756" s="434"/>
      <c r="L756" s="434"/>
      <c r="M756" s="434"/>
      <c r="N756" s="434"/>
      <c r="O756" s="434"/>
      <c r="P756" s="434"/>
      <c r="Q756" s="434"/>
      <c r="R756" s="434"/>
      <c r="S756" s="434"/>
      <c r="T756" s="434"/>
      <c r="U756" s="434"/>
      <c r="V756" s="434"/>
      <c r="W756" s="434"/>
      <c r="X756" s="434"/>
      <c r="Y756" s="434"/>
      <c r="Z756" s="434"/>
      <c r="AA756" s="434"/>
    </row>
    <row r="757" spans="1:27" ht="15.75" customHeight="1" x14ac:dyDescent="0.35">
      <c r="A757" s="434"/>
      <c r="B757" s="434"/>
      <c r="C757" s="434"/>
      <c r="D757" s="434"/>
      <c r="E757" s="434"/>
      <c r="F757" s="434"/>
      <c r="G757" s="434"/>
      <c r="H757" s="434"/>
      <c r="I757" s="434"/>
      <c r="J757" s="434"/>
      <c r="K757" s="434"/>
      <c r="L757" s="434"/>
      <c r="M757" s="434"/>
      <c r="N757" s="434"/>
      <c r="O757" s="434"/>
      <c r="P757" s="434"/>
      <c r="Q757" s="434"/>
      <c r="R757" s="434"/>
      <c r="S757" s="434"/>
      <c r="T757" s="434"/>
      <c r="U757" s="434"/>
      <c r="V757" s="434"/>
      <c r="W757" s="434"/>
      <c r="X757" s="434"/>
      <c r="Y757" s="434"/>
      <c r="Z757" s="434"/>
      <c r="AA757" s="434"/>
    </row>
    <row r="758" spans="1:27" ht="15.75" customHeight="1" x14ac:dyDescent="0.35">
      <c r="A758" s="434"/>
      <c r="B758" s="434"/>
      <c r="C758" s="434"/>
      <c r="D758" s="434"/>
      <c r="E758" s="434"/>
      <c r="F758" s="434"/>
      <c r="G758" s="434"/>
      <c r="H758" s="434"/>
      <c r="I758" s="434"/>
      <c r="J758" s="434"/>
      <c r="K758" s="434"/>
      <c r="L758" s="434"/>
      <c r="M758" s="434"/>
      <c r="N758" s="434"/>
      <c r="O758" s="434"/>
      <c r="P758" s="434"/>
      <c r="Q758" s="434"/>
      <c r="R758" s="434"/>
      <c r="S758" s="434"/>
      <c r="T758" s="434"/>
      <c r="U758" s="434"/>
      <c r="V758" s="434"/>
      <c r="W758" s="434"/>
      <c r="X758" s="434"/>
      <c r="Y758" s="434"/>
      <c r="Z758" s="434"/>
      <c r="AA758" s="434"/>
    </row>
    <row r="759" spans="1:27" ht="15.75" customHeight="1" x14ac:dyDescent="0.35">
      <c r="A759" s="434"/>
      <c r="B759" s="434"/>
      <c r="C759" s="434"/>
      <c r="D759" s="434"/>
      <c r="E759" s="434"/>
      <c r="F759" s="434"/>
      <c r="G759" s="434"/>
      <c r="H759" s="434"/>
      <c r="I759" s="434"/>
      <c r="J759" s="434"/>
      <c r="K759" s="434"/>
      <c r="L759" s="434"/>
      <c r="M759" s="434"/>
      <c r="N759" s="434"/>
      <c r="O759" s="434"/>
      <c r="P759" s="434"/>
      <c r="Q759" s="434"/>
      <c r="R759" s="434"/>
      <c r="S759" s="434"/>
      <c r="T759" s="434"/>
      <c r="U759" s="434"/>
      <c r="V759" s="434"/>
      <c r="W759" s="434"/>
      <c r="X759" s="434"/>
      <c r="Y759" s="434"/>
      <c r="Z759" s="434"/>
      <c r="AA759" s="434"/>
    </row>
    <row r="760" spans="1:27" ht="15.75" customHeight="1" x14ac:dyDescent="0.35">
      <c r="A760" s="434"/>
      <c r="B760" s="434"/>
      <c r="C760" s="434"/>
      <c r="D760" s="434"/>
      <c r="E760" s="434"/>
      <c r="F760" s="434"/>
      <c r="G760" s="434"/>
      <c r="H760" s="434"/>
      <c r="I760" s="434"/>
      <c r="J760" s="434"/>
      <c r="K760" s="434"/>
      <c r="L760" s="434"/>
      <c r="M760" s="434"/>
      <c r="N760" s="434"/>
      <c r="O760" s="434"/>
      <c r="P760" s="434"/>
      <c r="Q760" s="434"/>
      <c r="R760" s="434"/>
      <c r="S760" s="434"/>
      <c r="T760" s="434"/>
      <c r="U760" s="434"/>
      <c r="V760" s="434"/>
      <c r="W760" s="434"/>
      <c r="X760" s="434"/>
      <c r="Y760" s="434"/>
      <c r="Z760" s="434"/>
      <c r="AA760" s="434"/>
    </row>
    <row r="761" spans="1:27" ht="15.75" customHeight="1" x14ac:dyDescent="0.35">
      <c r="A761" s="434"/>
      <c r="B761" s="434"/>
      <c r="C761" s="434"/>
      <c r="D761" s="434"/>
      <c r="E761" s="434"/>
      <c r="F761" s="434"/>
      <c r="G761" s="434"/>
      <c r="H761" s="434"/>
      <c r="I761" s="434"/>
      <c r="J761" s="434"/>
      <c r="K761" s="434"/>
      <c r="L761" s="434"/>
      <c r="M761" s="434"/>
      <c r="N761" s="434"/>
      <c r="O761" s="434"/>
      <c r="P761" s="434"/>
      <c r="Q761" s="434"/>
      <c r="R761" s="434"/>
      <c r="S761" s="434"/>
      <c r="T761" s="434"/>
      <c r="U761" s="434"/>
      <c r="V761" s="434"/>
      <c r="W761" s="434"/>
      <c r="X761" s="434"/>
      <c r="Y761" s="434"/>
      <c r="Z761" s="434"/>
      <c r="AA761" s="434"/>
    </row>
    <row r="762" spans="1:27" ht="15.75" customHeight="1" x14ac:dyDescent="0.35">
      <c r="A762" s="434"/>
      <c r="B762" s="434"/>
      <c r="C762" s="434"/>
      <c r="D762" s="434"/>
      <c r="E762" s="434"/>
      <c r="F762" s="434"/>
      <c r="G762" s="434"/>
      <c r="H762" s="434"/>
      <c r="I762" s="434"/>
      <c r="J762" s="434"/>
      <c r="K762" s="434"/>
      <c r="L762" s="434"/>
      <c r="M762" s="434"/>
      <c r="N762" s="434"/>
      <c r="O762" s="434"/>
      <c r="P762" s="434"/>
      <c r="Q762" s="434"/>
      <c r="R762" s="434"/>
      <c r="S762" s="434"/>
      <c r="T762" s="434"/>
      <c r="U762" s="434"/>
      <c r="V762" s="434"/>
      <c r="W762" s="434"/>
      <c r="X762" s="434"/>
      <c r="Y762" s="434"/>
      <c r="Z762" s="434"/>
      <c r="AA762" s="434"/>
    </row>
    <row r="763" spans="1:27" ht="15.75" customHeight="1" x14ac:dyDescent="0.35">
      <c r="A763" s="434"/>
      <c r="B763" s="434"/>
      <c r="C763" s="434"/>
      <c r="D763" s="434"/>
      <c r="E763" s="434"/>
      <c r="F763" s="434"/>
      <c r="G763" s="434"/>
      <c r="H763" s="434"/>
      <c r="I763" s="434"/>
      <c r="J763" s="434"/>
      <c r="K763" s="434"/>
      <c r="L763" s="434"/>
      <c r="M763" s="434"/>
      <c r="N763" s="434"/>
      <c r="O763" s="434"/>
      <c r="P763" s="434"/>
      <c r="Q763" s="434"/>
      <c r="R763" s="434"/>
      <c r="S763" s="434"/>
      <c r="T763" s="434"/>
      <c r="U763" s="434"/>
      <c r="V763" s="434"/>
      <c r="W763" s="434"/>
      <c r="X763" s="434"/>
      <c r="Y763" s="434"/>
      <c r="Z763" s="434"/>
      <c r="AA763" s="434"/>
    </row>
    <row r="764" spans="1:27" ht="15.75" customHeight="1" x14ac:dyDescent="0.35">
      <c r="A764" s="434"/>
      <c r="B764" s="434"/>
      <c r="C764" s="434"/>
      <c r="D764" s="434"/>
      <c r="E764" s="434"/>
      <c r="F764" s="434"/>
      <c r="G764" s="434"/>
      <c r="H764" s="434"/>
      <c r="I764" s="434"/>
      <c r="J764" s="434"/>
      <c r="K764" s="434"/>
      <c r="L764" s="434"/>
      <c r="M764" s="434"/>
      <c r="N764" s="434"/>
      <c r="O764" s="434"/>
      <c r="P764" s="434"/>
      <c r="Q764" s="434"/>
      <c r="R764" s="434"/>
      <c r="S764" s="434"/>
      <c r="T764" s="434"/>
      <c r="U764" s="434"/>
      <c r="V764" s="434"/>
      <c r="W764" s="434"/>
      <c r="X764" s="434"/>
      <c r="Y764" s="434"/>
      <c r="Z764" s="434"/>
      <c r="AA764" s="434"/>
    </row>
    <row r="765" spans="1:27" ht="15.75" customHeight="1" x14ac:dyDescent="0.35">
      <c r="A765" s="434"/>
      <c r="B765" s="434"/>
      <c r="C765" s="434"/>
      <c r="D765" s="434"/>
      <c r="E765" s="434"/>
      <c r="F765" s="434"/>
      <c r="G765" s="434"/>
      <c r="H765" s="434"/>
      <c r="I765" s="434"/>
      <c r="J765" s="434"/>
      <c r="K765" s="434"/>
      <c r="L765" s="434"/>
      <c r="M765" s="434"/>
      <c r="N765" s="434"/>
      <c r="O765" s="434"/>
      <c r="P765" s="434"/>
      <c r="Q765" s="434"/>
      <c r="R765" s="434"/>
      <c r="S765" s="434"/>
      <c r="T765" s="434"/>
      <c r="U765" s="434"/>
      <c r="V765" s="434"/>
      <c r="W765" s="434"/>
      <c r="X765" s="434"/>
      <c r="Y765" s="434"/>
      <c r="Z765" s="434"/>
      <c r="AA765" s="434"/>
    </row>
    <row r="766" spans="1:27" ht="15.75" customHeight="1" x14ac:dyDescent="0.35">
      <c r="A766" s="434"/>
      <c r="B766" s="434"/>
      <c r="C766" s="434"/>
      <c r="D766" s="434"/>
      <c r="E766" s="434"/>
      <c r="F766" s="434"/>
      <c r="G766" s="434"/>
      <c r="H766" s="434"/>
      <c r="I766" s="434"/>
      <c r="J766" s="434"/>
      <c r="K766" s="434"/>
      <c r="L766" s="434"/>
      <c r="M766" s="434"/>
      <c r="N766" s="434"/>
      <c r="O766" s="434"/>
      <c r="P766" s="434"/>
      <c r="Q766" s="434"/>
      <c r="R766" s="434"/>
      <c r="S766" s="434"/>
      <c r="T766" s="434"/>
      <c r="U766" s="434"/>
      <c r="V766" s="434"/>
      <c r="W766" s="434"/>
      <c r="X766" s="434"/>
      <c r="Y766" s="434"/>
      <c r="Z766" s="434"/>
      <c r="AA766" s="434"/>
    </row>
    <row r="767" spans="1:27" ht="15.75" customHeight="1" x14ac:dyDescent="0.35">
      <c r="A767" s="434"/>
      <c r="B767" s="434"/>
      <c r="C767" s="434"/>
      <c r="D767" s="434"/>
      <c r="E767" s="434"/>
      <c r="F767" s="434"/>
      <c r="G767" s="434"/>
      <c r="H767" s="434"/>
      <c r="I767" s="434"/>
      <c r="J767" s="434"/>
      <c r="K767" s="434"/>
      <c r="L767" s="434"/>
      <c r="M767" s="434"/>
      <c r="N767" s="434"/>
      <c r="O767" s="434"/>
      <c r="P767" s="434"/>
      <c r="Q767" s="434"/>
      <c r="R767" s="434"/>
      <c r="S767" s="434"/>
      <c r="T767" s="434"/>
      <c r="U767" s="434"/>
      <c r="V767" s="434"/>
      <c r="W767" s="434"/>
      <c r="X767" s="434"/>
      <c r="Y767" s="434"/>
      <c r="Z767" s="434"/>
      <c r="AA767" s="434"/>
    </row>
    <row r="768" spans="1:27" ht="15.75" customHeight="1" x14ac:dyDescent="0.35">
      <c r="A768" s="434"/>
      <c r="B768" s="434"/>
      <c r="C768" s="434"/>
      <c r="D768" s="434"/>
      <c r="E768" s="434"/>
      <c r="F768" s="434"/>
      <c r="G768" s="434"/>
      <c r="H768" s="434"/>
      <c r="I768" s="434"/>
      <c r="J768" s="434"/>
      <c r="K768" s="434"/>
      <c r="L768" s="434"/>
      <c r="M768" s="434"/>
      <c r="N768" s="434"/>
      <c r="O768" s="434"/>
      <c r="P768" s="434"/>
      <c r="Q768" s="434"/>
      <c r="R768" s="434"/>
      <c r="S768" s="434"/>
      <c r="T768" s="434"/>
      <c r="U768" s="434"/>
      <c r="V768" s="434"/>
      <c r="W768" s="434"/>
      <c r="X768" s="434"/>
      <c r="Y768" s="434"/>
      <c r="Z768" s="434"/>
      <c r="AA768" s="434"/>
    </row>
    <row r="769" spans="1:27" ht="15.75" customHeight="1" x14ac:dyDescent="0.35">
      <c r="A769" s="434"/>
      <c r="B769" s="434"/>
      <c r="C769" s="434"/>
      <c r="D769" s="434"/>
      <c r="E769" s="434"/>
      <c r="F769" s="434"/>
      <c r="G769" s="434"/>
      <c r="H769" s="434"/>
      <c r="I769" s="434"/>
      <c r="J769" s="434"/>
      <c r="K769" s="434"/>
      <c r="L769" s="434"/>
      <c r="M769" s="434"/>
      <c r="N769" s="434"/>
      <c r="O769" s="434"/>
      <c r="P769" s="434"/>
      <c r="Q769" s="434"/>
      <c r="R769" s="434"/>
      <c r="S769" s="434"/>
      <c r="T769" s="434"/>
      <c r="U769" s="434"/>
      <c r="V769" s="434"/>
      <c r="W769" s="434"/>
      <c r="X769" s="434"/>
      <c r="Y769" s="434"/>
      <c r="Z769" s="434"/>
      <c r="AA769" s="434"/>
    </row>
    <row r="770" spans="1:27" ht="15.75" customHeight="1" x14ac:dyDescent="0.35">
      <c r="A770" s="434"/>
      <c r="B770" s="434"/>
      <c r="C770" s="434"/>
      <c r="D770" s="434"/>
      <c r="E770" s="434"/>
      <c r="F770" s="434"/>
      <c r="G770" s="434"/>
      <c r="H770" s="434"/>
      <c r="I770" s="434"/>
      <c r="J770" s="434"/>
      <c r="K770" s="434"/>
      <c r="L770" s="434"/>
      <c r="M770" s="434"/>
      <c r="N770" s="434"/>
      <c r="O770" s="434"/>
      <c r="P770" s="434"/>
      <c r="Q770" s="434"/>
      <c r="R770" s="434"/>
      <c r="S770" s="434"/>
      <c r="T770" s="434"/>
      <c r="U770" s="434"/>
      <c r="V770" s="434"/>
      <c r="W770" s="434"/>
      <c r="X770" s="434"/>
      <c r="Y770" s="434"/>
      <c r="Z770" s="434"/>
      <c r="AA770" s="434"/>
    </row>
    <row r="771" spans="1:27" ht="15.75" customHeight="1" x14ac:dyDescent="0.35">
      <c r="A771" s="434"/>
      <c r="B771" s="434"/>
      <c r="C771" s="434"/>
      <c r="D771" s="434"/>
      <c r="E771" s="434"/>
      <c r="F771" s="434"/>
      <c r="G771" s="434"/>
      <c r="H771" s="434"/>
      <c r="I771" s="434"/>
      <c r="J771" s="434"/>
      <c r="K771" s="434"/>
      <c r="L771" s="434"/>
      <c r="M771" s="434"/>
      <c r="N771" s="434"/>
      <c r="O771" s="434"/>
      <c r="P771" s="434"/>
      <c r="Q771" s="434"/>
      <c r="R771" s="434"/>
      <c r="S771" s="434"/>
      <c r="T771" s="434"/>
      <c r="U771" s="434"/>
      <c r="V771" s="434"/>
      <c r="W771" s="434"/>
      <c r="X771" s="434"/>
      <c r="Y771" s="434"/>
      <c r="Z771" s="434"/>
      <c r="AA771" s="434"/>
    </row>
    <row r="772" spans="1:27" ht="15.75" customHeight="1" x14ac:dyDescent="0.35">
      <c r="A772" s="434"/>
      <c r="B772" s="434"/>
      <c r="C772" s="434"/>
      <c r="D772" s="434"/>
      <c r="E772" s="434"/>
      <c r="F772" s="434"/>
      <c r="G772" s="434"/>
      <c r="H772" s="434"/>
      <c r="I772" s="434"/>
      <c r="J772" s="434"/>
      <c r="K772" s="434"/>
      <c r="L772" s="434"/>
      <c r="M772" s="434"/>
      <c r="N772" s="434"/>
      <c r="O772" s="434"/>
      <c r="P772" s="434"/>
      <c r="Q772" s="434"/>
      <c r="R772" s="434"/>
      <c r="S772" s="434"/>
      <c r="T772" s="434"/>
      <c r="U772" s="434"/>
      <c r="V772" s="434"/>
      <c r="W772" s="434"/>
      <c r="X772" s="434"/>
      <c r="Y772" s="434"/>
      <c r="Z772" s="434"/>
      <c r="AA772" s="434"/>
    </row>
    <row r="773" spans="1:27" ht="15.75" customHeight="1" x14ac:dyDescent="0.35">
      <c r="A773" s="434"/>
      <c r="B773" s="434"/>
      <c r="C773" s="434"/>
      <c r="D773" s="434"/>
      <c r="E773" s="434"/>
      <c r="F773" s="434"/>
      <c r="G773" s="434"/>
      <c r="H773" s="434"/>
      <c r="I773" s="434"/>
      <c r="J773" s="434"/>
      <c r="K773" s="434"/>
      <c r="L773" s="434"/>
      <c r="M773" s="434"/>
      <c r="N773" s="434"/>
      <c r="O773" s="434"/>
      <c r="P773" s="434"/>
      <c r="Q773" s="434"/>
      <c r="R773" s="434"/>
      <c r="S773" s="434"/>
      <c r="T773" s="434"/>
      <c r="U773" s="434"/>
      <c r="V773" s="434"/>
      <c r="W773" s="434"/>
      <c r="X773" s="434"/>
      <c r="Y773" s="434"/>
      <c r="Z773" s="434"/>
      <c r="AA773" s="434"/>
    </row>
    <row r="774" spans="1:27" ht="15.75" customHeight="1" x14ac:dyDescent="0.35">
      <c r="A774" s="434"/>
      <c r="B774" s="434"/>
      <c r="C774" s="434"/>
      <c r="D774" s="434"/>
      <c r="E774" s="434"/>
      <c r="F774" s="434"/>
      <c r="G774" s="434"/>
      <c r="H774" s="434"/>
      <c r="I774" s="434"/>
      <c r="J774" s="434"/>
      <c r="K774" s="434"/>
      <c r="L774" s="434"/>
      <c r="M774" s="434"/>
      <c r="N774" s="434"/>
      <c r="O774" s="434"/>
      <c r="P774" s="434"/>
      <c r="Q774" s="434"/>
      <c r="R774" s="434"/>
      <c r="S774" s="434"/>
      <c r="T774" s="434"/>
      <c r="U774" s="434"/>
      <c r="V774" s="434"/>
      <c r="W774" s="434"/>
      <c r="X774" s="434"/>
      <c r="Y774" s="434"/>
      <c r="Z774" s="434"/>
      <c r="AA774" s="434"/>
    </row>
    <row r="775" spans="1:27" ht="15.75" customHeight="1" x14ac:dyDescent="0.35">
      <c r="A775" s="434"/>
      <c r="B775" s="434"/>
      <c r="C775" s="434"/>
      <c r="D775" s="434"/>
      <c r="E775" s="434"/>
      <c r="F775" s="434"/>
      <c r="G775" s="434"/>
      <c r="H775" s="434"/>
      <c r="I775" s="434"/>
      <c r="J775" s="434"/>
      <c r="K775" s="434"/>
      <c r="L775" s="434"/>
      <c r="M775" s="434"/>
      <c r="N775" s="434"/>
      <c r="O775" s="434"/>
      <c r="P775" s="434"/>
      <c r="Q775" s="434"/>
      <c r="R775" s="434"/>
      <c r="S775" s="434"/>
      <c r="T775" s="434"/>
      <c r="U775" s="434"/>
      <c r="V775" s="434"/>
      <c r="W775" s="434"/>
      <c r="X775" s="434"/>
      <c r="Y775" s="434"/>
      <c r="Z775" s="434"/>
      <c r="AA775" s="434"/>
    </row>
    <row r="776" spans="1:27" ht="15.75" customHeight="1" x14ac:dyDescent="0.35">
      <c r="A776" s="434"/>
      <c r="B776" s="434"/>
      <c r="C776" s="434"/>
      <c r="D776" s="434"/>
      <c r="E776" s="434"/>
      <c r="F776" s="434"/>
      <c r="G776" s="434"/>
      <c r="H776" s="434"/>
      <c r="I776" s="434"/>
      <c r="J776" s="434"/>
      <c r="K776" s="434"/>
      <c r="L776" s="434"/>
      <c r="M776" s="434"/>
      <c r="N776" s="434"/>
      <c r="O776" s="434"/>
      <c r="P776" s="434"/>
      <c r="Q776" s="434"/>
      <c r="R776" s="434"/>
      <c r="S776" s="434"/>
      <c r="T776" s="434"/>
      <c r="U776" s="434"/>
      <c r="V776" s="434"/>
      <c r="W776" s="434"/>
      <c r="X776" s="434"/>
      <c r="Y776" s="434"/>
      <c r="Z776" s="434"/>
      <c r="AA776" s="434"/>
    </row>
    <row r="777" spans="1:27" ht="15.75" customHeight="1" x14ac:dyDescent="0.35">
      <c r="A777" s="434"/>
      <c r="B777" s="434"/>
      <c r="C777" s="434"/>
      <c r="D777" s="434"/>
      <c r="E777" s="434"/>
      <c r="F777" s="434"/>
      <c r="G777" s="434"/>
      <c r="H777" s="434"/>
      <c r="I777" s="434"/>
      <c r="J777" s="434"/>
      <c r="K777" s="434"/>
      <c r="L777" s="434"/>
      <c r="M777" s="434"/>
      <c r="N777" s="434"/>
      <c r="O777" s="434"/>
      <c r="P777" s="434"/>
      <c r="Q777" s="434"/>
      <c r="R777" s="434"/>
      <c r="S777" s="434"/>
      <c r="T777" s="434"/>
      <c r="U777" s="434"/>
      <c r="V777" s="434"/>
      <c r="W777" s="434"/>
      <c r="X777" s="434"/>
      <c r="Y777" s="434"/>
      <c r="Z777" s="434"/>
      <c r="AA777" s="434"/>
    </row>
    <row r="778" spans="1:27" ht="15.75" customHeight="1" x14ac:dyDescent="0.35">
      <c r="A778" s="434"/>
      <c r="B778" s="434"/>
      <c r="C778" s="434"/>
      <c r="D778" s="434"/>
      <c r="E778" s="434"/>
      <c r="F778" s="434"/>
      <c r="G778" s="434"/>
      <c r="H778" s="434"/>
      <c r="I778" s="434"/>
      <c r="J778" s="434"/>
      <c r="K778" s="434"/>
      <c r="L778" s="434"/>
      <c r="M778" s="434"/>
      <c r="N778" s="434"/>
      <c r="O778" s="434"/>
      <c r="P778" s="434"/>
      <c r="Q778" s="434"/>
      <c r="R778" s="434"/>
      <c r="S778" s="434"/>
      <c r="T778" s="434"/>
      <c r="U778" s="434"/>
      <c r="V778" s="434"/>
      <c r="W778" s="434"/>
      <c r="X778" s="434"/>
      <c r="Y778" s="434"/>
      <c r="Z778" s="434"/>
      <c r="AA778" s="434"/>
    </row>
    <row r="779" spans="1:27" ht="15.75" customHeight="1" x14ac:dyDescent="0.35">
      <c r="A779" s="434"/>
      <c r="B779" s="434"/>
      <c r="C779" s="434"/>
      <c r="D779" s="434"/>
      <c r="E779" s="434"/>
      <c r="F779" s="434"/>
      <c r="G779" s="434"/>
      <c r="H779" s="434"/>
      <c r="I779" s="434"/>
      <c r="J779" s="434"/>
      <c r="K779" s="434"/>
      <c r="L779" s="434"/>
      <c r="M779" s="434"/>
      <c r="N779" s="434"/>
      <c r="O779" s="434"/>
      <c r="P779" s="434"/>
      <c r="Q779" s="434"/>
      <c r="R779" s="434"/>
      <c r="S779" s="434"/>
      <c r="T779" s="434"/>
      <c r="U779" s="434"/>
      <c r="V779" s="434"/>
      <c r="W779" s="434"/>
      <c r="X779" s="434"/>
      <c r="Y779" s="434"/>
      <c r="Z779" s="434"/>
      <c r="AA779" s="434"/>
    </row>
    <row r="780" spans="1:27" ht="15.75" customHeight="1" x14ac:dyDescent="0.35">
      <c r="A780" s="434"/>
      <c r="B780" s="434"/>
      <c r="C780" s="434"/>
      <c r="D780" s="434"/>
      <c r="E780" s="434"/>
      <c r="F780" s="434"/>
      <c r="G780" s="434"/>
      <c r="H780" s="434"/>
      <c r="I780" s="434"/>
      <c r="J780" s="434"/>
      <c r="K780" s="434"/>
      <c r="L780" s="434"/>
      <c r="M780" s="434"/>
      <c r="N780" s="434"/>
      <c r="O780" s="434"/>
      <c r="P780" s="434"/>
      <c r="Q780" s="434"/>
      <c r="R780" s="434"/>
      <c r="S780" s="434"/>
      <c r="T780" s="434"/>
      <c r="U780" s="434"/>
      <c r="V780" s="434"/>
      <c r="W780" s="434"/>
      <c r="X780" s="434"/>
      <c r="Y780" s="434"/>
      <c r="Z780" s="434"/>
      <c r="AA780" s="434"/>
    </row>
    <row r="781" spans="1:27" ht="15.75" customHeight="1" x14ac:dyDescent="0.35">
      <c r="A781" s="434"/>
      <c r="B781" s="434"/>
      <c r="C781" s="434"/>
      <c r="D781" s="434"/>
      <c r="E781" s="434"/>
      <c r="F781" s="434"/>
      <c r="G781" s="434"/>
      <c r="H781" s="434"/>
      <c r="I781" s="434"/>
      <c r="J781" s="434"/>
      <c r="K781" s="434"/>
      <c r="L781" s="434"/>
      <c r="M781" s="434"/>
      <c r="N781" s="434"/>
      <c r="O781" s="434"/>
      <c r="P781" s="434"/>
      <c r="Q781" s="434"/>
      <c r="R781" s="434"/>
      <c r="S781" s="434"/>
      <c r="T781" s="434"/>
      <c r="U781" s="434"/>
      <c r="V781" s="434"/>
      <c r="W781" s="434"/>
      <c r="X781" s="434"/>
      <c r="Y781" s="434"/>
      <c r="Z781" s="434"/>
      <c r="AA781" s="434"/>
    </row>
    <row r="782" spans="1:27" ht="15.75" customHeight="1" x14ac:dyDescent="0.35">
      <c r="A782" s="434"/>
      <c r="B782" s="434"/>
      <c r="C782" s="434"/>
      <c r="D782" s="434"/>
      <c r="E782" s="434"/>
      <c r="F782" s="434"/>
      <c r="G782" s="434"/>
      <c r="H782" s="434"/>
      <c r="I782" s="434"/>
      <c r="J782" s="434"/>
      <c r="K782" s="434"/>
      <c r="L782" s="434"/>
      <c r="M782" s="434"/>
      <c r="N782" s="434"/>
      <c r="O782" s="434"/>
      <c r="P782" s="434"/>
      <c r="Q782" s="434"/>
      <c r="R782" s="434"/>
      <c r="S782" s="434"/>
      <c r="T782" s="434"/>
      <c r="U782" s="434"/>
      <c r="V782" s="434"/>
      <c r="W782" s="434"/>
      <c r="X782" s="434"/>
      <c r="Y782" s="434"/>
      <c r="Z782" s="434"/>
      <c r="AA782" s="434"/>
    </row>
    <row r="783" spans="1:27" ht="15.75" customHeight="1" x14ac:dyDescent="0.35">
      <c r="A783" s="434"/>
      <c r="B783" s="434"/>
      <c r="C783" s="434"/>
      <c r="D783" s="434"/>
      <c r="E783" s="434"/>
      <c r="F783" s="434"/>
      <c r="G783" s="434"/>
      <c r="H783" s="434"/>
      <c r="I783" s="434"/>
      <c r="J783" s="434"/>
      <c r="K783" s="434"/>
      <c r="L783" s="434"/>
      <c r="M783" s="434"/>
      <c r="N783" s="434"/>
      <c r="O783" s="434"/>
      <c r="P783" s="434"/>
      <c r="Q783" s="434"/>
      <c r="R783" s="434"/>
      <c r="S783" s="434"/>
      <c r="T783" s="434"/>
      <c r="U783" s="434"/>
      <c r="V783" s="434"/>
      <c r="W783" s="434"/>
      <c r="X783" s="434"/>
      <c r="Y783" s="434"/>
      <c r="Z783" s="434"/>
      <c r="AA783" s="434"/>
    </row>
    <row r="784" spans="1:27" ht="15.75" customHeight="1" x14ac:dyDescent="0.35">
      <c r="A784" s="434"/>
      <c r="B784" s="434"/>
      <c r="C784" s="434"/>
      <c r="D784" s="434"/>
      <c r="E784" s="434"/>
      <c r="F784" s="434"/>
      <c r="G784" s="434"/>
      <c r="H784" s="434"/>
      <c r="I784" s="434"/>
      <c r="J784" s="434"/>
      <c r="K784" s="434"/>
      <c r="L784" s="434"/>
      <c r="M784" s="434"/>
      <c r="N784" s="434"/>
      <c r="O784" s="434"/>
      <c r="P784" s="434"/>
      <c r="Q784" s="434"/>
      <c r="R784" s="434"/>
      <c r="S784" s="434"/>
      <c r="T784" s="434"/>
      <c r="U784" s="434"/>
      <c r="V784" s="434"/>
      <c r="W784" s="434"/>
      <c r="X784" s="434"/>
      <c r="Y784" s="434"/>
      <c r="Z784" s="434"/>
      <c r="AA784" s="434"/>
    </row>
    <row r="785" spans="1:27" ht="15.75" customHeight="1" x14ac:dyDescent="0.35">
      <c r="A785" s="434"/>
      <c r="B785" s="434"/>
      <c r="C785" s="434"/>
      <c r="D785" s="434"/>
      <c r="E785" s="434"/>
      <c r="F785" s="434"/>
      <c r="G785" s="434"/>
      <c r="H785" s="434"/>
      <c r="I785" s="434"/>
      <c r="J785" s="434"/>
      <c r="K785" s="434"/>
      <c r="L785" s="434"/>
      <c r="M785" s="434"/>
      <c r="N785" s="434"/>
      <c r="O785" s="434"/>
      <c r="P785" s="434"/>
      <c r="Q785" s="434"/>
      <c r="R785" s="434"/>
      <c r="S785" s="434"/>
      <c r="T785" s="434"/>
      <c r="U785" s="434"/>
      <c r="V785" s="434"/>
      <c r="W785" s="434"/>
      <c r="X785" s="434"/>
      <c r="Y785" s="434"/>
      <c r="Z785" s="434"/>
      <c r="AA785" s="434"/>
    </row>
    <row r="786" spans="1:27" ht="15.75" customHeight="1" x14ac:dyDescent="0.35">
      <c r="A786" s="434"/>
      <c r="B786" s="434"/>
      <c r="C786" s="434"/>
      <c r="D786" s="434"/>
      <c r="E786" s="434"/>
      <c r="F786" s="434"/>
      <c r="G786" s="434"/>
      <c r="H786" s="434"/>
      <c r="I786" s="434"/>
      <c r="J786" s="434"/>
      <c r="K786" s="434"/>
      <c r="L786" s="434"/>
      <c r="M786" s="434"/>
      <c r="N786" s="434"/>
      <c r="O786" s="434"/>
      <c r="P786" s="434"/>
      <c r="Q786" s="434"/>
      <c r="R786" s="434"/>
      <c r="S786" s="434"/>
      <c r="T786" s="434"/>
      <c r="U786" s="434"/>
      <c r="V786" s="434"/>
      <c r="W786" s="434"/>
      <c r="X786" s="434"/>
      <c r="Y786" s="434"/>
      <c r="Z786" s="434"/>
      <c r="AA786" s="434"/>
    </row>
    <row r="787" spans="1:27" ht="15.75" customHeight="1" x14ac:dyDescent="0.35">
      <c r="A787" s="434"/>
      <c r="B787" s="434"/>
      <c r="C787" s="434"/>
      <c r="D787" s="434"/>
      <c r="E787" s="434"/>
      <c r="F787" s="434"/>
      <c r="G787" s="434"/>
      <c r="H787" s="434"/>
      <c r="I787" s="434"/>
      <c r="J787" s="434"/>
      <c r="K787" s="434"/>
      <c r="L787" s="434"/>
      <c r="M787" s="434"/>
      <c r="N787" s="434"/>
      <c r="O787" s="434"/>
      <c r="P787" s="434"/>
      <c r="Q787" s="434"/>
      <c r="R787" s="434"/>
      <c r="S787" s="434"/>
      <c r="T787" s="434"/>
      <c r="U787" s="434"/>
      <c r="V787" s="434"/>
      <c r="W787" s="434"/>
      <c r="X787" s="434"/>
      <c r="Y787" s="434"/>
      <c r="Z787" s="434"/>
      <c r="AA787" s="434"/>
    </row>
    <row r="788" spans="1:27" ht="15.75" customHeight="1" x14ac:dyDescent="0.35">
      <c r="A788" s="434"/>
      <c r="B788" s="434"/>
      <c r="C788" s="434"/>
      <c r="D788" s="434"/>
      <c r="E788" s="434"/>
      <c r="F788" s="434"/>
      <c r="G788" s="434"/>
      <c r="H788" s="434"/>
      <c r="I788" s="434"/>
      <c r="J788" s="434"/>
      <c r="K788" s="434"/>
      <c r="L788" s="434"/>
      <c r="M788" s="434"/>
      <c r="N788" s="434"/>
      <c r="O788" s="434"/>
      <c r="P788" s="434"/>
      <c r="Q788" s="434"/>
      <c r="R788" s="434"/>
      <c r="S788" s="434"/>
      <c r="T788" s="434"/>
      <c r="U788" s="434"/>
      <c r="V788" s="434"/>
      <c r="W788" s="434"/>
      <c r="X788" s="434"/>
      <c r="Y788" s="434"/>
      <c r="Z788" s="434"/>
      <c r="AA788" s="434"/>
    </row>
    <row r="789" spans="1:27" ht="15.75" customHeight="1" x14ac:dyDescent="0.35">
      <c r="A789" s="434"/>
      <c r="B789" s="434"/>
      <c r="C789" s="434"/>
      <c r="D789" s="434"/>
      <c r="E789" s="434"/>
      <c r="F789" s="434"/>
      <c r="G789" s="434"/>
      <c r="H789" s="434"/>
      <c r="I789" s="434"/>
      <c r="J789" s="434"/>
      <c r="K789" s="434"/>
      <c r="L789" s="434"/>
      <c r="M789" s="434"/>
      <c r="N789" s="434"/>
      <c r="O789" s="434"/>
      <c r="P789" s="434"/>
      <c r="Q789" s="434"/>
      <c r="R789" s="434"/>
      <c r="S789" s="434"/>
      <c r="T789" s="434"/>
      <c r="U789" s="434"/>
      <c r="V789" s="434"/>
      <c r="W789" s="434"/>
      <c r="X789" s="434"/>
      <c r="Y789" s="434"/>
      <c r="Z789" s="434"/>
      <c r="AA789" s="434"/>
    </row>
    <row r="790" spans="1:27" ht="15.75" customHeight="1" x14ac:dyDescent="0.35">
      <c r="A790" s="434"/>
      <c r="B790" s="434"/>
      <c r="C790" s="434"/>
      <c r="D790" s="434"/>
      <c r="E790" s="434"/>
      <c r="F790" s="434"/>
      <c r="G790" s="434"/>
      <c r="H790" s="434"/>
      <c r="I790" s="434"/>
      <c r="J790" s="434"/>
      <c r="K790" s="434"/>
      <c r="L790" s="434"/>
      <c r="M790" s="434"/>
      <c r="N790" s="434"/>
      <c r="O790" s="434"/>
      <c r="P790" s="434"/>
      <c r="Q790" s="434"/>
      <c r="R790" s="434"/>
      <c r="S790" s="434"/>
      <c r="T790" s="434"/>
      <c r="U790" s="434"/>
      <c r="V790" s="434"/>
      <c r="W790" s="434"/>
      <c r="X790" s="434"/>
      <c r="Y790" s="434"/>
      <c r="Z790" s="434"/>
      <c r="AA790" s="434"/>
    </row>
    <row r="791" spans="1:27" ht="15.75" customHeight="1" x14ac:dyDescent="0.35">
      <c r="A791" s="434"/>
      <c r="B791" s="434"/>
      <c r="C791" s="434"/>
      <c r="D791" s="434"/>
      <c r="E791" s="434"/>
      <c r="F791" s="434"/>
      <c r="G791" s="434"/>
      <c r="H791" s="434"/>
      <c r="I791" s="434"/>
      <c r="J791" s="434"/>
      <c r="K791" s="434"/>
      <c r="L791" s="434"/>
      <c r="M791" s="434"/>
      <c r="N791" s="434"/>
      <c r="O791" s="434"/>
      <c r="P791" s="434"/>
      <c r="Q791" s="434"/>
      <c r="R791" s="434"/>
      <c r="S791" s="434"/>
      <c r="T791" s="434"/>
      <c r="U791" s="434"/>
      <c r="V791" s="434"/>
      <c r="W791" s="434"/>
      <c r="X791" s="434"/>
      <c r="Y791" s="434"/>
      <c r="Z791" s="434"/>
      <c r="AA791" s="434"/>
    </row>
    <row r="792" spans="1:27" ht="15.75" customHeight="1" x14ac:dyDescent="0.35">
      <c r="A792" s="434"/>
      <c r="B792" s="434"/>
      <c r="C792" s="434"/>
      <c r="D792" s="434"/>
      <c r="E792" s="434"/>
      <c r="F792" s="434"/>
      <c r="G792" s="434"/>
      <c r="H792" s="434"/>
      <c r="I792" s="434"/>
      <c r="J792" s="434"/>
      <c r="K792" s="434"/>
      <c r="L792" s="434"/>
      <c r="M792" s="434"/>
      <c r="N792" s="434"/>
      <c r="O792" s="434"/>
      <c r="P792" s="434"/>
      <c r="Q792" s="434"/>
      <c r="R792" s="434"/>
      <c r="S792" s="434"/>
      <c r="T792" s="434"/>
      <c r="U792" s="434"/>
      <c r="V792" s="434"/>
      <c r="W792" s="434"/>
      <c r="X792" s="434"/>
      <c r="Y792" s="434"/>
      <c r="Z792" s="434"/>
      <c r="AA792" s="434"/>
    </row>
    <row r="793" spans="1:27" ht="15.75" customHeight="1" x14ac:dyDescent="0.35">
      <c r="A793" s="434"/>
      <c r="B793" s="434"/>
      <c r="C793" s="434"/>
      <c r="D793" s="434"/>
      <c r="E793" s="434"/>
      <c r="F793" s="434"/>
      <c r="G793" s="434"/>
      <c r="H793" s="434"/>
      <c r="I793" s="434"/>
      <c r="J793" s="434"/>
      <c r="K793" s="434"/>
      <c r="L793" s="434"/>
      <c r="M793" s="434"/>
      <c r="N793" s="434"/>
      <c r="O793" s="434"/>
      <c r="P793" s="434"/>
      <c r="Q793" s="434"/>
      <c r="R793" s="434"/>
      <c r="S793" s="434"/>
      <c r="T793" s="434"/>
      <c r="U793" s="434"/>
      <c r="V793" s="434"/>
      <c r="W793" s="434"/>
      <c r="X793" s="434"/>
      <c r="Y793" s="434"/>
      <c r="Z793" s="434"/>
      <c r="AA793" s="434"/>
    </row>
    <row r="794" spans="1:27" ht="15.75" customHeight="1" x14ac:dyDescent="0.35">
      <c r="A794" s="434"/>
      <c r="B794" s="434"/>
      <c r="C794" s="434"/>
      <c r="D794" s="434"/>
      <c r="E794" s="434"/>
      <c r="F794" s="434"/>
      <c r="G794" s="434"/>
      <c r="H794" s="434"/>
      <c r="I794" s="434"/>
      <c r="J794" s="434"/>
      <c r="K794" s="434"/>
      <c r="L794" s="434"/>
      <c r="M794" s="434"/>
      <c r="N794" s="434"/>
      <c r="O794" s="434"/>
      <c r="P794" s="434"/>
      <c r="Q794" s="434"/>
      <c r="R794" s="434"/>
      <c r="S794" s="434"/>
      <c r="T794" s="434"/>
      <c r="U794" s="434"/>
      <c r="V794" s="434"/>
      <c r="W794" s="434"/>
      <c r="X794" s="434"/>
      <c r="Y794" s="434"/>
      <c r="Z794" s="434"/>
      <c r="AA794" s="434"/>
    </row>
    <row r="795" spans="1:27" ht="15.75" customHeight="1" x14ac:dyDescent="0.35">
      <c r="A795" s="434"/>
      <c r="B795" s="434"/>
      <c r="C795" s="434"/>
      <c r="D795" s="434"/>
      <c r="E795" s="434"/>
      <c r="F795" s="434"/>
      <c r="G795" s="434"/>
      <c r="H795" s="434"/>
      <c r="I795" s="434"/>
      <c r="J795" s="434"/>
      <c r="K795" s="434"/>
      <c r="L795" s="434"/>
      <c r="M795" s="434"/>
      <c r="N795" s="434"/>
      <c r="O795" s="434"/>
      <c r="P795" s="434"/>
      <c r="Q795" s="434"/>
      <c r="R795" s="434"/>
      <c r="S795" s="434"/>
      <c r="T795" s="434"/>
      <c r="U795" s="434"/>
      <c r="V795" s="434"/>
      <c r="W795" s="434"/>
      <c r="X795" s="434"/>
      <c r="Y795" s="434"/>
      <c r="Z795" s="434"/>
      <c r="AA795" s="434"/>
    </row>
    <row r="796" spans="1:27" ht="15.75" customHeight="1" x14ac:dyDescent="0.35">
      <c r="A796" s="434"/>
      <c r="B796" s="434"/>
      <c r="C796" s="434"/>
      <c r="D796" s="434"/>
      <c r="E796" s="434"/>
      <c r="F796" s="434"/>
      <c r="G796" s="434"/>
      <c r="H796" s="434"/>
      <c r="I796" s="434"/>
      <c r="J796" s="434"/>
      <c r="K796" s="434"/>
      <c r="L796" s="434"/>
      <c r="M796" s="434"/>
      <c r="N796" s="434"/>
      <c r="O796" s="434"/>
      <c r="P796" s="434"/>
      <c r="Q796" s="434"/>
      <c r="R796" s="434"/>
      <c r="S796" s="434"/>
      <c r="T796" s="434"/>
      <c r="U796" s="434"/>
      <c r="V796" s="434"/>
      <c r="W796" s="434"/>
      <c r="X796" s="434"/>
      <c r="Y796" s="434"/>
      <c r="Z796" s="434"/>
      <c r="AA796" s="434"/>
    </row>
    <row r="797" spans="1:27" ht="15.75" customHeight="1" x14ac:dyDescent="0.35">
      <c r="A797" s="434"/>
      <c r="B797" s="434"/>
      <c r="C797" s="434"/>
      <c r="D797" s="434"/>
      <c r="E797" s="434"/>
      <c r="F797" s="434"/>
      <c r="G797" s="434"/>
      <c r="H797" s="434"/>
      <c r="I797" s="434"/>
      <c r="J797" s="434"/>
      <c r="K797" s="434"/>
      <c r="L797" s="434"/>
      <c r="M797" s="434"/>
      <c r="N797" s="434"/>
      <c r="O797" s="434"/>
      <c r="P797" s="434"/>
      <c r="Q797" s="434"/>
      <c r="R797" s="434"/>
      <c r="S797" s="434"/>
      <c r="T797" s="434"/>
      <c r="U797" s="434"/>
      <c r="V797" s="434"/>
      <c r="W797" s="434"/>
      <c r="X797" s="434"/>
      <c r="Y797" s="434"/>
      <c r="Z797" s="434"/>
      <c r="AA797" s="434"/>
    </row>
    <row r="798" spans="1:27" ht="15.75" customHeight="1" x14ac:dyDescent="0.35">
      <c r="A798" s="434"/>
      <c r="B798" s="434"/>
      <c r="C798" s="434"/>
      <c r="D798" s="434"/>
      <c r="E798" s="434"/>
      <c r="F798" s="434"/>
      <c r="G798" s="434"/>
      <c r="H798" s="434"/>
      <c r="I798" s="434"/>
      <c r="J798" s="434"/>
      <c r="K798" s="434"/>
      <c r="L798" s="434"/>
      <c r="M798" s="434"/>
      <c r="N798" s="434"/>
      <c r="O798" s="434"/>
      <c r="P798" s="434"/>
      <c r="Q798" s="434"/>
      <c r="R798" s="434"/>
      <c r="S798" s="434"/>
      <c r="T798" s="434"/>
      <c r="U798" s="434"/>
      <c r="V798" s="434"/>
      <c r="W798" s="434"/>
      <c r="X798" s="434"/>
      <c r="Y798" s="434"/>
      <c r="Z798" s="434"/>
      <c r="AA798" s="434"/>
    </row>
    <row r="799" spans="1:27" ht="15.75" customHeight="1" x14ac:dyDescent="0.35">
      <c r="A799" s="434"/>
      <c r="B799" s="434"/>
      <c r="C799" s="434"/>
      <c r="D799" s="434"/>
      <c r="E799" s="434"/>
      <c r="F799" s="434"/>
      <c r="G799" s="434"/>
      <c r="H799" s="434"/>
      <c r="I799" s="434"/>
      <c r="J799" s="434"/>
      <c r="K799" s="434"/>
      <c r="L799" s="434"/>
      <c r="M799" s="434"/>
      <c r="N799" s="434"/>
      <c r="O799" s="434"/>
      <c r="P799" s="434"/>
      <c r="Q799" s="434"/>
      <c r="R799" s="434"/>
      <c r="S799" s="434"/>
      <c r="T799" s="434"/>
      <c r="U799" s="434"/>
      <c r="V799" s="434"/>
      <c r="W799" s="434"/>
      <c r="X799" s="434"/>
      <c r="Y799" s="434"/>
      <c r="Z799" s="434"/>
      <c r="AA799" s="434"/>
    </row>
    <row r="800" spans="1:27" ht="15.75" customHeight="1" x14ac:dyDescent="0.35">
      <c r="A800" s="434"/>
      <c r="B800" s="434"/>
      <c r="C800" s="434"/>
      <c r="D800" s="434"/>
      <c r="E800" s="434"/>
      <c r="F800" s="434"/>
      <c r="G800" s="434"/>
      <c r="H800" s="434"/>
      <c r="I800" s="434"/>
      <c r="J800" s="434"/>
      <c r="K800" s="434"/>
      <c r="L800" s="434"/>
      <c r="M800" s="434"/>
      <c r="N800" s="434"/>
      <c r="O800" s="434"/>
      <c r="P800" s="434"/>
      <c r="Q800" s="434"/>
      <c r="R800" s="434"/>
      <c r="S800" s="434"/>
      <c r="T800" s="434"/>
      <c r="U800" s="434"/>
      <c r="V800" s="434"/>
      <c r="W800" s="434"/>
      <c r="X800" s="434"/>
      <c r="Y800" s="434"/>
      <c r="Z800" s="434"/>
      <c r="AA800" s="434"/>
    </row>
    <row r="801" spans="1:27" ht="15.75" customHeight="1" x14ac:dyDescent="0.35">
      <c r="A801" s="434"/>
      <c r="B801" s="434"/>
      <c r="C801" s="434"/>
      <c r="D801" s="434"/>
      <c r="E801" s="434"/>
      <c r="F801" s="434"/>
      <c r="G801" s="434"/>
      <c r="H801" s="434"/>
      <c r="I801" s="434"/>
      <c r="J801" s="434"/>
      <c r="K801" s="434"/>
      <c r="L801" s="434"/>
      <c r="M801" s="434"/>
      <c r="N801" s="434"/>
      <c r="O801" s="434"/>
      <c r="P801" s="434"/>
      <c r="Q801" s="434"/>
      <c r="R801" s="434"/>
      <c r="S801" s="434"/>
      <c r="T801" s="434"/>
      <c r="U801" s="434"/>
      <c r="V801" s="434"/>
      <c r="W801" s="434"/>
      <c r="X801" s="434"/>
      <c r="Y801" s="434"/>
      <c r="Z801" s="434"/>
      <c r="AA801" s="434"/>
    </row>
    <row r="802" spans="1:27" ht="15.75" customHeight="1" x14ac:dyDescent="0.35">
      <c r="A802" s="434"/>
      <c r="B802" s="434"/>
      <c r="C802" s="434"/>
      <c r="D802" s="434"/>
      <c r="E802" s="434"/>
      <c r="F802" s="434"/>
      <c r="G802" s="434"/>
      <c r="H802" s="434"/>
      <c r="I802" s="434"/>
      <c r="J802" s="434"/>
      <c r="K802" s="434"/>
      <c r="L802" s="434"/>
      <c r="M802" s="434"/>
      <c r="N802" s="434"/>
      <c r="O802" s="434"/>
      <c r="P802" s="434"/>
      <c r="Q802" s="434"/>
      <c r="R802" s="434"/>
      <c r="S802" s="434"/>
      <c r="T802" s="434"/>
      <c r="U802" s="434"/>
      <c r="V802" s="434"/>
      <c r="W802" s="434"/>
      <c r="X802" s="434"/>
      <c r="Y802" s="434"/>
      <c r="Z802" s="434"/>
      <c r="AA802" s="434"/>
    </row>
    <row r="803" spans="1:27" ht="15.75" customHeight="1" x14ac:dyDescent="0.35">
      <c r="A803" s="434"/>
      <c r="B803" s="434"/>
      <c r="C803" s="434"/>
      <c r="D803" s="434"/>
      <c r="E803" s="434"/>
      <c r="F803" s="434"/>
      <c r="G803" s="434"/>
      <c r="H803" s="434"/>
      <c r="I803" s="434"/>
      <c r="J803" s="434"/>
      <c r="K803" s="434"/>
      <c r="L803" s="434"/>
      <c r="M803" s="434"/>
      <c r="N803" s="434"/>
      <c r="O803" s="434"/>
      <c r="P803" s="434"/>
      <c r="Q803" s="434"/>
      <c r="R803" s="434"/>
      <c r="S803" s="434"/>
      <c r="T803" s="434"/>
      <c r="U803" s="434"/>
      <c r="V803" s="434"/>
      <c r="W803" s="434"/>
      <c r="X803" s="434"/>
      <c r="Y803" s="434"/>
      <c r="Z803" s="434"/>
      <c r="AA803" s="434"/>
    </row>
    <row r="804" spans="1:27" ht="15.75" customHeight="1" x14ac:dyDescent="0.35">
      <c r="A804" s="434"/>
      <c r="B804" s="434"/>
      <c r="C804" s="434"/>
      <c r="D804" s="434"/>
      <c r="E804" s="434"/>
      <c r="F804" s="434"/>
      <c r="G804" s="434"/>
      <c r="H804" s="434"/>
      <c r="I804" s="434"/>
      <c r="J804" s="434"/>
      <c r="K804" s="434"/>
      <c r="L804" s="434"/>
      <c r="M804" s="434"/>
      <c r="N804" s="434"/>
      <c r="O804" s="434"/>
      <c r="P804" s="434"/>
      <c r="Q804" s="434"/>
      <c r="R804" s="434"/>
      <c r="S804" s="434"/>
      <c r="T804" s="434"/>
      <c r="U804" s="434"/>
      <c r="V804" s="434"/>
      <c r="W804" s="434"/>
      <c r="X804" s="434"/>
      <c r="Y804" s="434"/>
      <c r="Z804" s="434"/>
      <c r="AA804" s="434"/>
    </row>
    <row r="805" spans="1:27" ht="15.75" customHeight="1" x14ac:dyDescent="0.35">
      <c r="A805" s="434"/>
      <c r="B805" s="434"/>
      <c r="C805" s="434"/>
      <c r="D805" s="434"/>
      <c r="E805" s="434"/>
      <c r="F805" s="434"/>
      <c r="G805" s="434"/>
      <c r="H805" s="434"/>
      <c r="I805" s="434"/>
      <c r="J805" s="434"/>
      <c r="K805" s="434"/>
      <c r="L805" s="434"/>
      <c r="M805" s="434"/>
      <c r="N805" s="434"/>
      <c r="O805" s="434"/>
      <c r="P805" s="434"/>
      <c r="Q805" s="434"/>
      <c r="R805" s="434"/>
      <c r="S805" s="434"/>
      <c r="T805" s="434"/>
      <c r="U805" s="434"/>
      <c r="V805" s="434"/>
      <c r="W805" s="434"/>
      <c r="X805" s="434"/>
      <c r="Y805" s="434"/>
      <c r="Z805" s="434"/>
      <c r="AA805" s="434"/>
    </row>
    <row r="806" spans="1:27" ht="15.75" customHeight="1" x14ac:dyDescent="0.35">
      <c r="A806" s="434"/>
      <c r="B806" s="434"/>
      <c r="C806" s="434"/>
      <c r="D806" s="434"/>
      <c r="E806" s="434"/>
      <c r="F806" s="434"/>
      <c r="G806" s="434"/>
      <c r="H806" s="434"/>
      <c r="I806" s="434"/>
      <c r="J806" s="434"/>
      <c r="K806" s="434"/>
      <c r="L806" s="434"/>
      <c r="M806" s="434"/>
      <c r="N806" s="434"/>
      <c r="O806" s="434"/>
      <c r="P806" s="434"/>
      <c r="Q806" s="434"/>
      <c r="R806" s="434"/>
      <c r="S806" s="434"/>
      <c r="T806" s="434"/>
      <c r="U806" s="434"/>
      <c r="V806" s="434"/>
      <c r="W806" s="434"/>
      <c r="X806" s="434"/>
      <c r="Y806" s="434"/>
      <c r="Z806" s="434"/>
      <c r="AA806" s="434"/>
    </row>
    <row r="807" spans="1:27" ht="15.75" customHeight="1" x14ac:dyDescent="0.35">
      <c r="A807" s="434"/>
      <c r="B807" s="434"/>
      <c r="C807" s="434"/>
      <c r="D807" s="434"/>
      <c r="E807" s="434"/>
      <c r="F807" s="434"/>
      <c r="G807" s="434"/>
      <c r="H807" s="434"/>
      <c r="I807" s="434"/>
      <c r="J807" s="434"/>
      <c r="K807" s="434"/>
      <c r="L807" s="434"/>
      <c r="M807" s="434"/>
      <c r="N807" s="434"/>
      <c r="O807" s="434"/>
      <c r="P807" s="434"/>
      <c r="Q807" s="434"/>
      <c r="R807" s="434"/>
      <c r="S807" s="434"/>
      <c r="T807" s="434"/>
      <c r="U807" s="434"/>
      <c r="V807" s="434"/>
      <c r="W807" s="434"/>
      <c r="X807" s="434"/>
      <c r="Y807" s="434"/>
      <c r="Z807" s="434"/>
      <c r="AA807" s="434"/>
    </row>
    <row r="808" spans="1:27" ht="15.75" customHeight="1" x14ac:dyDescent="0.35">
      <c r="A808" s="434"/>
      <c r="B808" s="434"/>
      <c r="C808" s="434"/>
      <c r="D808" s="434"/>
      <c r="E808" s="434"/>
      <c r="F808" s="434"/>
      <c r="G808" s="434"/>
      <c r="H808" s="434"/>
      <c r="I808" s="434"/>
      <c r="J808" s="434"/>
      <c r="K808" s="434"/>
      <c r="L808" s="434"/>
      <c r="M808" s="434"/>
      <c r="N808" s="434"/>
      <c r="O808" s="434"/>
      <c r="P808" s="434"/>
      <c r="Q808" s="434"/>
      <c r="R808" s="434"/>
      <c r="S808" s="434"/>
      <c r="T808" s="434"/>
      <c r="U808" s="434"/>
      <c r="V808" s="434"/>
      <c r="W808" s="434"/>
      <c r="X808" s="434"/>
      <c r="Y808" s="434"/>
      <c r="Z808" s="434"/>
      <c r="AA808" s="434"/>
    </row>
    <row r="809" spans="1:27" ht="15.75" customHeight="1" x14ac:dyDescent="0.35">
      <c r="A809" s="434"/>
      <c r="B809" s="434"/>
      <c r="C809" s="434"/>
      <c r="D809" s="434"/>
      <c r="E809" s="434"/>
      <c r="F809" s="434"/>
      <c r="G809" s="434"/>
      <c r="H809" s="434"/>
      <c r="I809" s="434"/>
      <c r="J809" s="434"/>
      <c r="K809" s="434"/>
      <c r="L809" s="434"/>
      <c r="M809" s="434"/>
      <c r="N809" s="434"/>
      <c r="O809" s="434"/>
      <c r="P809" s="434"/>
      <c r="Q809" s="434"/>
      <c r="R809" s="434"/>
      <c r="S809" s="434"/>
      <c r="T809" s="434"/>
      <c r="U809" s="434"/>
      <c r="V809" s="434"/>
      <c r="W809" s="434"/>
      <c r="X809" s="434"/>
      <c r="Y809" s="434"/>
      <c r="Z809" s="434"/>
      <c r="AA809" s="434"/>
    </row>
    <row r="810" spans="1:27" ht="15.75" customHeight="1" x14ac:dyDescent="0.35">
      <c r="A810" s="434"/>
      <c r="B810" s="434"/>
      <c r="C810" s="434"/>
      <c r="D810" s="434"/>
      <c r="E810" s="434"/>
      <c r="F810" s="434"/>
      <c r="G810" s="434"/>
      <c r="H810" s="434"/>
      <c r="I810" s="434"/>
      <c r="J810" s="434"/>
      <c r="K810" s="434"/>
      <c r="L810" s="434"/>
      <c r="M810" s="434"/>
      <c r="N810" s="434"/>
      <c r="O810" s="434"/>
      <c r="P810" s="434"/>
      <c r="Q810" s="434"/>
      <c r="R810" s="434"/>
      <c r="S810" s="434"/>
      <c r="T810" s="434"/>
      <c r="U810" s="434"/>
      <c r="V810" s="434"/>
      <c r="W810" s="434"/>
      <c r="X810" s="434"/>
      <c r="Y810" s="434"/>
      <c r="Z810" s="434"/>
      <c r="AA810" s="434"/>
    </row>
    <row r="811" spans="1:27" ht="15.75" customHeight="1" x14ac:dyDescent="0.35">
      <c r="A811" s="434"/>
      <c r="B811" s="434"/>
      <c r="C811" s="434"/>
      <c r="D811" s="434"/>
      <c r="E811" s="434"/>
      <c r="F811" s="434"/>
      <c r="G811" s="434"/>
      <c r="H811" s="434"/>
      <c r="I811" s="434"/>
      <c r="J811" s="434"/>
      <c r="K811" s="434"/>
      <c r="L811" s="434"/>
      <c r="M811" s="434"/>
      <c r="N811" s="434"/>
      <c r="O811" s="434"/>
      <c r="P811" s="434"/>
      <c r="Q811" s="434"/>
      <c r="R811" s="434"/>
      <c r="S811" s="434"/>
      <c r="T811" s="434"/>
      <c r="U811" s="434"/>
      <c r="V811" s="434"/>
      <c r="W811" s="434"/>
      <c r="X811" s="434"/>
      <c r="Y811" s="434"/>
      <c r="Z811" s="434"/>
      <c r="AA811" s="434"/>
    </row>
    <row r="812" spans="1:27" ht="15.75" customHeight="1" x14ac:dyDescent="0.35">
      <c r="A812" s="434"/>
      <c r="B812" s="434"/>
      <c r="C812" s="434"/>
      <c r="D812" s="434"/>
      <c r="E812" s="434"/>
      <c r="F812" s="434"/>
      <c r="G812" s="434"/>
      <c r="H812" s="434"/>
      <c r="I812" s="434"/>
      <c r="J812" s="434"/>
      <c r="K812" s="434"/>
      <c r="L812" s="434"/>
      <c r="M812" s="434"/>
      <c r="N812" s="434"/>
      <c r="O812" s="434"/>
      <c r="P812" s="434"/>
      <c r="Q812" s="434"/>
      <c r="R812" s="434"/>
      <c r="S812" s="434"/>
      <c r="T812" s="434"/>
      <c r="U812" s="434"/>
      <c r="V812" s="434"/>
      <c r="W812" s="434"/>
      <c r="X812" s="434"/>
      <c r="Y812" s="434"/>
      <c r="Z812" s="434"/>
      <c r="AA812" s="434"/>
    </row>
    <row r="813" spans="1:27" ht="15.75" customHeight="1" x14ac:dyDescent="0.35">
      <c r="A813" s="434"/>
      <c r="B813" s="434"/>
      <c r="C813" s="434"/>
      <c r="D813" s="434"/>
      <c r="E813" s="434"/>
      <c r="F813" s="434"/>
      <c r="G813" s="434"/>
      <c r="H813" s="434"/>
      <c r="I813" s="434"/>
      <c r="J813" s="434"/>
      <c r="K813" s="434"/>
      <c r="L813" s="434"/>
      <c r="M813" s="434"/>
      <c r="N813" s="434"/>
      <c r="O813" s="434"/>
      <c r="P813" s="434"/>
      <c r="Q813" s="434"/>
      <c r="R813" s="434"/>
      <c r="S813" s="434"/>
      <c r="T813" s="434"/>
      <c r="U813" s="434"/>
      <c r="V813" s="434"/>
      <c r="W813" s="434"/>
      <c r="X813" s="434"/>
      <c r="Y813" s="434"/>
      <c r="Z813" s="434"/>
      <c r="AA813" s="434"/>
    </row>
    <row r="814" spans="1:27" ht="15.75" customHeight="1" x14ac:dyDescent="0.35">
      <c r="A814" s="434"/>
      <c r="B814" s="434"/>
      <c r="C814" s="434"/>
      <c r="D814" s="434"/>
      <c r="E814" s="434"/>
      <c r="F814" s="434"/>
      <c r="G814" s="434"/>
      <c r="H814" s="434"/>
      <c r="I814" s="434"/>
      <c r="J814" s="434"/>
      <c r="K814" s="434"/>
      <c r="L814" s="434"/>
      <c r="M814" s="434"/>
      <c r="N814" s="434"/>
      <c r="O814" s="434"/>
      <c r="P814" s="434"/>
      <c r="Q814" s="434"/>
      <c r="R814" s="434"/>
      <c r="S814" s="434"/>
      <c r="T814" s="434"/>
      <c r="U814" s="434"/>
      <c r="V814" s="434"/>
      <c r="W814" s="434"/>
      <c r="X814" s="434"/>
      <c r="Y814" s="434"/>
      <c r="Z814" s="434"/>
      <c r="AA814" s="434"/>
    </row>
    <row r="815" spans="1:27" ht="15.75" customHeight="1" x14ac:dyDescent="0.35">
      <c r="A815" s="434"/>
      <c r="B815" s="434"/>
      <c r="C815" s="434"/>
      <c r="D815" s="434"/>
      <c r="E815" s="434"/>
      <c r="F815" s="434"/>
      <c r="G815" s="434"/>
      <c r="H815" s="434"/>
      <c r="I815" s="434"/>
      <c r="J815" s="434"/>
      <c r="K815" s="434"/>
      <c r="L815" s="434"/>
      <c r="M815" s="434"/>
      <c r="N815" s="434"/>
      <c r="O815" s="434"/>
      <c r="P815" s="434"/>
      <c r="Q815" s="434"/>
      <c r="R815" s="434"/>
      <c r="S815" s="434"/>
      <c r="T815" s="434"/>
      <c r="U815" s="434"/>
      <c r="V815" s="434"/>
      <c r="W815" s="434"/>
      <c r="X815" s="434"/>
      <c r="Y815" s="434"/>
      <c r="Z815" s="434"/>
      <c r="AA815" s="434"/>
    </row>
    <row r="816" spans="1:27" ht="15.75" customHeight="1" x14ac:dyDescent="0.35">
      <c r="A816" s="434"/>
      <c r="B816" s="434"/>
      <c r="C816" s="434"/>
      <c r="D816" s="434"/>
      <c r="E816" s="434"/>
      <c r="F816" s="434"/>
      <c r="G816" s="434"/>
      <c r="H816" s="434"/>
      <c r="I816" s="434"/>
      <c r="J816" s="434"/>
      <c r="K816" s="434"/>
      <c r="L816" s="434"/>
      <c r="M816" s="434"/>
      <c r="N816" s="434"/>
      <c r="O816" s="434"/>
      <c r="P816" s="434"/>
      <c r="Q816" s="434"/>
      <c r="R816" s="434"/>
      <c r="S816" s="434"/>
      <c r="T816" s="434"/>
      <c r="U816" s="434"/>
      <c r="V816" s="434"/>
      <c r="W816" s="434"/>
      <c r="X816" s="434"/>
      <c r="Y816" s="434"/>
      <c r="Z816" s="434"/>
      <c r="AA816" s="434"/>
    </row>
    <row r="817" spans="1:27" ht="15.75" customHeight="1" x14ac:dyDescent="0.35">
      <c r="A817" s="434"/>
      <c r="B817" s="434"/>
      <c r="C817" s="434"/>
      <c r="D817" s="434"/>
      <c r="E817" s="434"/>
      <c r="F817" s="434"/>
      <c r="G817" s="434"/>
      <c r="H817" s="434"/>
      <c r="I817" s="434"/>
      <c r="J817" s="434"/>
      <c r="K817" s="434"/>
      <c r="L817" s="434"/>
      <c r="M817" s="434"/>
      <c r="N817" s="434"/>
      <c r="O817" s="434"/>
      <c r="P817" s="434"/>
      <c r="Q817" s="434"/>
      <c r="R817" s="434"/>
      <c r="S817" s="434"/>
      <c r="T817" s="434"/>
      <c r="U817" s="434"/>
      <c r="V817" s="434"/>
      <c r="W817" s="434"/>
      <c r="X817" s="434"/>
      <c r="Y817" s="434"/>
      <c r="Z817" s="434"/>
      <c r="AA817" s="434"/>
    </row>
    <row r="818" spans="1:27" ht="15.75" customHeight="1" x14ac:dyDescent="0.35">
      <c r="A818" s="434"/>
      <c r="B818" s="434"/>
      <c r="C818" s="434"/>
      <c r="D818" s="434"/>
      <c r="E818" s="434"/>
      <c r="F818" s="434"/>
      <c r="G818" s="434"/>
      <c r="H818" s="434"/>
      <c r="I818" s="434"/>
      <c r="J818" s="434"/>
      <c r="K818" s="434"/>
      <c r="L818" s="434"/>
      <c r="M818" s="434"/>
      <c r="N818" s="434"/>
      <c r="O818" s="434"/>
      <c r="P818" s="434"/>
      <c r="Q818" s="434"/>
      <c r="R818" s="434"/>
      <c r="S818" s="434"/>
      <c r="T818" s="434"/>
      <c r="U818" s="434"/>
      <c r="V818" s="434"/>
      <c r="W818" s="434"/>
      <c r="X818" s="434"/>
      <c r="Y818" s="434"/>
      <c r="Z818" s="434"/>
      <c r="AA818" s="434"/>
    </row>
    <row r="819" spans="1:27" ht="15.75" customHeight="1" x14ac:dyDescent="0.35">
      <c r="A819" s="434"/>
      <c r="B819" s="434"/>
      <c r="C819" s="434"/>
      <c r="D819" s="434"/>
      <c r="E819" s="434"/>
      <c r="F819" s="434"/>
      <c r="G819" s="434"/>
      <c r="H819" s="434"/>
      <c r="I819" s="434"/>
      <c r="J819" s="434"/>
      <c r="K819" s="434"/>
      <c r="L819" s="434"/>
      <c r="M819" s="434"/>
      <c r="N819" s="434"/>
      <c r="O819" s="434"/>
      <c r="P819" s="434"/>
      <c r="Q819" s="434"/>
      <c r="R819" s="434"/>
      <c r="S819" s="434"/>
      <c r="T819" s="434"/>
      <c r="U819" s="434"/>
      <c r="V819" s="434"/>
      <c r="W819" s="434"/>
      <c r="X819" s="434"/>
      <c r="Y819" s="434"/>
      <c r="Z819" s="434"/>
      <c r="AA819" s="434"/>
    </row>
    <row r="820" spans="1:27" ht="15.75" customHeight="1" x14ac:dyDescent="0.35">
      <c r="A820" s="434"/>
      <c r="B820" s="434"/>
      <c r="C820" s="434"/>
      <c r="D820" s="434"/>
      <c r="E820" s="434"/>
      <c r="F820" s="434"/>
      <c r="G820" s="434"/>
      <c r="H820" s="434"/>
      <c r="I820" s="434"/>
      <c r="J820" s="434"/>
      <c r="K820" s="434"/>
      <c r="L820" s="434"/>
      <c r="M820" s="434"/>
      <c r="N820" s="434"/>
      <c r="O820" s="434"/>
      <c r="P820" s="434"/>
      <c r="Q820" s="434"/>
      <c r="R820" s="434"/>
      <c r="S820" s="434"/>
      <c r="T820" s="434"/>
      <c r="U820" s="434"/>
      <c r="V820" s="434"/>
      <c r="W820" s="434"/>
      <c r="X820" s="434"/>
      <c r="Y820" s="434"/>
      <c r="Z820" s="434"/>
      <c r="AA820" s="434"/>
    </row>
    <row r="821" spans="1:27" ht="15.75" customHeight="1" x14ac:dyDescent="0.35">
      <c r="A821" s="434"/>
      <c r="B821" s="434"/>
      <c r="C821" s="434"/>
      <c r="D821" s="434"/>
      <c r="E821" s="434"/>
      <c r="F821" s="434"/>
      <c r="G821" s="434"/>
      <c r="H821" s="434"/>
      <c r="I821" s="434"/>
      <c r="J821" s="434"/>
      <c r="K821" s="434"/>
      <c r="L821" s="434"/>
      <c r="M821" s="434"/>
      <c r="N821" s="434"/>
      <c r="O821" s="434"/>
      <c r="P821" s="434"/>
      <c r="Q821" s="434"/>
      <c r="R821" s="434"/>
      <c r="S821" s="434"/>
      <c r="T821" s="434"/>
      <c r="U821" s="434"/>
      <c r="V821" s="434"/>
      <c r="W821" s="434"/>
      <c r="X821" s="434"/>
      <c r="Y821" s="434"/>
      <c r="Z821" s="434"/>
      <c r="AA821" s="434"/>
    </row>
    <row r="822" spans="1:27" ht="15.75" customHeight="1" x14ac:dyDescent="0.35">
      <c r="A822" s="434"/>
      <c r="B822" s="434"/>
      <c r="C822" s="434"/>
      <c r="D822" s="434"/>
      <c r="E822" s="434"/>
      <c r="F822" s="434"/>
      <c r="G822" s="434"/>
      <c r="H822" s="434"/>
      <c r="I822" s="434"/>
      <c r="J822" s="434"/>
      <c r="K822" s="434"/>
      <c r="L822" s="434"/>
      <c r="M822" s="434"/>
      <c r="N822" s="434"/>
      <c r="O822" s="434"/>
      <c r="P822" s="434"/>
      <c r="Q822" s="434"/>
      <c r="R822" s="434"/>
      <c r="S822" s="434"/>
      <c r="T822" s="434"/>
      <c r="U822" s="434"/>
      <c r="V822" s="434"/>
      <c r="W822" s="434"/>
      <c r="X822" s="434"/>
      <c r="Y822" s="434"/>
      <c r="Z822" s="434"/>
      <c r="AA822" s="434"/>
    </row>
    <row r="823" spans="1:27" ht="15.75" customHeight="1" x14ac:dyDescent="0.35">
      <c r="A823" s="434"/>
      <c r="B823" s="434"/>
      <c r="C823" s="434"/>
      <c r="D823" s="434"/>
      <c r="E823" s="434"/>
      <c r="F823" s="434"/>
      <c r="G823" s="434"/>
      <c r="H823" s="434"/>
      <c r="I823" s="434"/>
      <c r="J823" s="434"/>
      <c r="K823" s="434"/>
      <c r="L823" s="434"/>
      <c r="M823" s="434"/>
      <c r="N823" s="434"/>
      <c r="O823" s="434"/>
      <c r="P823" s="434"/>
      <c r="Q823" s="434"/>
      <c r="R823" s="434"/>
      <c r="S823" s="434"/>
      <c r="T823" s="434"/>
      <c r="U823" s="434"/>
      <c r="V823" s="434"/>
      <c r="W823" s="434"/>
      <c r="X823" s="434"/>
      <c r="Y823" s="434"/>
      <c r="Z823" s="434"/>
      <c r="AA823" s="434"/>
    </row>
    <row r="824" spans="1:27" ht="15.75" customHeight="1" x14ac:dyDescent="0.35">
      <c r="A824" s="434"/>
      <c r="B824" s="434"/>
      <c r="C824" s="434"/>
      <c r="D824" s="434"/>
      <c r="E824" s="434"/>
      <c r="F824" s="434"/>
      <c r="G824" s="434"/>
      <c r="H824" s="434"/>
      <c r="I824" s="434"/>
      <c r="J824" s="434"/>
      <c r="K824" s="434"/>
      <c r="L824" s="434"/>
      <c r="M824" s="434"/>
      <c r="N824" s="434"/>
      <c r="O824" s="434"/>
      <c r="P824" s="434"/>
      <c r="Q824" s="434"/>
      <c r="R824" s="434"/>
      <c r="S824" s="434"/>
      <c r="T824" s="434"/>
      <c r="U824" s="434"/>
      <c r="V824" s="434"/>
      <c r="W824" s="434"/>
      <c r="X824" s="434"/>
      <c r="Y824" s="434"/>
      <c r="Z824" s="434"/>
      <c r="AA824" s="434"/>
    </row>
    <row r="825" spans="1:27" ht="15.75" customHeight="1" x14ac:dyDescent="0.35">
      <c r="A825" s="434"/>
      <c r="B825" s="434"/>
      <c r="C825" s="434"/>
      <c r="D825" s="434"/>
      <c r="E825" s="434"/>
      <c r="F825" s="434"/>
      <c r="G825" s="434"/>
      <c r="H825" s="434"/>
      <c r="I825" s="434"/>
      <c r="J825" s="434"/>
      <c r="K825" s="434"/>
      <c r="L825" s="434"/>
      <c r="M825" s="434"/>
      <c r="N825" s="434"/>
      <c r="O825" s="434"/>
      <c r="P825" s="434"/>
      <c r="Q825" s="434"/>
      <c r="R825" s="434"/>
      <c r="S825" s="434"/>
      <c r="T825" s="434"/>
      <c r="U825" s="434"/>
      <c r="V825" s="434"/>
      <c r="W825" s="434"/>
      <c r="X825" s="434"/>
      <c r="Y825" s="434"/>
      <c r="Z825" s="434"/>
      <c r="AA825" s="434"/>
    </row>
    <row r="826" spans="1:27" ht="15.75" customHeight="1" x14ac:dyDescent="0.35">
      <c r="A826" s="434"/>
      <c r="B826" s="434"/>
      <c r="C826" s="434"/>
      <c r="D826" s="434"/>
      <c r="E826" s="434"/>
      <c r="F826" s="434"/>
      <c r="G826" s="434"/>
      <c r="H826" s="434"/>
      <c r="I826" s="434"/>
      <c r="J826" s="434"/>
      <c r="K826" s="434"/>
      <c r="L826" s="434"/>
      <c r="M826" s="434"/>
      <c r="N826" s="434"/>
      <c r="O826" s="434"/>
      <c r="P826" s="434"/>
      <c r="Q826" s="434"/>
      <c r="R826" s="434"/>
      <c r="S826" s="434"/>
      <c r="T826" s="434"/>
      <c r="U826" s="434"/>
      <c r="V826" s="434"/>
      <c r="W826" s="434"/>
      <c r="X826" s="434"/>
      <c r="Y826" s="434"/>
      <c r="Z826" s="434"/>
      <c r="AA826" s="434"/>
    </row>
    <row r="827" spans="1:27" ht="15.75" customHeight="1" x14ac:dyDescent="0.35">
      <c r="A827" s="434"/>
      <c r="B827" s="434"/>
      <c r="C827" s="434"/>
      <c r="D827" s="434"/>
      <c r="E827" s="434"/>
      <c r="F827" s="434"/>
      <c r="G827" s="434"/>
      <c r="H827" s="434"/>
      <c r="I827" s="434"/>
      <c r="J827" s="434"/>
      <c r="K827" s="434"/>
      <c r="L827" s="434"/>
      <c r="M827" s="434"/>
      <c r="N827" s="434"/>
      <c r="O827" s="434"/>
      <c r="P827" s="434"/>
      <c r="Q827" s="434"/>
      <c r="R827" s="434"/>
      <c r="S827" s="434"/>
      <c r="T827" s="434"/>
      <c r="U827" s="434"/>
      <c r="V827" s="434"/>
      <c r="W827" s="434"/>
      <c r="X827" s="434"/>
      <c r="Y827" s="434"/>
      <c r="Z827" s="434"/>
      <c r="AA827" s="434"/>
    </row>
    <row r="828" spans="1:27" ht="15.75" customHeight="1" x14ac:dyDescent="0.35">
      <c r="A828" s="434"/>
      <c r="B828" s="434"/>
      <c r="C828" s="434"/>
      <c r="D828" s="434"/>
      <c r="E828" s="434"/>
      <c r="F828" s="434"/>
      <c r="G828" s="434"/>
      <c r="H828" s="434"/>
      <c r="I828" s="434"/>
      <c r="J828" s="434"/>
      <c r="K828" s="434"/>
      <c r="L828" s="434"/>
      <c r="M828" s="434"/>
      <c r="N828" s="434"/>
      <c r="O828" s="434"/>
      <c r="P828" s="434"/>
      <c r="Q828" s="434"/>
      <c r="R828" s="434"/>
      <c r="S828" s="434"/>
      <c r="T828" s="434"/>
      <c r="U828" s="434"/>
      <c r="V828" s="434"/>
      <c r="W828" s="434"/>
      <c r="X828" s="434"/>
      <c r="Y828" s="434"/>
      <c r="Z828" s="434"/>
      <c r="AA828" s="434"/>
    </row>
    <row r="829" spans="1:27" ht="15.75" customHeight="1" x14ac:dyDescent="0.35">
      <c r="A829" s="434"/>
      <c r="B829" s="434"/>
      <c r="C829" s="434"/>
      <c r="D829" s="434"/>
      <c r="E829" s="434"/>
      <c r="F829" s="434"/>
      <c r="G829" s="434"/>
      <c r="H829" s="434"/>
      <c r="I829" s="434"/>
      <c r="J829" s="434"/>
      <c r="K829" s="434"/>
      <c r="L829" s="434"/>
      <c r="M829" s="434"/>
      <c r="N829" s="434"/>
      <c r="O829" s="434"/>
      <c r="P829" s="434"/>
      <c r="Q829" s="434"/>
      <c r="R829" s="434"/>
      <c r="S829" s="434"/>
      <c r="T829" s="434"/>
      <c r="U829" s="434"/>
      <c r="V829" s="434"/>
      <c r="W829" s="434"/>
      <c r="X829" s="434"/>
      <c r="Y829" s="434"/>
      <c r="Z829" s="434"/>
      <c r="AA829" s="434"/>
    </row>
    <row r="830" spans="1:27" ht="15.75" customHeight="1" x14ac:dyDescent="0.35">
      <c r="A830" s="434"/>
      <c r="B830" s="434"/>
      <c r="C830" s="434"/>
      <c r="D830" s="434"/>
      <c r="E830" s="434"/>
      <c r="F830" s="434"/>
      <c r="G830" s="434"/>
      <c r="H830" s="434"/>
      <c r="I830" s="434"/>
      <c r="J830" s="434"/>
      <c r="K830" s="434"/>
      <c r="L830" s="434"/>
      <c r="M830" s="434"/>
      <c r="N830" s="434"/>
      <c r="O830" s="434"/>
      <c r="P830" s="434"/>
      <c r="Q830" s="434"/>
      <c r="R830" s="434"/>
      <c r="S830" s="434"/>
      <c r="T830" s="434"/>
      <c r="U830" s="434"/>
      <c r="V830" s="434"/>
      <c r="W830" s="434"/>
      <c r="X830" s="434"/>
      <c r="Y830" s="434"/>
      <c r="Z830" s="434"/>
      <c r="AA830" s="434"/>
    </row>
    <row r="831" spans="1:27" ht="15.75" customHeight="1" x14ac:dyDescent="0.35">
      <c r="A831" s="434"/>
      <c r="B831" s="434"/>
      <c r="C831" s="434"/>
      <c r="D831" s="434"/>
      <c r="E831" s="434"/>
      <c r="F831" s="434"/>
      <c r="G831" s="434"/>
      <c r="H831" s="434"/>
      <c r="I831" s="434"/>
      <c r="J831" s="434"/>
      <c r="K831" s="434"/>
      <c r="L831" s="434"/>
      <c r="M831" s="434"/>
      <c r="N831" s="434"/>
      <c r="O831" s="434"/>
      <c r="P831" s="434"/>
      <c r="Q831" s="434"/>
      <c r="R831" s="434"/>
      <c r="S831" s="434"/>
      <c r="T831" s="434"/>
      <c r="U831" s="434"/>
      <c r="V831" s="434"/>
      <c r="W831" s="434"/>
      <c r="X831" s="434"/>
      <c r="Y831" s="434"/>
      <c r="Z831" s="434"/>
      <c r="AA831" s="434"/>
    </row>
    <row r="832" spans="1:27" ht="15.75" customHeight="1" x14ac:dyDescent="0.35">
      <c r="A832" s="434"/>
      <c r="B832" s="434"/>
      <c r="C832" s="434"/>
      <c r="D832" s="434"/>
      <c r="E832" s="434"/>
      <c r="F832" s="434"/>
      <c r="G832" s="434"/>
      <c r="H832" s="434"/>
      <c r="I832" s="434"/>
      <c r="J832" s="434"/>
      <c r="K832" s="434"/>
      <c r="L832" s="434"/>
      <c r="M832" s="434"/>
      <c r="N832" s="434"/>
      <c r="O832" s="434"/>
      <c r="P832" s="434"/>
      <c r="Q832" s="434"/>
      <c r="R832" s="434"/>
      <c r="S832" s="434"/>
      <c r="T832" s="434"/>
      <c r="U832" s="434"/>
      <c r="V832" s="434"/>
      <c r="W832" s="434"/>
      <c r="X832" s="434"/>
      <c r="Y832" s="434"/>
      <c r="Z832" s="434"/>
      <c r="AA832" s="434"/>
    </row>
    <row r="833" spans="1:27" ht="15.75" customHeight="1" x14ac:dyDescent="0.35">
      <c r="A833" s="434"/>
      <c r="B833" s="434"/>
      <c r="C833" s="434"/>
      <c r="D833" s="434"/>
      <c r="E833" s="434"/>
      <c r="F833" s="434"/>
      <c r="G833" s="434"/>
      <c r="H833" s="434"/>
      <c r="I833" s="434"/>
      <c r="J833" s="434"/>
      <c r="K833" s="434"/>
      <c r="L833" s="434"/>
      <c r="M833" s="434"/>
      <c r="N833" s="434"/>
      <c r="O833" s="434"/>
      <c r="P833" s="434"/>
      <c r="Q833" s="434"/>
      <c r="R833" s="434"/>
      <c r="S833" s="434"/>
      <c r="T833" s="434"/>
      <c r="U833" s="434"/>
      <c r="V833" s="434"/>
      <c r="W833" s="434"/>
      <c r="X833" s="434"/>
      <c r="Y833" s="434"/>
      <c r="Z833" s="434"/>
      <c r="AA833" s="434"/>
    </row>
    <row r="834" spans="1:27" ht="15.75" customHeight="1" x14ac:dyDescent="0.35">
      <c r="A834" s="434"/>
      <c r="B834" s="434"/>
      <c r="C834" s="434"/>
      <c r="D834" s="434"/>
      <c r="E834" s="434"/>
      <c r="F834" s="434"/>
      <c r="G834" s="434"/>
      <c r="H834" s="434"/>
      <c r="I834" s="434"/>
      <c r="J834" s="434"/>
      <c r="K834" s="434"/>
      <c r="L834" s="434"/>
      <c r="M834" s="434"/>
      <c r="N834" s="434"/>
      <c r="O834" s="434"/>
      <c r="P834" s="434"/>
      <c r="Q834" s="434"/>
      <c r="R834" s="434"/>
      <c r="S834" s="434"/>
      <c r="T834" s="434"/>
      <c r="U834" s="434"/>
      <c r="V834" s="434"/>
      <c r="W834" s="434"/>
      <c r="X834" s="434"/>
      <c r="Y834" s="434"/>
      <c r="Z834" s="434"/>
      <c r="AA834" s="434"/>
    </row>
    <row r="835" spans="1:27" ht="15.75" customHeight="1" x14ac:dyDescent="0.35">
      <c r="A835" s="434"/>
      <c r="B835" s="434"/>
      <c r="C835" s="434"/>
      <c r="D835" s="434"/>
      <c r="E835" s="434"/>
      <c r="F835" s="434"/>
      <c r="G835" s="434"/>
      <c r="H835" s="434"/>
      <c r="I835" s="434"/>
      <c r="J835" s="434"/>
      <c r="K835" s="434"/>
      <c r="L835" s="434"/>
      <c r="M835" s="434"/>
      <c r="N835" s="434"/>
      <c r="O835" s="434"/>
      <c r="P835" s="434"/>
      <c r="Q835" s="434"/>
      <c r="R835" s="434"/>
      <c r="S835" s="434"/>
      <c r="T835" s="434"/>
      <c r="U835" s="434"/>
      <c r="V835" s="434"/>
      <c r="W835" s="434"/>
      <c r="X835" s="434"/>
      <c r="Y835" s="434"/>
      <c r="Z835" s="434"/>
      <c r="AA835" s="434"/>
    </row>
    <row r="836" spans="1:27" ht="15.75" customHeight="1" x14ac:dyDescent="0.35">
      <c r="A836" s="434"/>
      <c r="B836" s="434"/>
      <c r="C836" s="434"/>
      <c r="D836" s="434"/>
      <c r="E836" s="434"/>
      <c r="F836" s="434"/>
      <c r="G836" s="434"/>
      <c r="H836" s="434"/>
      <c r="I836" s="434"/>
      <c r="J836" s="434"/>
      <c r="K836" s="434"/>
      <c r="L836" s="434"/>
      <c r="M836" s="434"/>
      <c r="N836" s="434"/>
      <c r="O836" s="434"/>
      <c r="P836" s="434"/>
      <c r="Q836" s="434"/>
      <c r="R836" s="434"/>
      <c r="S836" s="434"/>
      <c r="T836" s="434"/>
      <c r="U836" s="434"/>
      <c r="V836" s="434"/>
      <c r="W836" s="434"/>
      <c r="X836" s="434"/>
      <c r="Y836" s="434"/>
      <c r="Z836" s="434"/>
      <c r="AA836" s="434"/>
    </row>
    <row r="837" spans="1:27" ht="15.75" customHeight="1" x14ac:dyDescent="0.35">
      <c r="A837" s="434"/>
      <c r="B837" s="434"/>
      <c r="C837" s="434"/>
      <c r="D837" s="434"/>
      <c r="E837" s="434"/>
      <c r="F837" s="434"/>
      <c r="G837" s="434"/>
      <c r="H837" s="434"/>
      <c r="I837" s="434"/>
      <c r="J837" s="434"/>
      <c r="K837" s="434"/>
      <c r="L837" s="434"/>
      <c r="M837" s="434"/>
      <c r="N837" s="434"/>
      <c r="O837" s="434"/>
      <c r="P837" s="434"/>
      <c r="Q837" s="434"/>
      <c r="R837" s="434"/>
      <c r="S837" s="434"/>
      <c r="T837" s="434"/>
      <c r="U837" s="434"/>
      <c r="V837" s="434"/>
      <c r="W837" s="434"/>
      <c r="X837" s="434"/>
      <c r="Y837" s="434"/>
      <c r="Z837" s="434"/>
      <c r="AA837" s="434"/>
    </row>
    <row r="838" spans="1:27" ht="15.75" customHeight="1" x14ac:dyDescent="0.35">
      <c r="A838" s="434"/>
      <c r="B838" s="434"/>
      <c r="C838" s="434"/>
      <c r="D838" s="434"/>
      <c r="E838" s="434"/>
      <c r="F838" s="434"/>
      <c r="G838" s="434"/>
      <c r="H838" s="434"/>
      <c r="I838" s="434"/>
      <c r="J838" s="434"/>
      <c r="K838" s="434"/>
      <c r="L838" s="434"/>
      <c r="M838" s="434"/>
      <c r="N838" s="434"/>
      <c r="O838" s="434"/>
      <c r="P838" s="434"/>
      <c r="Q838" s="434"/>
      <c r="R838" s="434"/>
      <c r="S838" s="434"/>
      <c r="T838" s="434"/>
      <c r="U838" s="434"/>
      <c r="V838" s="434"/>
      <c r="W838" s="434"/>
      <c r="X838" s="434"/>
      <c r="Y838" s="434"/>
      <c r="Z838" s="434"/>
      <c r="AA838" s="434"/>
    </row>
    <row r="839" spans="1:27" ht="15.75" customHeight="1" x14ac:dyDescent="0.35">
      <c r="A839" s="434"/>
      <c r="B839" s="434"/>
      <c r="C839" s="434"/>
      <c r="D839" s="434"/>
      <c r="E839" s="434"/>
      <c r="F839" s="434"/>
      <c r="G839" s="434"/>
      <c r="H839" s="434"/>
      <c r="I839" s="434"/>
      <c r="J839" s="434"/>
      <c r="K839" s="434"/>
      <c r="L839" s="434"/>
      <c r="M839" s="434"/>
      <c r="N839" s="434"/>
      <c r="O839" s="434"/>
      <c r="P839" s="434"/>
      <c r="Q839" s="434"/>
      <c r="R839" s="434"/>
      <c r="S839" s="434"/>
      <c r="T839" s="434"/>
      <c r="U839" s="434"/>
      <c r="V839" s="434"/>
      <c r="W839" s="434"/>
      <c r="X839" s="434"/>
      <c r="Y839" s="434"/>
      <c r="Z839" s="434"/>
      <c r="AA839" s="434"/>
    </row>
    <row r="840" spans="1:27" ht="15.75" customHeight="1" x14ac:dyDescent="0.35">
      <c r="A840" s="434"/>
      <c r="B840" s="434"/>
      <c r="C840" s="434"/>
      <c r="D840" s="434"/>
      <c r="E840" s="434"/>
      <c r="F840" s="434"/>
      <c r="G840" s="434"/>
      <c r="H840" s="434"/>
      <c r="I840" s="434"/>
      <c r="J840" s="434"/>
      <c r="K840" s="434"/>
      <c r="L840" s="434"/>
      <c r="M840" s="434"/>
      <c r="N840" s="434"/>
      <c r="O840" s="434"/>
      <c r="P840" s="434"/>
      <c r="Q840" s="434"/>
      <c r="R840" s="434"/>
      <c r="S840" s="434"/>
      <c r="T840" s="434"/>
      <c r="U840" s="434"/>
      <c r="V840" s="434"/>
      <c r="W840" s="434"/>
      <c r="X840" s="434"/>
      <c r="Y840" s="434"/>
      <c r="Z840" s="434"/>
      <c r="AA840" s="434"/>
    </row>
    <row r="841" spans="1:27" ht="15.75" customHeight="1" x14ac:dyDescent="0.35">
      <c r="A841" s="434"/>
      <c r="B841" s="434"/>
      <c r="C841" s="434"/>
      <c r="D841" s="434"/>
      <c r="E841" s="434"/>
      <c r="F841" s="434"/>
      <c r="G841" s="434"/>
      <c r="H841" s="434"/>
      <c r="I841" s="434"/>
      <c r="J841" s="434"/>
      <c r="K841" s="434"/>
      <c r="L841" s="434"/>
      <c r="M841" s="434"/>
      <c r="N841" s="434"/>
      <c r="O841" s="434"/>
      <c r="P841" s="434"/>
      <c r="Q841" s="434"/>
      <c r="R841" s="434"/>
      <c r="S841" s="434"/>
      <c r="T841" s="434"/>
      <c r="U841" s="434"/>
      <c r="V841" s="434"/>
      <c r="W841" s="434"/>
      <c r="X841" s="434"/>
      <c r="Y841" s="434"/>
      <c r="Z841" s="434"/>
      <c r="AA841" s="434"/>
    </row>
    <row r="842" spans="1:27" ht="15.75" customHeight="1" x14ac:dyDescent="0.35">
      <c r="A842" s="434"/>
      <c r="B842" s="434"/>
      <c r="C842" s="434"/>
      <c r="D842" s="434"/>
      <c r="E842" s="434"/>
      <c r="F842" s="434"/>
      <c r="G842" s="434"/>
      <c r="H842" s="434"/>
      <c r="I842" s="434"/>
      <c r="J842" s="434"/>
      <c r="K842" s="434"/>
      <c r="L842" s="434"/>
      <c r="M842" s="434"/>
      <c r="N842" s="434"/>
      <c r="O842" s="434"/>
      <c r="P842" s="434"/>
      <c r="Q842" s="434"/>
      <c r="R842" s="434"/>
      <c r="S842" s="434"/>
      <c r="T842" s="434"/>
      <c r="U842" s="434"/>
      <c r="V842" s="434"/>
      <c r="W842" s="434"/>
      <c r="X842" s="434"/>
      <c r="Y842" s="434"/>
      <c r="Z842" s="434"/>
      <c r="AA842" s="434"/>
    </row>
    <row r="843" spans="1:27" ht="15.75" customHeight="1" x14ac:dyDescent="0.35">
      <c r="A843" s="434"/>
      <c r="B843" s="434"/>
      <c r="C843" s="434"/>
      <c r="D843" s="434"/>
      <c r="E843" s="434"/>
      <c r="F843" s="434"/>
      <c r="G843" s="434"/>
      <c r="H843" s="434"/>
      <c r="I843" s="434"/>
      <c r="J843" s="434"/>
      <c r="K843" s="434"/>
      <c r="L843" s="434"/>
      <c r="M843" s="434"/>
      <c r="N843" s="434"/>
      <c r="O843" s="434"/>
      <c r="P843" s="434"/>
      <c r="Q843" s="434"/>
      <c r="R843" s="434"/>
      <c r="S843" s="434"/>
      <c r="T843" s="434"/>
      <c r="U843" s="434"/>
      <c r="V843" s="434"/>
      <c r="W843" s="434"/>
      <c r="X843" s="434"/>
      <c r="Y843" s="434"/>
      <c r="Z843" s="434"/>
      <c r="AA843" s="434"/>
    </row>
    <row r="844" spans="1:27" ht="15.75" customHeight="1" x14ac:dyDescent="0.35">
      <c r="A844" s="434"/>
      <c r="B844" s="434"/>
      <c r="C844" s="434"/>
      <c r="D844" s="434"/>
      <c r="E844" s="434"/>
      <c r="F844" s="434"/>
      <c r="G844" s="434"/>
      <c r="H844" s="434"/>
      <c r="I844" s="434"/>
      <c r="J844" s="434"/>
      <c r="K844" s="434"/>
      <c r="L844" s="434"/>
      <c r="M844" s="434"/>
      <c r="N844" s="434"/>
      <c r="O844" s="434"/>
      <c r="P844" s="434"/>
      <c r="Q844" s="434"/>
      <c r="R844" s="434"/>
      <c r="S844" s="434"/>
      <c r="T844" s="434"/>
      <c r="U844" s="434"/>
      <c r="V844" s="434"/>
      <c r="W844" s="434"/>
      <c r="X844" s="434"/>
      <c r="Y844" s="434"/>
      <c r="Z844" s="434"/>
      <c r="AA844" s="434"/>
    </row>
    <row r="845" spans="1:27" ht="15.75" customHeight="1" x14ac:dyDescent="0.35">
      <c r="A845" s="434"/>
      <c r="B845" s="434"/>
      <c r="C845" s="434"/>
      <c r="D845" s="434"/>
      <c r="E845" s="434"/>
      <c r="F845" s="434"/>
      <c r="G845" s="434"/>
      <c r="H845" s="434"/>
      <c r="I845" s="434"/>
      <c r="J845" s="434"/>
      <c r="K845" s="434"/>
      <c r="L845" s="434"/>
      <c r="M845" s="434"/>
      <c r="N845" s="434"/>
      <c r="O845" s="434"/>
      <c r="P845" s="434"/>
      <c r="Q845" s="434"/>
      <c r="R845" s="434"/>
      <c r="S845" s="434"/>
      <c r="T845" s="434"/>
      <c r="U845" s="434"/>
      <c r="V845" s="434"/>
      <c r="W845" s="434"/>
      <c r="X845" s="434"/>
      <c r="Y845" s="434"/>
      <c r="Z845" s="434"/>
      <c r="AA845" s="434"/>
    </row>
    <row r="846" spans="1:27" ht="15.75" customHeight="1" x14ac:dyDescent="0.35">
      <c r="A846" s="434"/>
      <c r="B846" s="434"/>
      <c r="C846" s="434"/>
      <c r="D846" s="434"/>
      <c r="E846" s="434"/>
      <c r="F846" s="434"/>
      <c r="G846" s="434"/>
      <c r="H846" s="434"/>
      <c r="I846" s="434"/>
      <c r="J846" s="434"/>
      <c r="K846" s="434"/>
      <c r="L846" s="434"/>
      <c r="M846" s="434"/>
      <c r="N846" s="434"/>
      <c r="O846" s="434"/>
      <c r="P846" s="434"/>
      <c r="Q846" s="434"/>
      <c r="R846" s="434"/>
      <c r="S846" s="434"/>
      <c r="T846" s="434"/>
      <c r="U846" s="434"/>
      <c r="V846" s="434"/>
      <c r="W846" s="434"/>
      <c r="X846" s="434"/>
      <c r="Y846" s="434"/>
      <c r="Z846" s="434"/>
      <c r="AA846" s="434"/>
    </row>
    <row r="847" spans="1:27" ht="15.75" customHeight="1" x14ac:dyDescent="0.35">
      <c r="A847" s="434"/>
      <c r="B847" s="434"/>
      <c r="C847" s="434"/>
      <c r="D847" s="434"/>
      <c r="E847" s="434"/>
      <c r="F847" s="434"/>
      <c r="G847" s="434"/>
      <c r="H847" s="434"/>
      <c r="I847" s="434"/>
      <c r="J847" s="434"/>
      <c r="K847" s="434"/>
      <c r="L847" s="434"/>
      <c r="M847" s="434"/>
      <c r="N847" s="434"/>
      <c r="O847" s="434"/>
      <c r="P847" s="434"/>
      <c r="Q847" s="434"/>
      <c r="R847" s="434"/>
      <c r="S847" s="434"/>
      <c r="T847" s="434"/>
      <c r="U847" s="434"/>
      <c r="V847" s="434"/>
      <c r="W847" s="434"/>
      <c r="X847" s="434"/>
      <c r="Y847" s="434"/>
      <c r="Z847" s="434"/>
      <c r="AA847" s="434"/>
    </row>
    <row r="848" spans="1:27" ht="15.75" customHeight="1" x14ac:dyDescent="0.35">
      <c r="A848" s="434"/>
      <c r="B848" s="434"/>
      <c r="C848" s="434"/>
      <c r="D848" s="434"/>
      <c r="E848" s="434"/>
      <c r="F848" s="434"/>
      <c r="G848" s="434"/>
      <c r="H848" s="434"/>
      <c r="I848" s="434"/>
      <c r="J848" s="434"/>
      <c r="K848" s="434"/>
      <c r="L848" s="434"/>
      <c r="M848" s="434"/>
      <c r="N848" s="434"/>
      <c r="O848" s="434"/>
      <c r="P848" s="434"/>
      <c r="Q848" s="434"/>
      <c r="R848" s="434"/>
      <c r="S848" s="434"/>
      <c r="T848" s="434"/>
      <c r="U848" s="434"/>
      <c r="V848" s="434"/>
      <c r="W848" s="434"/>
      <c r="X848" s="434"/>
      <c r="Y848" s="434"/>
      <c r="Z848" s="434"/>
      <c r="AA848" s="434"/>
    </row>
    <row r="849" spans="1:27" ht="15.75" customHeight="1" x14ac:dyDescent="0.35">
      <c r="A849" s="434"/>
      <c r="B849" s="434"/>
      <c r="C849" s="434"/>
      <c r="D849" s="434"/>
      <c r="E849" s="434"/>
      <c r="F849" s="434"/>
      <c r="G849" s="434"/>
      <c r="H849" s="434"/>
      <c r="I849" s="434"/>
      <c r="J849" s="434"/>
      <c r="K849" s="434"/>
      <c r="L849" s="434"/>
      <c r="M849" s="434"/>
      <c r="N849" s="434"/>
      <c r="O849" s="434"/>
      <c r="P849" s="434"/>
      <c r="Q849" s="434"/>
      <c r="R849" s="434"/>
      <c r="S849" s="434"/>
      <c r="T849" s="434"/>
      <c r="U849" s="434"/>
      <c r="V849" s="434"/>
      <c r="W849" s="434"/>
      <c r="X849" s="434"/>
      <c r="Y849" s="434"/>
      <c r="Z849" s="434"/>
      <c r="AA849" s="434"/>
    </row>
    <row r="850" spans="1:27" ht="15.75" customHeight="1" x14ac:dyDescent="0.35">
      <c r="A850" s="434"/>
      <c r="B850" s="434"/>
      <c r="C850" s="434"/>
      <c r="D850" s="434"/>
      <c r="E850" s="434"/>
      <c r="F850" s="434"/>
      <c r="G850" s="434"/>
      <c r="H850" s="434"/>
      <c r="I850" s="434"/>
      <c r="J850" s="434"/>
      <c r="K850" s="434"/>
      <c r="L850" s="434"/>
      <c r="M850" s="434"/>
      <c r="N850" s="434"/>
      <c r="O850" s="434"/>
      <c r="P850" s="434"/>
      <c r="Q850" s="434"/>
      <c r="R850" s="434"/>
      <c r="S850" s="434"/>
      <c r="T850" s="434"/>
      <c r="U850" s="434"/>
      <c r="V850" s="434"/>
      <c r="W850" s="434"/>
      <c r="X850" s="434"/>
      <c r="Y850" s="434"/>
      <c r="Z850" s="434"/>
      <c r="AA850" s="434"/>
    </row>
    <row r="851" spans="1:27" ht="15.75" customHeight="1" x14ac:dyDescent="0.35">
      <c r="A851" s="434"/>
      <c r="B851" s="434"/>
      <c r="C851" s="434"/>
      <c r="D851" s="434"/>
      <c r="E851" s="434"/>
      <c r="F851" s="434"/>
      <c r="G851" s="434"/>
      <c r="H851" s="434"/>
      <c r="I851" s="434"/>
      <c r="J851" s="434"/>
      <c r="K851" s="434"/>
      <c r="L851" s="434"/>
      <c r="M851" s="434"/>
      <c r="N851" s="434"/>
      <c r="O851" s="434"/>
      <c r="P851" s="434"/>
      <c r="Q851" s="434"/>
      <c r="R851" s="434"/>
      <c r="S851" s="434"/>
      <c r="T851" s="434"/>
      <c r="U851" s="434"/>
      <c r="V851" s="434"/>
      <c r="W851" s="434"/>
      <c r="X851" s="434"/>
      <c r="Y851" s="434"/>
      <c r="Z851" s="434"/>
      <c r="AA851" s="434"/>
    </row>
    <row r="852" spans="1:27" ht="15.75" customHeight="1" x14ac:dyDescent="0.35">
      <c r="A852" s="434"/>
      <c r="B852" s="434"/>
      <c r="C852" s="434"/>
      <c r="D852" s="434"/>
      <c r="E852" s="434"/>
      <c r="F852" s="434"/>
      <c r="G852" s="434"/>
      <c r="H852" s="434"/>
      <c r="I852" s="434"/>
      <c r="J852" s="434"/>
      <c r="K852" s="434"/>
      <c r="L852" s="434"/>
      <c r="M852" s="434"/>
      <c r="N852" s="434"/>
      <c r="O852" s="434"/>
      <c r="P852" s="434"/>
      <c r="Q852" s="434"/>
      <c r="R852" s="434"/>
      <c r="S852" s="434"/>
      <c r="T852" s="434"/>
      <c r="U852" s="434"/>
      <c r="V852" s="434"/>
      <c r="W852" s="434"/>
      <c r="X852" s="434"/>
      <c r="Y852" s="434"/>
      <c r="Z852" s="434"/>
      <c r="AA852" s="434"/>
    </row>
    <row r="853" spans="1:27" ht="15.75" customHeight="1" x14ac:dyDescent="0.35">
      <c r="A853" s="434"/>
      <c r="B853" s="434"/>
      <c r="C853" s="434"/>
      <c r="D853" s="434"/>
      <c r="E853" s="434"/>
      <c r="F853" s="434"/>
      <c r="G853" s="434"/>
      <c r="H853" s="434"/>
      <c r="I853" s="434"/>
      <c r="J853" s="434"/>
      <c r="K853" s="434"/>
      <c r="L853" s="434"/>
      <c r="M853" s="434"/>
      <c r="N853" s="434"/>
      <c r="O853" s="434"/>
      <c r="P853" s="434"/>
      <c r="Q853" s="434"/>
      <c r="R853" s="434"/>
      <c r="S853" s="434"/>
      <c r="T853" s="434"/>
      <c r="U853" s="434"/>
      <c r="V853" s="434"/>
      <c r="W853" s="434"/>
      <c r="X853" s="434"/>
      <c r="Y853" s="434"/>
      <c r="Z853" s="434"/>
      <c r="AA853" s="434"/>
    </row>
    <row r="854" spans="1:27" ht="15.75" customHeight="1" x14ac:dyDescent="0.35">
      <c r="A854" s="434"/>
      <c r="B854" s="434"/>
      <c r="C854" s="434"/>
      <c r="D854" s="434"/>
      <c r="E854" s="434"/>
      <c r="F854" s="434"/>
      <c r="G854" s="434"/>
      <c r="H854" s="434"/>
      <c r="I854" s="434"/>
      <c r="J854" s="434"/>
      <c r="K854" s="434"/>
      <c r="L854" s="434"/>
      <c r="M854" s="434"/>
      <c r="N854" s="434"/>
      <c r="O854" s="434"/>
      <c r="P854" s="434"/>
      <c r="Q854" s="434"/>
      <c r="R854" s="434"/>
      <c r="S854" s="434"/>
      <c r="T854" s="434"/>
      <c r="U854" s="434"/>
      <c r="V854" s="434"/>
      <c r="W854" s="434"/>
      <c r="X854" s="434"/>
      <c r="Y854" s="434"/>
      <c r="Z854" s="434"/>
      <c r="AA854" s="434"/>
    </row>
    <row r="855" spans="1:27" ht="15.75" customHeight="1" x14ac:dyDescent="0.35">
      <c r="A855" s="434"/>
      <c r="B855" s="434"/>
      <c r="C855" s="434"/>
      <c r="D855" s="434"/>
      <c r="E855" s="434"/>
      <c r="F855" s="434"/>
      <c r="G855" s="434"/>
      <c r="H855" s="434"/>
      <c r="I855" s="434"/>
      <c r="J855" s="434"/>
      <c r="K855" s="434"/>
      <c r="L855" s="434"/>
      <c r="M855" s="434"/>
      <c r="N855" s="434"/>
      <c r="O855" s="434"/>
      <c r="P855" s="434"/>
      <c r="Q855" s="434"/>
      <c r="R855" s="434"/>
      <c r="S855" s="434"/>
      <c r="T855" s="434"/>
      <c r="U855" s="434"/>
      <c r="V855" s="434"/>
      <c r="W855" s="434"/>
      <c r="X855" s="434"/>
      <c r="Y855" s="434"/>
      <c r="Z855" s="434"/>
      <c r="AA855" s="434"/>
    </row>
    <row r="856" spans="1:27" ht="15.75" customHeight="1" x14ac:dyDescent="0.35">
      <c r="A856" s="434"/>
      <c r="B856" s="434"/>
      <c r="C856" s="434"/>
      <c r="D856" s="434"/>
      <c r="E856" s="434"/>
      <c r="F856" s="434"/>
      <c r="G856" s="434"/>
      <c r="H856" s="434"/>
      <c r="I856" s="434"/>
      <c r="J856" s="434"/>
      <c r="K856" s="434"/>
      <c r="L856" s="434"/>
      <c r="M856" s="434"/>
      <c r="N856" s="434"/>
      <c r="O856" s="434"/>
      <c r="P856" s="434"/>
      <c r="Q856" s="434"/>
      <c r="R856" s="434"/>
      <c r="S856" s="434"/>
      <c r="T856" s="434"/>
      <c r="U856" s="434"/>
      <c r="V856" s="434"/>
      <c r="W856" s="434"/>
      <c r="X856" s="434"/>
      <c r="Y856" s="434"/>
      <c r="Z856" s="434"/>
      <c r="AA856" s="434"/>
    </row>
    <row r="857" spans="1:27" ht="15.75" customHeight="1" x14ac:dyDescent="0.35">
      <c r="A857" s="434"/>
      <c r="B857" s="434"/>
      <c r="C857" s="434"/>
      <c r="D857" s="434"/>
      <c r="E857" s="434"/>
      <c r="F857" s="434"/>
      <c r="G857" s="434"/>
      <c r="H857" s="434"/>
      <c r="I857" s="434"/>
      <c r="J857" s="434"/>
      <c r="K857" s="434"/>
      <c r="L857" s="434"/>
      <c r="M857" s="434"/>
      <c r="N857" s="434"/>
      <c r="O857" s="434"/>
      <c r="P857" s="434"/>
      <c r="Q857" s="434"/>
      <c r="R857" s="434"/>
      <c r="S857" s="434"/>
      <c r="T857" s="434"/>
      <c r="U857" s="434"/>
      <c r="V857" s="434"/>
      <c r="W857" s="434"/>
      <c r="X857" s="434"/>
      <c r="Y857" s="434"/>
      <c r="Z857" s="434"/>
      <c r="AA857" s="434"/>
    </row>
    <row r="858" spans="1:27" ht="15.75" customHeight="1" x14ac:dyDescent="0.35">
      <c r="A858" s="434"/>
      <c r="B858" s="434"/>
      <c r="C858" s="434"/>
      <c r="D858" s="434"/>
      <c r="E858" s="434"/>
      <c r="F858" s="434"/>
      <c r="G858" s="434"/>
      <c r="H858" s="434"/>
      <c r="I858" s="434"/>
      <c r="J858" s="434"/>
      <c r="K858" s="434"/>
      <c r="L858" s="434"/>
      <c r="M858" s="434"/>
      <c r="N858" s="434"/>
      <c r="O858" s="434"/>
      <c r="P858" s="434"/>
      <c r="Q858" s="434"/>
      <c r="R858" s="434"/>
      <c r="S858" s="434"/>
      <c r="T858" s="434"/>
      <c r="U858" s="434"/>
      <c r="V858" s="434"/>
      <c r="W858" s="434"/>
      <c r="X858" s="434"/>
      <c r="Y858" s="434"/>
      <c r="Z858" s="434"/>
      <c r="AA858" s="434"/>
    </row>
    <row r="859" spans="1:27" ht="15.75" customHeight="1" x14ac:dyDescent="0.35">
      <c r="A859" s="434"/>
      <c r="B859" s="434"/>
      <c r="C859" s="434"/>
      <c r="D859" s="434"/>
      <c r="E859" s="434"/>
      <c r="F859" s="434"/>
      <c r="G859" s="434"/>
      <c r="H859" s="434"/>
      <c r="I859" s="434"/>
      <c r="J859" s="434"/>
      <c r="K859" s="434"/>
      <c r="L859" s="434"/>
      <c r="M859" s="434"/>
      <c r="N859" s="434"/>
      <c r="O859" s="434"/>
      <c r="P859" s="434"/>
      <c r="Q859" s="434"/>
      <c r="R859" s="434"/>
      <c r="S859" s="434"/>
      <c r="T859" s="434"/>
      <c r="U859" s="434"/>
      <c r="V859" s="434"/>
      <c r="W859" s="434"/>
      <c r="X859" s="434"/>
      <c r="Y859" s="434"/>
      <c r="Z859" s="434"/>
      <c r="AA859" s="434"/>
    </row>
    <row r="860" spans="1:27" ht="15.75" customHeight="1" x14ac:dyDescent="0.35">
      <c r="A860" s="434"/>
      <c r="B860" s="434"/>
      <c r="C860" s="434"/>
      <c r="D860" s="434"/>
      <c r="E860" s="434"/>
      <c r="F860" s="434"/>
      <c r="G860" s="434"/>
      <c r="H860" s="434"/>
      <c r="I860" s="434"/>
      <c r="J860" s="434"/>
      <c r="K860" s="434"/>
      <c r="L860" s="434"/>
      <c r="M860" s="434"/>
      <c r="N860" s="434"/>
      <c r="O860" s="434"/>
      <c r="P860" s="434"/>
      <c r="Q860" s="434"/>
      <c r="R860" s="434"/>
      <c r="S860" s="434"/>
      <c r="T860" s="434"/>
      <c r="U860" s="434"/>
      <c r="V860" s="434"/>
      <c r="W860" s="434"/>
      <c r="X860" s="434"/>
      <c r="Y860" s="434"/>
      <c r="Z860" s="434"/>
      <c r="AA860" s="434"/>
    </row>
    <row r="861" spans="1:27" ht="15.75" customHeight="1" x14ac:dyDescent="0.35">
      <c r="A861" s="434"/>
      <c r="B861" s="434"/>
      <c r="C861" s="434"/>
      <c r="D861" s="434"/>
      <c r="E861" s="434"/>
      <c r="F861" s="434"/>
      <c r="G861" s="434"/>
      <c r="H861" s="434"/>
      <c r="I861" s="434"/>
      <c r="J861" s="434"/>
      <c r="K861" s="434"/>
      <c r="L861" s="434"/>
      <c r="M861" s="434"/>
      <c r="N861" s="434"/>
      <c r="O861" s="434"/>
      <c r="P861" s="434"/>
      <c r="Q861" s="434"/>
      <c r="R861" s="434"/>
      <c r="S861" s="434"/>
      <c r="T861" s="434"/>
      <c r="U861" s="434"/>
      <c r="V861" s="434"/>
      <c r="W861" s="434"/>
      <c r="X861" s="434"/>
      <c r="Y861" s="434"/>
      <c r="Z861" s="434"/>
      <c r="AA861" s="434"/>
    </row>
    <row r="862" spans="1:27" ht="15.75" customHeight="1" x14ac:dyDescent="0.35">
      <c r="A862" s="434"/>
      <c r="B862" s="434"/>
      <c r="C862" s="434"/>
      <c r="D862" s="434"/>
      <c r="E862" s="434"/>
      <c r="F862" s="434"/>
      <c r="G862" s="434"/>
      <c r="H862" s="434"/>
      <c r="I862" s="434"/>
      <c r="J862" s="434"/>
      <c r="K862" s="434"/>
      <c r="L862" s="434"/>
      <c r="M862" s="434"/>
      <c r="N862" s="434"/>
      <c r="O862" s="434"/>
      <c r="P862" s="434"/>
      <c r="Q862" s="434"/>
      <c r="R862" s="434"/>
      <c r="S862" s="434"/>
      <c r="T862" s="434"/>
      <c r="U862" s="434"/>
      <c r="V862" s="434"/>
      <c r="W862" s="434"/>
      <c r="X862" s="434"/>
      <c r="Y862" s="434"/>
      <c r="Z862" s="434"/>
      <c r="AA862" s="434"/>
    </row>
    <row r="863" spans="1:27" ht="15.75" customHeight="1" x14ac:dyDescent="0.35">
      <c r="A863" s="434"/>
      <c r="B863" s="434"/>
      <c r="C863" s="434"/>
      <c r="D863" s="434"/>
      <c r="E863" s="434"/>
      <c r="F863" s="434"/>
      <c r="G863" s="434"/>
      <c r="H863" s="434"/>
      <c r="I863" s="434"/>
      <c r="J863" s="434"/>
      <c r="K863" s="434"/>
      <c r="L863" s="434"/>
      <c r="M863" s="434"/>
      <c r="N863" s="434"/>
      <c r="O863" s="434"/>
      <c r="P863" s="434"/>
      <c r="Q863" s="434"/>
      <c r="R863" s="434"/>
      <c r="S863" s="434"/>
      <c r="T863" s="434"/>
      <c r="U863" s="434"/>
      <c r="V863" s="434"/>
      <c r="W863" s="434"/>
      <c r="X863" s="434"/>
      <c r="Y863" s="434"/>
      <c r="Z863" s="434"/>
      <c r="AA863" s="434"/>
    </row>
    <row r="864" spans="1:27" ht="15.75" customHeight="1" x14ac:dyDescent="0.35">
      <c r="A864" s="434"/>
      <c r="B864" s="434"/>
      <c r="C864" s="434"/>
      <c r="D864" s="434"/>
      <c r="E864" s="434"/>
      <c r="F864" s="434"/>
      <c r="G864" s="434"/>
      <c r="H864" s="434"/>
      <c r="I864" s="434"/>
      <c r="J864" s="434"/>
      <c r="K864" s="434"/>
      <c r="L864" s="434"/>
      <c r="M864" s="434"/>
      <c r="N864" s="434"/>
      <c r="O864" s="434"/>
      <c r="P864" s="434"/>
      <c r="Q864" s="434"/>
      <c r="R864" s="434"/>
      <c r="S864" s="434"/>
      <c r="T864" s="434"/>
      <c r="U864" s="434"/>
      <c r="V864" s="434"/>
      <c r="W864" s="434"/>
      <c r="X864" s="434"/>
      <c r="Y864" s="434"/>
      <c r="Z864" s="434"/>
      <c r="AA864" s="434"/>
    </row>
    <row r="865" spans="1:27" ht="15.75" customHeight="1" x14ac:dyDescent="0.35">
      <c r="A865" s="434"/>
      <c r="B865" s="434"/>
      <c r="C865" s="434"/>
      <c r="D865" s="434"/>
      <c r="E865" s="434"/>
      <c r="F865" s="434"/>
      <c r="G865" s="434"/>
      <c r="H865" s="434"/>
      <c r="I865" s="434"/>
      <c r="J865" s="434"/>
      <c r="K865" s="434"/>
      <c r="L865" s="434"/>
      <c r="M865" s="434"/>
      <c r="N865" s="434"/>
      <c r="O865" s="434"/>
      <c r="P865" s="434"/>
      <c r="Q865" s="434"/>
      <c r="R865" s="434"/>
      <c r="S865" s="434"/>
      <c r="T865" s="434"/>
      <c r="U865" s="434"/>
      <c r="V865" s="434"/>
      <c r="W865" s="434"/>
      <c r="X865" s="434"/>
      <c r="Y865" s="434"/>
      <c r="Z865" s="434"/>
      <c r="AA865" s="434"/>
    </row>
    <row r="866" spans="1:27" ht="15.75" customHeight="1" x14ac:dyDescent="0.35">
      <c r="A866" s="434"/>
      <c r="B866" s="434"/>
      <c r="C866" s="434"/>
      <c r="D866" s="434"/>
      <c r="E866" s="434"/>
      <c r="F866" s="434"/>
      <c r="G866" s="434"/>
      <c r="H866" s="434"/>
      <c r="I866" s="434"/>
      <c r="J866" s="434"/>
      <c r="K866" s="434"/>
      <c r="L866" s="434"/>
      <c r="M866" s="434"/>
      <c r="N866" s="434"/>
      <c r="O866" s="434"/>
      <c r="P866" s="434"/>
      <c r="Q866" s="434"/>
      <c r="R866" s="434"/>
      <c r="S866" s="434"/>
      <c r="T866" s="434"/>
      <c r="U866" s="434"/>
      <c r="V866" s="434"/>
      <c r="W866" s="434"/>
      <c r="X866" s="434"/>
      <c r="Y866" s="434"/>
      <c r="Z866" s="434"/>
      <c r="AA866" s="434"/>
    </row>
    <row r="867" spans="1:27" ht="15.75" customHeight="1" x14ac:dyDescent="0.35">
      <c r="A867" s="434"/>
      <c r="B867" s="434"/>
      <c r="C867" s="434"/>
      <c r="D867" s="434"/>
      <c r="E867" s="434"/>
      <c r="F867" s="434"/>
      <c r="G867" s="434"/>
      <c r="H867" s="434"/>
      <c r="I867" s="434"/>
      <c r="J867" s="434"/>
      <c r="K867" s="434"/>
      <c r="L867" s="434"/>
      <c r="M867" s="434"/>
      <c r="N867" s="434"/>
      <c r="O867" s="434"/>
      <c r="P867" s="434"/>
      <c r="Q867" s="434"/>
      <c r="R867" s="434"/>
      <c r="S867" s="434"/>
      <c r="T867" s="434"/>
      <c r="U867" s="434"/>
      <c r="V867" s="434"/>
      <c r="W867" s="434"/>
      <c r="X867" s="434"/>
      <c r="Y867" s="434"/>
      <c r="Z867" s="434"/>
      <c r="AA867" s="434"/>
    </row>
    <row r="868" spans="1:27" ht="15.75" customHeight="1" x14ac:dyDescent="0.35">
      <c r="A868" s="434"/>
      <c r="B868" s="434"/>
      <c r="C868" s="434"/>
      <c r="D868" s="434"/>
      <c r="E868" s="434"/>
      <c r="F868" s="434"/>
      <c r="G868" s="434"/>
      <c r="H868" s="434"/>
      <c r="I868" s="434"/>
      <c r="J868" s="434"/>
      <c r="K868" s="434"/>
      <c r="L868" s="434"/>
      <c r="M868" s="434"/>
      <c r="N868" s="434"/>
      <c r="O868" s="434"/>
      <c r="P868" s="434"/>
      <c r="Q868" s="434"/>
      <c r="R868" s="434"/>
      <c r="S868" s="434"/>
      <c r="T868" s="434"/>
      <c r="U868" s="434"/>
      <c r="V868" s="434"/>
      <c r="W868" s="434"/>
      <c r="X868" s="434"/>
      <c r="Y868" s="434"/>
      <c r="Z868" s="434"/>
      <c r="AA868" s="434"/>
    </row>
    <row r="869" spans="1:27" ht="15.75" customHeight="1" x14ac:dyDescent="0.35">
      <c r="A869" s="434"/>
      <c r="B869" s="434"/>
      <c r="C869" s="434"/>
      <c r="D869" s="434"/>
      <c r="E869" s="434"/>
      <c r="F869" s="434"/>
      <c r="G869" s="434"/>
      <c r="H869" s="434"/>
      <c r="I869" s="434"/>
      <c r="J869" s="434"/>
      <c r="K869" s="434"/>
      <c r="L869" s="434"/>
      <c r="M869" s="434"/>
      <c r="N869" s="434"/>
      <c r="O869" s="434"/>
      <c r="P869" s="434"/>
      <c r="Q869" s="434"/>
      <c r="R869" s="434"/>
      <c r="S869" s="434"/>
      <c r="T869" s="434"/>
      <c r="U869" s="434"/>
      <c r="V869" s="434"/>
      <c r="W869" s="434"/>
      <c r="X869" s="434"/>
      <c r="Y869" s="434"/>
      <c r="Z869" s="434"/>
      <c r="AA869" s="434"/>
    </row>
    <row r="870" spans="1:27" ht="15.75" customHeight="1" x14ac:dyDescent="0.35">
      <c r="A870" s="434"/>
      <c r="B870" s="434"/>
      <c r="C870" s="434"/>
      <c r="D870" s="434"/>
      <c r="E870" s="434"/>
      <c r="F870" s="434"/>
      <c r="G870" s="434"/>
      <c r="H870" s="434"/>
      <c r="I870" s="434"/>
      <c r="J870" s="434"/>
      <c r="K870" s="434"/>
      <c r="L870" s="434"/>
      <c r="M870" s="434"/>
      <c r="N870" s="434"/>
      <c r="O870" s="434"/>
      <c r="P870" s="434"/>
      <c r="Q870" s="434"/>
      <c r="R870" s="434"/>
      <c r="S870" s="434"/>
      <c r="T870" s="434"/>
      <c r="U870" s="434"/>
      <c r="V870" s="434"/>
      <c r="W870" s="434"/>
      <c r="X870" s="434"/>
      <c r="Y870" s="434"/>
      <c r="Z870" s="434"/>
      <c r="AA870" s="434"/>
    </row>
    <row r="871" spans="1:27" ht="15.75" customHeight="1" x14ac:dyDescent="0.35">
      <c r="A871" s="434"/>
      <c r="B871" s="434"/>
      <c r="C871" s="434"/>
      <c r="D871" s="434"/>
      <c r="E871" s="434"/>
      <c r="F871" s="434"/>
      <c r="G871" s="434"/>
      <c r="H871" s="434"/>
      <c r="I871" s="434"/>
      <c r="J871" s="434"/>
      <c r="K871" s="434"/>
      <c r="L871" s="434"/>
      <c r="M871" s="434"/>
      <c r="N871" s="434"/>
      <c r="O871" s="434"/>
      <c r="P871" s="434"/>
      <c r="Q871" s="434"/>
      <c r="R871" s="434"/>
      <c r="S871" s="434"/>
      <c r="T871" s="434"/>
      <c r="U871" s="434"/>
      <c r="V871" s="434"/>
      <c r="W871" s="434"/>
      <c r="X871" s="434"/>
      <c r="Y871" s="434"/>
      <c r="Z871" s="434"/>
      <c r="AA871" s="434"/>
    </row>
    <row r="872" spans="1:27" ht="15.75" customHeight="1" x14ac:dyDescent="0.35">
      <c r="A872" s="434"/>
      <c r="B872" s="434"/>
      <c r="C872" s="434"/>
      <c r="D872" s="434"/>
      <c r="E872" s="434"/>
      <c r="F872" s="434"/>
      <c r="G872" s="434"/>
      <c r="H872" s="434"/>
      <c r="I872" s="434"/>
      <c r="J872" s="434"/>
      <c r="K872" s="434"/>
      <c r="L872" s="434"/>
      <c r="M872" s="434"/>
      <c r="N872" s="434"/>
      <c r="O872" s="434"/>
      <c r="P872" s="434"/>
      <c r="Q872" s="434"/>
      <c r="R872" s="434"/>
      <c r="S872" s="434"/>
      <c r="T872" s="434"/>
      <c r="U872" s="434"/>
      <c r="V872" s="434"/>
      <c r="W872" s="434"/>
      <c r="X872" s="434"/>
      <c r="Y872" s="434"/>
      <c r="Z872" s="434"/>
      <c r="AA872" s="434"/>
    </row>
    <row r="873" spans="1:27" ht="15.75" customHeight="1" x14ac:dyDescent="0.35">
      <c r="A873" s="434"/>
      <c r="B873" s="434"/>
      <c r="C873" s="434"/>
      <c r="D873" s="434"/>
      <c r="E873" s="434"/>
      <c r="F873" s="434"/>
      <c r="G873" s="434"/>
      <c r="H873" s="434"/>
      <c r="I873" s="434"/>
      <c r="J873" s="434"/>
      <c r="K873" s="434"/>
      <c r="L873" s="434"/>
      <c r="M873" s="434"/>
      <c r="N873" s="434"/>
      <c r="O873" s="434"/>
      <c r="P873" s="434"/>
      <c r="Q873" s="434"/>
      <c r="R873" s="434"/>
      <c r="S873" s="434"/>
      <c r="T873" s="434"/>
      <c r="U873" s="434"/>
      <c r="V873" s="434"/>
      <c r="W873" s="434"/>
      <c r="X873" s="434"/>
      <c r="Y873" s="434"/>
      <c r="Z873" s="434"/>
      <c r="AA873" s="434"/>
    </row>
    <row r="874" spans="1:27" ht="15.75" customHeight="1" x14ac:dyDescent="0.35">
      <c r="A874" s="434"/>
      <c r="B874" s="434"/>
      <c r="C874" s="434"/>
      <c r="D874" s="434"/>
      <c r="E874" s="434"/>
      <c r="F874" s="434"/>
      <c r="G874" s="434"/>
      <c r="H874" s="434"/>
      <c r="I874" s="434"/>
      <c r="J874" s="434"/>
      <c r="K874" s="434"/>
      <c r="L874" s="434"/>
      <c r="M874" s="434"/>
      <c r="N874" s="434"/>
      <c r="O874" s="434"/>
      <c r="P874" s="434"/>
      <c r="Q874" s="434"/>
      <c r="R874" s="434"/>
      <c r="S874" s="434"/>
      <c r="T874" s="434"/>
      <c r="U874" s="434"/>
      <c r="V874" s="434"/>
      <c r="W874" s="434"/>
      <c r="X874" s="434"/>
      <c r="Y874" s="434"/>
      <c r="Z874" s="434"/>
      <c r="AA874" s="434"/>
    </row>
    <row r="875" spans="1:27" ht="15.75" customHeight="1" x14ac:dyDescent="0.35">
      <c r="A875" s="434"/>
      <c r="B875" s="434"/>
      <c r="C875" s="434"/>
      <c r="D875" s="434"/>
      <c r="E875" s="434"/>
      <c r="F875" s="434"/>
      <c r="G875" s="434"/>
      <c r="H875" s="434"/>
      <c r="I875" s="434"/>
      <c r="J875" s="434"/>
      <c r="K875" s="434"/>
      <c r="L875" s="434"/>
      <c r="M875" s="434"/>
      <c r="N875" s="434"/>
      <c r="O875" s="434"/>
      <c r="P875" s="434"/>
      <c r="Q875" s="434"/>
      <c r="R875" s="434"/>
      <c r="S875" s="434"/>
      <c r="T875" s="434"/>
      <c r="U875" s="434"/>
      <c r="V875" s="434"/>
      <c r="W875" s="434"/>
      <c r="X875" s="434"/>
      <c r="Y875" s="434"/>
      <c r="Z875" s="434"/>
      <c r="AA875" s="434"/>
    </row>
    <row r="876" spans="1:27" ht="15.75" customHeight="1" x14ac:dyDescent="0.35">
      <c r="A876" s="434"/>
      <c r="B876" s="434"/>
      <c r="C876" s="434"/>
      <c r="D876" s="434"/>
      <c r="E876" s="434"/>
      <c r="F876" s="434"/>
      <c r="G876" s="434"/>
      <c r="H876" s="434"/>
      <c r="I876" s="434"/>
      <c r="J876" s="434"/>
      <c r="K876" s="434"/>
      <c r="L876" s="434"/>
      <c r="M876" s="434"/>
      <c r="N876" s="434"/>
      <c r="O876" s="434"/>
      <c r="P876" s="434"/>
      <c r="Q876" s="434"/>
      <c r="R876" s="434"/>
      <c r="S876" s="434"/>
      <c r="T876" s="434"/>
      <c r="U876" s="434"/>
      <c r="V876" s="434"/>
      <c r="W876" s="434"/>
      <c r="X876" s="434"/>
      <c r="Y876" s="434"/>
      <c r="Z876" s="434"/>
      <c r="AA876" s="434"/>
    </row>
    <row r="877" spans="1:27" ht="15.75" customHeight="1" x14ac:dyDescent="0.35">
      <c r="A877" s="434"/>
      <c r="B877" s="434"/>
      <c r="C877" s="434"/>
      <c r="D877" s="434"/>
      <c r="E877" s="434"/>
      <c r="F877" s="434"/>
      <c r="G877" s="434"/>
      <c r="H877" s="434"/>
      <c r="I877" s="434"/>
      <c r="J877" s="434"/>
      <c r="K877" s="434"/>
      <c r="L877" s="434"/>
      <c r="M877" s="434"/>
      <c r="N877" s="434"/>
      <c r="O877" s="434"/>
      <c r="P877" s="434"/>
      <c r="Q877" s="434"/>
      <c r="R877" s="434"/>
      <c r="S877" s="434"/>
      <c r="T877" s="434"/>
      <c r="U877" s="434"/>
      <c r="V877" s="434"/>
      <c r="W877" s="434"/>
      <c r="X877" s="434"/>
      <c r="Y877" s="434"/>
      <c r="Z877" s="434"/>
      <c r="AA877" s="434"/>
    </row>
    <row r="878" spans="1:27" ht="15.75" customHeight="1" x14ac:dyDescent="0.35">
      <c r="A878" s="434"/>
      <c r="B878" s="434"/>
      <c r="C878" s="434"/>
      <c r="D878" s="434"/>
      <c r="E878" s="434"/>
      <c r="F878" s="434"/>
      <c r="G878" s="434"/>
      <c r="H878" s="434"/>
      <c r="I878" s="434"/>
      <c r="J878" s="434"/>
      <c r="K878" s="434"/>
      <c r="L878" s="434"/>
      <c r="M878" s="434"/>
      <c r="N878" s="434"/>
      <c r="O878" s="434"/>
      <c r="P878" s="434"/>
      <c r="Q878" s="434"/>
      <c r="R878" s="434"/>
      <c r="S878" s="434"/>
      <c r="T878" s="434"/>
      <c r="U878" s="434"/>
      <c r="V878" s="434"/>
      <c r="W878" s="434"/>
      <c r="X878" s="434"/>
      <c r="Y878" s="434"/>
      <c r="Z878" s="434"/>
      <c r="AA878" s="434"/>
    </row>
    <row r="879" spans="1:27" ht="15.75" customHeight="1" x14ac:dyDescent="0.35">
      <c r="A879" s="434"/>
      <c r="B879" s="434"/>
      <c r="C879" s="434"/>
      <c r="D879" s="434"/>
      <c r="E879" s="434"/>
      <c r="F879" s="434"/>
      <c r="G879" s="434"/>
      <c r="H879" s="434"/>
      <c r="I879" s="434"/>
      <c r="J879" s="434"/>
      <c r="K879" s="434"/>
      <c r="L879" s="434"/>
      <c r="M879" s="434"/>
      <c r="N879" s="434"/>
      <c r="O879" s="434"/>
      <c r="P879" s="434"/>
      <c r="Q879" s="434"/>
      <c r="R879" s="434"/>
      <c r="S879" s="434"/>
      <c r="T879" s="434"/>
      <c r="U879" s="434"/>
      <c r="V879" s="434"/>
      <c r="W879" s="434"/>
      <c r="X879" s="434"/>
      <c r="Y879" s="434"/>
      <c r="Z879" s="434"/>
      <c r="AA879" s="434"/>
    </row>
    <row r="880" spans="1:27" ht="15.75" customHeight="1" x14ac:dyDescent="0.35">
      <c r="A880" s="434"/>
      <c r="B880" s="434"/>
      <c r="C880" s="434"/>
      <c r="D880" s="434"/>
      <c r="E880" s="434"/>
      <c r="F880" s="434"/>
      <c r="G880" s="434"/>
      <c r="H880" s="434"/>
      <c r="I880" s="434"/>
      <c r="J880" s="434"/>
      <c r="K880" s="434"/>
      <c r="L880" s="434"/>
      <c r="M880" s="434"/>
      <c r="N880" s="434"/>
      <c r="O880" s="434"/>
      <c r="P880" s="434"/>
      <c r="Q880" s="434"/>
      <c r="R880" s="434"/>
      <c r="S880" s="434"/>
      <c r="T880" s="434"/>
      <c r="U880" s="434"/>
      <c r="V880" s="434"/>
      <c r="W880" s="434"/>
      <c r="X880" s="434"/>
      <c r="Y880" s="434"/>
      <c r="Z880" s="434"/>
      <c r="AA880" s="434"/>
    </row>
    <row r="881" spans="1:27" ht="15.75" customHeight="1" x14ac:dyDescent="0.35">
      <c r="A881" s="434"/>
      <c r="B881" s="434"/>
      <c r="C881" s="434"/>
      <c r="D881" s="434"/>
      <c r="E881" s="434"/>
      <c r="F881" s="434"/>
      <c r="G881" s="434"/>
      <c r="H881" s="434"/>
      <c r="I881" s="434"/>
      <c r="J881" s="434"/>
      <c r="K881" s="434"/>
      <c r="L881" s="434"/>
      <c r="M881" s="434"/>
      <c r="N881" s="434"/>
      <c r="O881" s="434"/>
      <c r="P881" s="434"/>
      <c r="Q881" s="434"/>
      <c r="R881" s="434"/>
      <c r="S881" s="434"/>
      <c r="T881" s="434"/>
      <c r="U881" s="434"/>
      <c r="V881" s="434"/>
      <c r="W881" s="434"/>
      <c r="X881" s="434"/>
      <c r="Y881" s="434"/>
      <c r="Z881" s="434"/>
      <c r="AA881" s="434"/>
    </row>
    <row r="882" spans="1:27" ht="15.75" customHeight="1" x14ac:dyDescent="0.35">
      <c r="A882" s="434"/>
      <c r="B882" s="434"/>
      <c r="C882" s="434"/>
      <c r="D882" s="434"/>
      <c r="E882" s="434"/>
      <c r="F882" s="434"/>
      <c r="G882" s="434"/>
      <c r="H882" s="434"/>
      <c r="I882" s="434"/>
      <c r="J882" s="434"/>
      <c r="K882" s="434"/>
      <c r="L882" s="434"/>
      <c r="M882" s="434"/>
      <c r="N882" s="434"/>
      <c r="O882" s="434"/>
      <c r="P882" s="434"/>
      <c r="Q882" s="434"/>
      <c r="R882" s="434"/>
      <c r="S882" s="434"/>
      <c r="T882" s="434"/>
      <c r="U882" s="434"/>
      <c r="V882" s="434"/>
      <c r="W882" s="434"/>
      <c r="X882" s="434"/>
      <c r="Y882" s="434"/>
      <c r="Z882" s="434"/>
      <c r="AA882" s="434"/>
    </row>
    <row r="883" spans="1:27" ht="15.75" customHeight="1" x14ac:dyDescent="0.35">
      <c r="A883" s="434"/>
      <c r="B883" s="434"/>
      <c r="C883" s="434"/>
      <c r="D883" s="434"/>
      <c r="E883" s="434"/>
      <c r="F883" s="434"/>
      <c r="G883" s="434"/>
      <c r="H883" s="434"/>
      <c r="I883" s="434"/>
      <c r="J883" s="434"/>
      <c r="K883" s="434"/>
      <c r="L883" s="434"/>
      <c r="M883" s="434"/>
      <c r="N883" s="434"/>
      <c r="O883" s="434"/>
      <c r="P883" s="434"/>
      <c r="Q883" s="434"/>
      <c r="R883" s="434"/>
      <c r="S883" s="434"/>
      <c r="T883" s="434"/>
      <c r="U883" s="434"/>
      <c r="V883" s="434"/>
      <c r="W883" s="434"/>
      <c r="X883" s="434"/>
      <c r="Y883" s="434"/>
      <c r="Z883" s="434"/>
      <c r="AA883" s="434"/>
    </row>
    <row r="884" spans="1:27" ht="15.75" customHeight="1" x14ac:dyDescent="0.35">
      <c r="A884" s="434"/>
      <c r="B884" s="434"/>
      <c r="C884" s="434"/>
      <c r="D884" s="434"/>
      <c r="E884" s="434"/>
      <c r="F884" s="434"/>
      <c r="G884" s="434"/>
      <c r="H884" s="434"/>
      <c r="I884" s="434"/>
      <c r="J884" s="434"/>
      <c r="K884" s="434"/>
      <c r="L884" s="434"/>
      <c r="M884" s="434"/>
      <c r="N884" s="434"/>
      <c r="O884" s="434"/>
      <c r="P884" s="434"/>
      <c r="Q884" s="434"/>
      <c r="R884" s="434"/>
      <c r="S884" s="434"/>
      <c r="T884" s="434"/>
      <c r="U884" s="434"/>
      <c r="V884" s="434"/>
      <c r="W884" s="434"/>
      <c r="X884" s="434"/>
      <c r="Y884" s="434"/>
      <c r="Z884" s="434"/>
      <c r="AA884" s="434"/>
    </row>
    <row r="885" spans="1:27" ht="15.75" customHeight="1" x14ac:dyDescent="0.35">
      <c r="A885" s="434"/>
      <c r="B885" s="434"/>
      <c r="C885" s="434"/>
      <c r="D885" s="434"/>
      <c r="E885" s="434"/>
      <c r="F885" s="434"/>
      <c r="G885" s="434"/>
      <c r="H885" s="434"/>
      <c r="I885" s="434"/>
      <c r="J885" s="434"/>
      <c r="K885" s="434"/>
      <c r="L885" s="434"/>
      <c r="M885" s="434"/>
      <c r="N885" s="434"/>
      <c r="O885" s="434"/>
      <c r="P885" s="434"/>
      <c r="Q885" s="434"/>
      <c r="R885" s="434"/>
      <c r="S885" s="434"/>
      <c r="T885" s="434"/>
      <c r="U885" s="434"/>
      <c r="V885" s="434"/>
      <c r="W885" s="434"/>
      <c r="X885" s="434"/>
      <c r="Y885" s="434"/>
      <c r="Z885" s="434"/>
      <c r="AA885" s="434"/>
    </row>
    <row r="886" spans="1:27" ht="15.75" customHeight="1" x14ac:dyDescent="0.35">
      <c r="A886" s="434"/>
      <c r="B886" s="434"/>
      <c r="C886" s="434"/>
      <c r="D886" s="434"/>
      <c r="E886" s="434"/>
      <c r="F886" s="434"/>
      <c r="G886" s="434"/>
      <c r="H886" s="434"/>
      <c r="I886" s="434"/>
      <c r="J886" s="434"/>
      <c r="K886" s="434"/>
      <c r="L886" s="434"/>
      <c r="M886" s="434"/>
      <c r="N886" s="434"/>
      <c r="O886" s="434"/>
      <c r="P886" s="434"/>
      <c r="Q886" s="434"/>
      <c r="R886" s="434"/>
      <c r="S886" s="434"/>
      <c r="T886" s="434"/>
      <c r="U886" s="434"/>
      <c r="V886" s="434"/>
      <c r="W886" s="434"/>
      <c r="X886" s="434"/>
      <c r="Y886" s="434"/>
      <c r="Z886" s="434"/>
      <c r="AA886" s="434"/>
    </row>
    <row r="887" spans="1:27" ht="15.75" customHeight="1" x14ac:dyDescent="0.35">
      <c r="A887" s="434"/>
      <c r="B887" s="434"/>
      <c r="C887" s="434"/>
      <c r="D887" s="434"/>
      <c r="E887" s="434"/>
      <c r="F887" s="434"/>
      <c r="G887" s="434"/>
      <c r="H887" s="434"/>
      <c r="I887" s="434"/>
      <c r="J887" s="434"/>
      <c r="K887" s="434"/>
      <c r="L887" s="434"/>
      <c r="M887" s="434"/>
      <c r="N887" s="434"/>
      <c r="O887" s="434"/>
      <c r="P887" s="434"/>
      <c r="Q887" s="434"/>
      <c r="R887" s="434"/>
      <c r="S887" s="434"/>
      <c r="T887" s="434"/>
      <c r="U887" s="434"/>
      <c r="V887" s="434"/>
      <c r="W887" s="434"/>
      <c r="X887" s="434"/>
      <c r="Y887" s="434"/>
      <c r="Z887" s="434"/>
      <c r="AA887" s="434"/>
    </row>
    <row r="888" spans="1:27" ht="15.75" customHeight="1" x14ac:dyDescent="0.35">
      <c r="A888" s="434"/>
      <c r="B888" s="434"/>
      <c r="C888" s="434"/>
      <c r="D888" s="434"/>
      <c r="E888" s="434"/>
      <c r="F888" s="434"/>
      <c r="G888" s="434"/>
      <c r="H888" s="434"/>
      <c r="I888" s="434"/>
      <c r="J888" s="434"/>
      <c r="K888" s="434"/>
      <c r="L888" s="434"/>
      <c r="M888" s="434"/>
      <c r="N888" s="434"/>
      <c r="O888" s="434"/>
      <c r="P888" s="434"/>
      <c r="Q888" s="434"/>
      <c r="R888" s="434"/>
      <c r="S888" s="434"/>
      <c r="T888" s="434"/>
      <c r="U888" s="434"/>
      <c r="V888" s="434"/>
      <c r="W888" s="434"/>
      <c r="X888" s="434"/>
      <c r="Y888" s="434"/>
      <c r="Z888" s="434"/>
      <c r="AA888" s="434"/>
    </row>
    <row r="889" spans="1:27" ht="15.75" customHeight="1" x14ac:dyDescent="0.35">
      <c r="A889" s="434"/>
      <c r="B889" s="434"/>
      <c r="C889" s="434"/>
      <c r="D889" s="434"/>
      <c r="E889" s="434"/>
      <c r="F889" s="434"/>
      <c r="G889" s="434"/>
      <c r="H889" s="434"/>
      <c r="I889" s="434"/>
      <c r="J889" s="434"/>
      <c r="K889" s="434"/>
      <c r="L889" s="434"/>
      <c r="M889" s="434"/>
      <c r="N889" s="434"/>
      <c r="O889" s="434"/>
      <c r="P889" s="434"/>
      <c r="Q889" s="434"/>
      <c r="R889" s="434"/>
      <c r="S889" s="434"/>
      <c r="T889" s="434"/>
      <c r="U889" s="434"/>
      <c r="V889" s="434"/>
      <c r="W889" s="434"/>
      <c r="X889" s="434"/>
      <c r="Y889" s="434"/>
      <c r="Z889" s="434"/>
      <c r="AA889" s="434"/>
    </row>
    <row r="890" spans="1:27" ht="15.75" customHeight="1" x14ac:dyDescent="0.35">
      <c r="A890" s="434"/>
      <c r="B890" s="434"/>
      <c r="C890" s="434"/>
      <c r="D890" s="434"/>
      <c r="E890" s="434"/>
      <c r="F890" s="434"/>
      <c r="G890" s="434"/>
      <c r="H890" s="434"/>
      <c r="I890" s="434"/>
      <c r="J890" s="434"/>
      <c r="K890" s="434"/>
      <c r="L890" s="434"/>
      <c r="M890" s="434"/>
      <c r="N890" s="434"/>
      <c r="O890" s="434"/>
      <c r="P890" s="434"/>
      <c r="Q890" s="434"/>
      <c r="R890" s="434"/>
      <c r="S890" s="434"/>
      <c r="T890" s="434"/>
      <c r="U890" s="434"/>
      <c r="V890" s="434"/>
      <c r="W890" s="434"/>
      <c r="X890" s="434"/>
      <c r="Y890" s="434"/>
      <c r="Z890" s="434"/>
      <c r="AA890" s="434"/>
    </row>
    <row r="891" spans="1:27" ht="15.75" customHeight="1" x14ac:dyDescent="0.35">
      <c r="A891" s="434"/>
      <c r="B891" s="434"/>
      <c r="C891" s="434"/>
      <c r="D891" s="434"/>
      <c r="E891" s="434"/>
      <c r="F891" s="434"/>
      <c r="G891" s="434"/>
      <c r="H891" s="434"/>
      <c r="I891" s="434"/>
      <c r="J891" s="434"/>
      <c r="K891" s="434"/>
      <c r="L891" s="434"/>
      <c r="M891" s="434"/>
      <c r="N891" s="434"/>
      <c r="O891" s="434"/>
      <c r="P891" s="434"/>
      <c r="Q891" s="434"/>
      <c r="R891" s="434"/>
      <c r="S891" s="434"/>
      <c r="T891" s="434"/>
      <c r="U891" s="434"/>
      <c r="V891" s="434"/>
      <c r="W891" s="434"/>
      <c r="X891" s="434"/>
      <c r="Y891" s="434"/>
      <c r="Z891" s="434"/>
      <c r="AA891" s="434"/>
    </row>
    <row r="892" spans="1:27" ht="15.75" customHeight="1" x14ac:dyDescent="0.35">
      <c r="A892" s="434"/>
      <c r="B892" s="434"/>
      <c r="C892" s="434"/>
      <c r="D892" s="434"/>
      <c r="E892" s="434"/>
      <c r="F892" s="434"/>
      <c r="G892" s="434"/>
      <c r="H892" s="434"/>
      <c r="I892" s="434"/>
      <c r="J892" s="434"/>
      <c r="K892" s="434"/>
      <c r="L892" s="434"/>
      <c r="M892" s="434"/>
      <c r="N892" s="434"/>
      <c r="O892" s="434"/>
      <c r="P892" s="434"/>
      <c r="Q892" s="434"/>
      <c r="R892" s="434"/>
      <c r="S892" s="434"/>
      <c r="T892" s="434"/>
      <c r="U892" s="434"/>
      <c r="V892" s="434"/>
      <c r="W892" s="434"/>
      <c r="X892" s="434"/>
      <c r="Y892" s="434"/>
      <c r="Z892" s="434"/>
      <c r="AA892" s="434"/>
    </row>
    <row r="893" spans="1:27" ht="15.75" customHeight="1" x14ac:dyDescent="0.35">
      <c r="A893" s="434"/>
      <c r="B893" s="434"/>
      <c r="C893" s="434"/>
      <c r="D893" s="434"/>
      <c r="E893" s="434"/>
      <c r="F893" s="434"/>
      <c r="G893" s="434"/>
      <c r="H893" s="434"/>
      <c r="I893" s="434"/>
      <c r="J893" s="434"/>
      <c r="K893" s="434"/>
      <c r="L893" s="434"/>
      <c r="M893" s="434"/>
      <c r="N893" s="434"/>
      <c r="O893" s="434"/>
      <c r="P893" s="434"/>
      <c r="Q893" s="434"/>
      <c r="R893" s="434"/>
      <c r="S893" s="434"/>
      <c r="T893" s="434"/>
      <c r="U893" s="434"/>
      <c r="V893" s="434"/>
      <c r="W893" s="434"/>
      <c r="X893" s="434"/>
      <c r="Y893" s="434"/>
      <c r="Z893" s="434"/>
      <c r="AA893" s="434"/>
    </row>
    <row r="894" spans="1:27" ht="15.75" customHeight="1" x14ac:dyDescent="0.35">
      <c r="A894" s="434"/>
      <c r="B894" s="434"/>
      <c r="C894" s="434"/>
      <c r="D894" s="434"/>
      <c r="E894" s="434"/>
      <c r="F894" s="434"/>
      <c r="G894" s="434"/>
      <c r="H894" s="434"/>
      <c r="I894" s="434"/>
      <c r="J894" s="434"/>
      <c r="K894" s="434"/>
      <c r="L894" s="434"/>
      <c r="M894" s="434"/>
      <c r="N894" s="434"/>
      <c r="O894" s="434"/>
      <c r="P894" s="434"/>
      <c r="Q894" s="434"/>
      <c r="R894" s="434"/>
      <c r="S894" s="434"/>
      <c r="T894" s="434"/>
      <c r="U894" s="434"/>
      <c r="V894" s="434"/>
      <c r="W894" s="434"/>
      <c r="X894" s="434"/>
      <c r="Y894" s="434"/>
      <c r="Z894" s="434"/>
      <c r="AA894" s="434"/>
    </row>
    <row r="895" spans="1:27" ht="15.75" customHeight="1" x14ac:dyDescent="0.35">
      <c r="A895" s="434"/>
      <c r="B895" s="434"/>
      <c r="C895" s="434"/>
      <c r="D895" s="434"/>
      <c r="E895" s="434"/>
      <c r="F895" s="434"/>
      <c r="G895" s="434"/>
      <c r="H895" s="434"/>
      <c r="I895" s="434"/>
      <c r="J895" s="434"/>
      <c r="K895" s="434"/>
      <c r="L895" s="434"/>
      <c r="M895" s="434"/>
      <c r="N895" s="434"/>
      <c r="O895" s="434"/>
      <c r="P895" s="434"/>
      <c r="Q895" s="434"/>
      <c r="R895" s="434"/>
      <c r="S895" s="434"/>
      <c r="T895" s="434"/>
      <c r="U895" s="434"/>
      <c r="V895" s="434"/>
      <c r="W895" s="434"/>
      <c r="X895" s="434"/>
      <c r="Y895" s="434"/>
      <c r="Z895" s="434"/>
      <c r="AA895" s="434"/>
    </row>
    <row r="896" spans="1:27" ht="15.75" customHeight="1" x14ac:dyDescent="0.35">
      <c r="A896" s="434"/>
      <c r="B896" s="434"/>
      <c r="C896" s="434"/>
      <c r="D896" s="434"/>
      <c r="E896" s="434"/>
      <c r="F896" s="434"/>
      <c r="G896" s="434"/>
      <c r="H896" s="434"/>
      <c r="I896" s="434"/>
      <c r="J896" s="434"/>
      <c r="K896" s="434"/>
      <c r="L896" s="434"/>
      <c r="M896" s="434"/>
      <c r="N896" s="434"/>
      <c r="O896" s="434"/>
      <c r="P896" s="434"/>
      <c r="Q896" s="434"/>
      <c r="R896" s="434"/>
      <c r="S896" s="434"/>
      <c r="T896" s="434"/>
      <c r="U896" s="434"/>
      <c r="V896" s="434"/>
      <c r="W896" s="434"/>
      <c r="X896" s="434"/>
      <c r="Y896" s="434"/>
      <c r="Z896" s="434"/>
      <c r="AA896" s="434"/>
    </row>
    <row r="897" spans="1:27" ht="15.75" customHeight="1" x14ac:dyDescent="0.35">
      <c r="A897" s="434"/>
      <c r="B897" s="434"/>
      <c r="C897" s="434"/>
      <c r="D897" s="434"/>
      <c r="E897" s="434"/>
      <c r="F897" s="434"/>
      <c r="G897" s="434"/>
      <c r="H897" s="434"/>
      <c r="I897" s="434"/>
      <c r="J897" s="434"/>
      <c r="K897" s="434"/>
      <c r="L897" s="434"/>
      <c r="M897" s="434"/>
      <c r="N897" s="434"/>
      <c r="O897" s="434"/>
      <c r="P897" s="434"/>
      <c r="Q897" s="434"/>
      <c r="R897" s="434"/>
      <c r="S897" s="434"/>
      <c r="T897" s="434"/>
      <c r="U897" s="434"/>
      <c r="V897" s="434"/>
      <c r="W897" s="434"/>
      <c r="X897" s="434"/>
      <c r="Y897" s="434"/>
      <c r="Z897" s="434"/>
      <c r="AA897" s="434"/>
    </row>
    <row r="898" spans="1:27" ht="15.75" customHeight="1" x14ac:dyDescent="0.35">
      <c r="A898" s="434"/>
      <c r="B898" s="434"/>
      <c r="C898" s="434"/>
      <c r="D898" s="434"/>
      <c r="E898" s="434"/>
      <c r="F898" s="434"/>
      <c r="G898" s="434"/>
      <c r="H898" s="434"/>
      <c r="I898" s="434"/>
      <c r="J898" s="434"/>
      <c r="K898" s="434"/>
      <c r="L898" s="434"/>
      <c r="M898" s="434"/>
      <c r="N898" s="434"/>
      <c r="O898" s="434"/>
      <c r="P898" s="434"/>
      <c r="Q898" s="434"/>
      <c r="R898" s="434"/>
      <c r="S898" s="434"/>
      <c r="T898" s="434"/>
      <c r="U898" s="434"/>
      <c r="V898" s="434"/>
      <c r="W898" s="434"/>
      <c r="X898" s="434"/>
      <c r="Y898" s="434"/>
      <c r="Z898" s="434"/>
      <c r="AA898" s="434"/>
    </row>
    <row r="899" spans="1:27" ht="15.75" customHeight="1" x14ac:dyDescent="0.35">
      <c r="A899" s="434"/>
      <c r="B899" s="434"/>
      <c r="C899" s="434"/>
      <c r="D899" s="434"/>
      <c r="E899" s="434"/>
      <c r="F899" s="434"/>
      <c r="G899" s="434"/>
      <c r="H899" s="434"/>
      <c r="I899" s="434"/>
      <c r="J899" s="434"/>
      <c r="K899" s="434"/>
      <c r="L899" s="434"/>
      <c r="M899" s="434"/>
      <c r="N899" s="434"/>
      <c r="O899" s="434"/>
      <c r="P899" s="434"/>
      <c r="Q899" s="434"/>
      <c r="R899" s="434"/>
      <c r="S899" s="434"/>
      <c r="T899" s="434"/>
      <c r="U899" s="434"/>
      <c r="V899" s="434"/>
      <c r="W899" s="434"/>
      <c r="X899" s="434"/>
      <c r="Y899" s="434"/>
      <c r="Z899" s="434"/>
      <c r="AA899" s="434"/>
    </row>
    <row r="900" spans="1:27" ht="15.75" customHeight="1" x14ac:dyDescent="0.35">
      <c r="A900" s="434"/>
      <c r="B900" s="434"/>
      <c r="C900" s="434"/>
      <c r="D900" s="434"/>
      <c r="E900" s="434"/>
      <c r="F900" s="434"/>
      <c r="G900" s="434"/>
      <c r="H900" s="434"/>
      <c r="I900" s="434"/>
      <c r="J900" s="434"/>
      <c r="K900" s="434"/>
      <c r="L900" s="434"/>
      <c r="M900" s="434"/>
      <c r="N900" s="434"/>
      <c r="O900" s="434"/>
      <c r="P900" s="434"/>
      <c r="Q900" s="434"/>
      <c r="R900" s="434"/>
      <c r="S900" s="434"/>
      <c r="T900" s="434"/>
      <c r="U900" s="434"/>
      <c r="V900" s="434"/>
      <c r="W900" s="434"/>
      <c r="X900" s="434"/>
      <c r="Y900" s="434"/>
      <c r="Z900" s="434"/>
      <c r="AA900" s="434"/>
    </row>
    <row r="901" spans="1:27" ht="15.75" customHeight="1" x14ac:dyDescent="0.35">
      <c r="A901" s="434"/>
      <c r="B901" s="434"/>
      <c r="C901" s="434"/>
      <c r="D901" s="434"/>
      <c r="E901" s="434"/>
      <c r="F901" s="434"/>
      <c r="G901" s="434"/>
      <c r="H901" s="434"/>
      <c r="I901" s="434"/>
      <c r="J901" s="434"/>
      <c r="K901" s="434"/>
      <c r="L901" s="434"/>
      <c r="M901" s="434"/>
      <c r="N901" s="434"/>
      <c r="O901" s="434"/>
      <c r="P901" s="434"/>
      <c r="Q901" s="434"/>
      <c r="R901" s="434"/>
      <c r="S901" s="434"/>
      <c r="T901" s="434"/>
      <c r="U901" s="434"/>
      <c r="V901" s="434"/>
      <c r="W901" s="434"/>
      <c r="X901" s="434"/>
      <c r="Y901" s="434"/>
      <c r="Z901" s="434"/>
      <c r="AA901" s="434"/>
    </row>
    <row r="902" spans="1:27" ht="15.75" customHeight="1" x14ac:dyDescent="0.35">
      <c r="A902" s="434"/>
      <c r="B902" s="434"/>
      <c r="C902" s="434"/>
      <c r="D902" s="434"/>
      <c r="E902" s="434"/>
      <c r="F902" s="434"/>
      <c r="G902" s="434"/>
      <c r="H902" s="434"/>
      <c r="I902" s="434"/>
      <c r="J902" s="434"/>
      <c r="K902" s="434"/>
      <c r="L902" s="434"/>
      <c r="M902" s="434"/>
      <c r="N902" s="434"/>
      <c r="O902" s="434"/>
      <c r="P902" s="434"/>
      <c r="Q902" s="434"/>
      <c r="R902" s="434"/>
      <c r="S902" s="434"/>
      <c r="T902" s="434"/>
      <c r="U902" s="434"/>
      <c r="V902" s="434"/>
      <c r="W902" s="434"/>
      <c r="X902" s="434"/>
      <c r="Y902" s="434"/>
      <c r="Z902" s="434"/>
      <c r="AA902" s="434"/>
    </row>
    <row r="903" spans="1:27" ht="15.75" customHeight="1" x14ac:dyDescent="0.35">
      <c r="A903" s="434"/>
      <c r="B903" s="434"/>
      <c r="C903" s="434"/>
      <c r="D903" s="434"/>
      <c r="E903" s="434"/>
      <c r="F903" s="434"/>
      <c r="G903" s="434"/>
      <c r="H903" s="434"/>
      <c r="I903" s="434"/>
      <c r="J903" s="434"/>
      <c r="K903" s="434"/>
      <c r="L903" s="434"/>
      <c r="M903" s="434"/>
      <c r="N903" s="434"/>
      <c r="O903" s="434"/>
      <c r="P903" s="434"/>
      <c r="Q903" s="434"/>
      <c r="R903" s="434"/>
      <c r="S903" s="434"/>
      <c r="T903" s="434"/>
      <c r="U903" s="434"/>
      <c r="V903" s="434"/>
      <c r="W903" s="434"/>
      <c r="X903" s="434"/>
      <c r="Y903" s="434"/>
      <c r="Z903" s="434"/>
      <c r="AA903" s="434"/>
    </row>
    <row r="904" spans="1:27" ht="15.75" customHeight="1" x14ac:dyDescent="0.35">
      <c r="A904" s="434"/>
      <c r="B904" s="434"/>
      <c r="C904" s="434"/>
      <c r="D904" s="434"/>
      <c r="E904" s="434"/>
      <c r="F904" s="434"/>
      <c r="G904" s="434"/>
      <c r="H904" s="434"/>
      <c r="I904" s="434"/>
      <c r="J904" s="434"/>
      <c r="K904" s="434"/>
      <c r="L904" s="434"/>
      <c r="M904" s="434"/>
      <c r="N904" s="434"/>
      <c r="O904" s="434"/>
      <c r="P904" s="434"/>
      <c r="Q904" s="434"/>
      <c r="R904" s="434"/>
      <c r="S904" s="434"/>
      <c r="T904" s="434"/>
      <c r="U904" s="434"/>
      <c r="V904" s="434"/>
      <c r="W904" s="434"/>
      <c r="X904" s="434"/>
      <c r="Y904" s="434"/>
      <c r="Z904" s="434"/>
      <c r="AA904" s="434"/>
    </row>
    <row r="905" spans="1:27" ht="15.75" customHeight="1" x14ac:dyDescent="0.35">
      <c r="A905" s="434"/>
      <c r="B905" s="434"/>
      <c r="C905" s="434"/>
      <c r="D905" s="434"/>
      <c r="E905" s="434"/>
      <c r="F905" s="434"/>
      <c r="G905" s="434"/>
      <c r="H905" s="434"/>
      <c r="I905" s="434"/>
      <c r="J905" s="434"/>
      <c r="K905" s="434"/>
      <c r="L905" s="434"/>
      <c r="M905" s="434"/>
      <c r="N905" s="434"/>
      <c r="O905" s="434"/>
      <c r="P905" s="434"/>
      <c r="Q905" s="434"/>
      <c r="R905" s="434"/>
      <c r="S905" s="434"/>
      <c r="T905" s="434"/>
      <c r="U905" s="434"/>
      <c r="V905" s="434"/>
      <c r="W905" s="434"/>
      <c r="X905" s="434"/>
      <c r="Y905" s="434"/>
      <c r="Z905" s="434"/>
      <c r="AA905" s="434"/>
    </row>
    <row r="906" spans="1:27" ht="15.75" customHeight="1" x14ac:dyDescent="0.35">
      <c r="A906" s="434"/>
      <c r="B906" s="434"/>
      <c r="C906" s="434"/>
      <c r="D906" s="434"/>
      <c r="E906" s="434"/>
      <c r="F906" s="434"/>
      <c r="G906" s="434"/>
      <c r="H906" s="434"/>
      <c r="I906" s="434"/>
      <c r="J906" s="434"/>
      <c r="K906" s="434"/>
      <c r="L906" s="434"/>
      <c r="M906" s="434"/>
      <c r="N906" s="434"/>
      <c r="O906" s="434"/>
      <c r="P906" s="434"/>
      <c r="Q906" s="434"/>
      <c r="R906" s="434"/>
      <c r="S906" s="434"/>
      <c r="T906" s="434"/>
      <c r="U906" s="434"/>
      <c r="V906" s="434"/>
      <c r="W906" s="434"/>
      <c r="X906" s="434"/>
      <c r="Y906" s="434"/>
      <c r="Z906" s="434"/>
      <c r="AA906" s="434"/>
    </row>
    <row r="907" spans="1:27" ht="15.75" customHeight="1" x14ac:dyDescent="0.35">
      <c r="A907" s="434"/>
      <c r="B907" s="434"/>
      <c r="C907" s="434"/>
      <c r="D907" s="434"/>
      <c r="E907" s="434"/>
      <c r="F907" s="434"/>
      <c r="G907" s="434"/>
      <c r="H907" s="434"/>
      <c r="I907" s="434"/>
      <c r="J907" s="434"/>
      <c r="K907" s="434"/>
      <c r="L907" s="434"/>
      <c r="M907" s="434"/>
      <c r="N907" s="434"/>
      <c r="O907" s="434"/>
      <c r="P907" s="434"/>
      <c r="Q907" s="434"/>
      <c r="R907" s="434"/>
      <c r="S907" s="434"/>
      <c r="T907" s="434"/>
      <c r="U907" s="434"/>
      <c r="V907" s="434"/>
      <c r="W907" s="434"/>
      <c r="X907" s="434"/>
      <c r="Y907" s="434"/>
      <c r="Z907" s="434"/>
      <c r="AA907" s="434"/>
    </row>
    <row r="908" spans="1:27" ht="15.75" customHeight="1" x14ac:dyDescent="0.35">
      <c r="A908" s="434"/>
      <c r="B908" s="434"/>
      <c r="C908" s="434"/>
      <c r="D908" s="434"/>
      <c r="E908" s="434"/>
      <c r="F908" s="434"/>
      <c r="G908" s="434"/>
      <c r="H908" s="434"/>
      <c r="I908" s="434"/>
      <c r="J908" s="434"/>
      <c r="K908" s="434"/>
      <c r="L908" s="434"/>
      <c r="M908" s="434"/>
      <c r="N908" s="434"/>
      <c r="O908" s="434"/>
      <c r="P908" s="434"/>
      <c r="Q908" s="434"/>
      <c r="R908" s="434"/>
      <c r="S908" s="434"/>
      <c r="T908" s="434"/>
      <c r="U908" s="434"/>
      <c r="V908" s="434"/>
      <c r="W908" s="434"/>
      <c r="X908" s="434"/>
      <c r="Y908" s="434"/>
      <c r="Z908" s="434"/>
      <c r="AA908" s="434"/>
    </row>
    <row r="909" spans="1:27" ht="15.75" customHeight="1" x14ac:dyDescent="0.35">
      <c r="A909" s="434"/>
      <c r="B909" s="434"/>
      <c r="C909" s="434"/>
      <c r="D909" s="434"/>
      <c r="E909" s="434"/>
      <c r="F909" s="434"/>
      <c r="G909" s="434"/>
      <c r="H909" s="434"/>
      <c r="I909" s="434"/>
      <c r="J909" s="434"/>
      <c r="K909" s="434"/>
      <c r="L909" s="434"/>
      <c r="M909" s="434"/>
      <c r="N909" s="434"/>
      <c r="O909" s="434"/>
      <c r="P909" s="434"/>
      <c r="Q909" s="434"/>
      <c r="R909" s="434"/>
      <c r="S909" s="434"/>
      <c r="T909" s="434"/>
      <c r="U909" s="434"/>
      <c r="V909" s="434"/>
      <c r="W909" s="434"/>
      <c r="X909" s="434"/>
      <c r="Y909" s="434"/>
      <c r="Z909" s="434"/>
      <c r="AA909" s="434"/>
    </row>
    <row r="910" spans="1:27" ht="15.75" customHeight="1" x14ac:dyDescent="0.35">
      <c r="A910" s="434"/>
      <c r="B910" s="434"/>
      <c r="C910" s="434"/>
      <c r="D910" s="434"/>
      <c r="E910" s="434"/>
      <c r="F910" s="434"/>
      <c r="G910" s="434"/>
      <c r="H910" s="434"/>
      <c r="I910" s="434"/>
      <c r="J910" s="434"/>
      <c r="K910" s="434"/>
      <c r="L910" s="434"/>
      <c r="M910" s="434"/>
      <c r="N910" s="434"/>
      <c r="O910" s="434"/>
      <c r="P910" s="434"/>
      <c r="Q910" s="434"/>
      <c r="R910" s="434"/>
      <c r="S910" s="434"/>
      <c r="T910" s="434"/>
      <c r="U910" s="434"/>
      <c r="V910" s="434"/>
      <c r="W910" s="434"/>
      <c r="X910" s="434"/>
      <c r="Y910" s="434"/>
      <c r="Z910" s="434"/>
      <c r="AA910" s="434"/>
    </row>
    <row r="911" spans="1:27" ht="15.75" customHeight="1" x14ac:dyDescent="0.35">
      <c r="A911" s="434"/>
      <c r="B911" s="434"/>
      <c r="C911" s="434"/>
      <c r="D911" s="434"/>
      <c r="E911" s="434"/>
      <c r="F911" s="434"/>
      <c r="G911" s="434"/>
      <c r="H911" s="434"/>
      <c r="I911" s="434"/>
      <c r="J911" s="434"/>
      <c r="K911" s="434"/>
      <c r="L911" s="434"/>
      <c r="M911" s="434"/>
      <c r="N911" s="434"/>
      <c r="O911" s="434"/>
      <c r="P911" s="434"/>
      <c r="Q911" s="434"/>
      <c r="R911" s="434"/>
      <c r="S911" s="434"/>
      <c r="T911" s="434"/>
      <c r="U911" s="434"/>
      <c r="V911" s="434"/>
      <c r="W911" s="434"/>
      <c r="X911" s="434"/>
      <c r="Y911" s="434"/>
      <c r="Z911" s="434"/>
      <c r="AA911" s="434"/>
    </row>
    <row r="912" spans="1:27" ht="15.75" customHeight="1" x14ac:dyDescent="0.35">
      <c r="A912" s="434"/>
      <c r="B912" s="434"/>
      <c r="C912" s="434"/>
      <c r="D912" s="434"/>
      <c r="E912" s="434"/>
      <c r="F912" s="434"/>
      <c r="G912" s="434"/>
      <c r="H912" s="434"/>
      <c r="I912" s="434"/>
      <c r="J912" s="434"/>
      <c r="K912" s="434"/>
      <c r="L912" s="434"/>
      <c r="M912" s="434"/>
      <c r="N912" s="434"/>
      <c r="O912" s="434"/>
      <c r="P912" s="434"/>
      <c r="Q912" s="434"/>
      <c r="R912" s="434"/>
      <c r="S912" s="434"/>
      <c r="T912" s="434"/>
      <c r="U912" s="434"/>
      <c r="V912" s="434"/>
      <c r="W912" s="434"/>
      <c r="X912" s="434"/>
      <c r="Y912" s="434"/>
      <c r="Z912" s="434"/>
      <c r="AA912" s="434"/>
    </row>
    <row r="913" spans="1:27" ht="15.75" customHeight="1" x14ac:dyDescent="0.35">
      <c r="A913" s="434"/>
      <c r="B913" s="434"/>
      <c r="C913" s="434"/>
      <c r="D913" s="434"/>
      <c r="E913" s="434"/>
      <c r="F913" s="434"/>
      <c r="G913" s="434"/>
      <c r="H913" s="434"/>
      <c r="I913" s="434"/>
      <c r="J913" s="434"/>
      <c r="K913" s="434"/>
      <c r="L913" s="434"/>
      <c r="M913" s="434"/>
      <c r="N913" s="434"/>
      <c r="O913" s="434"/>
      <c r="P913" s="434"/>
      <c r="Q913" s="434"/>
      <c r="R913" s="434"/>
      <c r="S913" s="434"/>
      <c r="T913" s="434"/>
      <c r="U913" s="434"/>
      <c r="V913" s="434"/>
      <c r="W913" s="434"/>
      <c r="X913" s="434"/>
      <c r="Y913" s="434"/>
      <c r="Z913" s="434"/>
      <c r="AA913" s="434"/>
    </row>
    <row r="914" spans="1:27" ht="15.75" customHeight="1" x14ac:dyDescent="0.35">
      <c r="A914" s="434"/>
      <c r="B914" s="434"/>
      <c r="C914" s="434"/>
      <c r="D914" s="434"/>
      <c r="E914" s="434"/>
      <c r="F914" s="434"/>
      <c r="G914" s="434"/>
      <c r="H914" s="434"/>
      <c r="I914" s="434"/>
      <c r="J914" s="434"/>
      <c r="K914" s="434"/>
      <c r="L914" s="434"/>
      <c r="M914" s="434"/>
      <c r="N914" s="434"/>
      <c r="O914" s="434"/>
      <c r="P914" s="434"/>
      <c r="Q914" s="434"/>
      <c r="R914" s="434"/>
      <c r="S914" s="434"/>
      <c r="T914" s="434"/>
      <c r="U914" s="434"/>
      <c r="V914" s="434"/>
      <c r="W914" s="434"/>
      <c r="X914" s="434"/>
      <c r="Y914" s="434"/>
      <c r="Z914" s="434"/>
      <c r="AA914" s="434"/>
    </row>
    <row r="915" spans="1:27" ht="15.75" customHeight="1" x14ac:dyDescent="0.35">
      <c r="A915" s="434"/>
      <c r="B915" s="434"/>
      <c r="C915" s="434"/>
      <c r="D915" s="434"/>
      <c r="E915" s="434"/>
      <c r="F915" s="434"/>
      <c r="G915" s="434"/>
      <c r="H915" s="434"/>
      <c r="I915" s="434"/>
      <c r="J915" s="434"/>
      <c r="K915" s="434"/>
      <c r="L915" s="434"/>
      <c r="M915" s="434"/>
      <c r="N915" s="434"/>
      <c r="O915" s="434"/>
      <c r="P915" s="434"/>
      <c r="Q915" s="434"/>
      <c r="R915" s="434"/>
      <c r="S915" s="434"/>
      <c r="T915" s="434"/>
      <c r="U915" s="434"/>
      <c r="V915" s="434"/>
      <c r="W915" s="434"/>
      <c r="X915" s="434"/>
      <c r="Y915" s="434"/>
      <c r="Z915" s="434"/>
      <c r="AA915" s="434"/>
    </row>
    <row r="916" spans="1:27" ht="15.75" customHeight="1" x14ac:dyDescent="0.35">
      <c r="A916" s="434"/>
      <c r="B916" s="434"/>
      <c r="C916" s="434"/>
      <c r="D916" s="434"/>
      <c r="E916" s="434"/>
      <c r="F916" s="434"/>
      <c r="G916" s="434"/>
      <c r="H916" s="434"/>
      <c r="I916" s="434"/>
      <c r="J916" s="434"/>
      <c r="K916" s="434"/>
      <c r="L916" s="434"/>
      <c r="M916" s="434"/>
      <c r="N916" s="434"/>
      <c r="O916" s="434"/>
      <c r="P916" s="434"/>
      <c r="Q916" s="434"/>
      <c r="R916" s="434"/>
      <c r="S916" s="434"/>
      <c r="T916" s="434"/>
      <c r="U916" s="434"/>
      <c r="V916" s="434"/>
      <c r="W916" s="434"/>
      <c r="X916" s="434"/>
      <c r="Y916" s="434"/>
      <c r="Z916" s="434"/>
      <c r="AA916" s="434"/>
    </row>
    <row r="917" spans="1:27" ht="15.75" customHeight="1" x14ac:dyDescent="0.35">
      <c r="A917" s="434"/>
      <c r="B917" s="434"/>
      <c r="C917" s="434"/>
      <c r="D917" s="434"/>
      <c r="E917" s="434"/>
      <c r="F917" s="434"/>
      <c r="G917" s="434"/>
      <c r="H917" s="434"/>
      <c r="I917" s="434"/>
      <c r="J917" s="434"/>
      <c r="K917" s="434"/>
      <c r="L917" s="434"/>
      <c r="M917" s="434"/>
      <c r="N917" s="434"/>
      <c r="O917" s="434"/>
      <c r="P917" s="434"/>
      <c r="Q917" s="434"/>
      <c r="R917" s="434"/>
      <c r="S917" s="434"/>
      <c r="T917" s="434"/>
      <c r="U917" s="434"/>
      <c r="V917" s="434"/>
      <c r="W917" s="434"/>
      <c r="X917" s="434"/>
      <c r="Y917" s="434"/>
      <c r="Z917" s="434"/>
      <c r="AA917" s="434"/>
    </row>
    <row r="918" spans="1:27" ht="15.75" customHeight="1" x14ac:dyDescent="0.35">
      <c r="A918" s="434"/>
      <c r="B918" s="434"/>
      <c r="C918" s="434"/>
      <c r="D918" s="434"/>
      <c r="E918" s="434"/>
      <c r="F918" s="434"/>
      <c r="G918" s="434"/>
      <c r="H918" s="434"/>
      <c r="I918" s="434"/>
      <c r="J918" s="434"/>
      <c r="K918" s="434"/>
      <c r="L918" s="434"/>
      <c r="M918" s="434"/>
      <c r="N918" s="434"/>
      <c r="O918" s="434"/>
      <c r="P918" s="434"/>
      <c r="Q918" s="434"/>
      <c r="R918" s="434"/>
      <c r="S918" s="434"/>
      <c r="T918" s="434"/>
      <c r="U918" s="434"/>
      <c r="V918" s="434"/>
      <c r="W918" s="434"/>
      <c r="X918" s="434"/>
      <c r="Y918" s="434"/>
      <c r="Z918" s="434"/>
      <c r="AA918" s="434"/>
    </row>
    <row r="919" spans="1:27" ht="15.75" customHeight="1" x14ac:dyDescent="0.35">
      <c r="A919" s="434"/>
      <c r="B919" s="434"/>
      <c r="C919" s="434"/>
      <c r="D919" s="434"/>
      <c r="E919" s="434"/>
      <c r="F919" s="434"/>
      <c r="G919" s="434"/>
      <c r="H919" s="434"/>
      <c r="I919" s="434"/>
      <c r="J919" s="434"/>
      <c r="K919" s="434"/>
      <c r="L919" s="434"/>
      <c r="M919" s="434"/>
      <c r="N919" s="434"/>
      <c r="O919" s="434"/>
      <c r="P919" s="434"/>
      <c r="Q919" s="434"/>
      <c r="R919" s="434"/>
      <c r="S919" s="434"/>
      <c r="T919" s="434"/>
      <c r="U919" s="434"/>
      <c r="V919" s="434"/>
      <c r="W919" s="434"/>
      <c r="X919" s="434"/>
      <c r="Y919" s="434"/>
      <c r="Z919" s="434"/>
      <c r="AA919" s="434"/>
    </row>
    <row r="920" spans="1:27" ht="15.75" customHeight="1" x14ac:dyDescent="0.35">
      <c r="A920" s="434"/>
      <c r="B920" s="434"/>
      <c r="C920" s="434"/>
      <c r="D920" s="434"/>
      <c r="E920" s="434"/>
      <c r="F920" s="434"/>
      <c r="G920" s="434"/>
      <c r="H920" s="434"/>
      <c r="I920" s="434"/>
      <c r="J920" s="434"/>
      <c r="K920" s="434"/>
      <c r="L920" s="434"/>
      <c r="M920" s="434"/>
      <c r="N920" s="434"/>
      <c r="O920" s="434"/>
      <c r="P920" s="434"/>
      <c r="Q920" s="434"/>
      <c r="R920" s="434"/>
      <c r="S920" s="434"/>
      <c r="T920" s="434"/>
      <c r="U920" s="434"/>
      <c r="V920" s="434"/>
      <c r="W920" s="434"/>
      <c r="X920" s="434"/>
      <c r="Y920" s="434"/>
      <c r="Z920" s="434"/>
      <c r="AA920" s="434"/>
    </row>
    <row r="921" spans="1:27" ht="15.75" customHeight="1" x14ac:dyDescent="0.35">
      <c r="A921" s="434"/>
      <c r="B921" s="434"/>
      <c r="C921" s="434"/>
      <c r="D921" s="434"/>
      <c r="E921" s="434"/>
      <c r="F921" s="434"/>
      <c r="G921" s="434"/>
      <c r="H921" s="434"/>
      <c r="I921" s="434"/>
      <c r="J921" s="434"/>
      <c r="K921" s="434"/>
      <c r="L921" s="434"/>
      <c r="M921" s="434"/>
      <c r="N921" s="434"/>
      <c r="O921" s="434"/>
      <c r="P921" s="434"/>
      <c r="Q921" s="434"/>
      <c r="R921" s="434"/>
      <c r="S921" s="434"/>
      <c r="T921" s="434"/>
      <c r="U921" s="434"/>
      <c r="V921" s="434"/>
      <c r="W921" s="434"/>
      <c r="X921" s="434"/>
      <c r="Y921" s="434"/>
      <c r="Z921" s="434"/>
      <c r="AA921" s="434"/>
    </row>
    <row r="922" spans="1:27" ht="15.75" customHeight="1" x14ac:dyDescent="0.35">
      <c r="A922" s="434"/>
      <c r="B922" s="434"/>
      <c r="C922" s="434"/>
      <c r="D922" s="434"/>
      <c r="E922" s="434"/>
      <c r="F922" s="434"/>
      <c r="G922" s="434"/>
      <c r="H922" s="434"/>
      <c r="I922" s="434"/>
      <c r="J922" s="434"/>
      <c r="K922" s="434"/>
      <c r="L922" s="434"/>
      <c r="M922" s="434"/>
      <c r="N922" s="434"/>
      <c r="O922" s="434"/>
      <c r="P922" s="434"/>
      <c r="Q922" s="434"/>
      <c r="R922" s="434"/>
      <c r="S922" s="434"/>
      <c r="T922" s="434"/>
      <c r="U922" s="434"/>
      <c r="V922" s="434"/>
      <c r="W922" s="434"/>
      <c r="X922" s="434"/>
      <c r="Y922" s="434"/>
      <c r="Z922" s="434"/>
      <c r="AA922" s="434"/>
    </row>
    <row r="923" spans="1:27" ht="15.75" customHeight="1" x14ac:dyDescent="0.35">
      <c r="A923" s="434"/>
      <c r="B923" s="434"/>
      <c r="C923" s="434"/>
      <c r="D923" s="434"/>
      <c r="E923" s="434"/>
      <c r="F923" s="434"/>
      <c r="G923" s="434"/>
      <c r="H923" s="434"/>
      <c r="I923" s="434"/>
      <c r="J923" s="434"/>
      <c r="K923" s="434"/>
      <c r="L923" s="434"/>
      <c r="M923" s="434"/>
      <c r="N923" s="434"/>
      <c r="O923" s="434"/>
      <c r="P923" s="434"/>
      <c r="Q923" s="434"/>
      <c r="R923" s="434"/>
      <c r="S923" s="434"/>
      <c r="T923" s="434"/>
      <c r="U923" s="434"/>
      <c r="V923" s="434"/>
      <c r="W923" s="434"/>
      <c r="X923" s="434"/>
      <c r="Y923" s="434"/>
      <c r="Z923" s="434"/>
      <c r="AA923" s="434"/>
    </row>
    <row r="924" spans="1:27" ht="15.75" customHeight="1" x14ac:dyDescent="0.35">
      <c r="A924" s="434"/>
      <c r="B924" s="434"/>
      <c r="C924" s="434"/>
      <c r="D924" s="434"/>
      <c r="E924" s="434"/>
      <c r="F924" s="434"/>
      <c r="G924" s="434"/>
      <c r="H924" s="434"/>
      <c r="I924" s="434"/>
      <c r="J924" s="434"/>
      <c r="K924" s="434"/>
      <c r="L924" s="434"/>
      <c r="M924" s="434"/>
      <c r="N924" s="434"/>
      <c r="O924" s="434"/>
      <c r="P924" s="434"/>
      <c r="Q924" s="434"/>
      <c r="R924" s="434"/>
      <c r="S924" s="434"/>
      <c r="T924" s="434"/>
      <c r="U924" s="434"/>
      <c r="V924" s="434"/>
      <c r="W924" s="434"/>
      <c r="X924" s="434"/>
      <c r="Y924" s="434"/>
      <c r="Z924" s="434"/>
      <c r="AA924" s="434"/>
    </row>
    <row r="925" spans="1:27" ht="15.75" customHeight="1" x14ac:dyDescent="0.35">
      <c r="A925" s="434"/>
      <c r="B925" s="434"/>
      <c r="C925" s="434"/>
      <c r="D925" s="434"/>
      <c r="E925" s="434"/>
      <c r="F925" s="434"/>
      <c r="G925" s="434"/>
      <c r="H925" s="434"/>
      <c r="I925" s="434"/>
      <c r="J925" s="434"/>
      <c r="K925" s="434"/>
      <c r="L925" s="434"/>
      <c r="M925" s="434"/>
      <c r="N925" s="434"/>
      <c r="O925" s="434"/>
      <c r="P925" s="434"/>
      <c r="Q925" s="434"/>
      <c r="R925" s="434"/>
      <c r="S925" s="434"/>
      <c r="T925" s="434"/>
      <c r="U925" s="434"/>
      <c r="V925" s="434"/>
      <c r="W925" s="434"/>
      <c r="X925" s="434"/>
      <c r="Y925" s="434"/>
      <c r="Z925" s="434"/>
      <c r="AA925" s="434"/>
    </row>
    <row r="926" spans="1:27" ht="15.75" customHeight="1" x14ac:dyDescent="0.35">
      <c r="A926" s="434"/>
      <c r="B926" s="434"/>
      <c r="C926" s="434"/>
      <c r="D926" s="434"/>
      <c r="E926" s="434"/>
      <c r="F926" s="434"/>
      <c r="G926" s="434"/>
      <c r="H926" s="434"/>
      <c r="I926" s="434"/>
      <c r="J926" s="434"/>
      <c r="K926" s="434"/>
      <c r="L926" s="434"/>
      <c r="M926" s="434"/>
      <c r="N926" s="434"/>
      <c r="O926" s="434"/>
      <c r="P926" s="434"/>
      <c r="Q926" s="434"/>
      <c r="R926" s="434"/>
      <c r="S926" s="434"/>
      <c r="T926" s="434"/>
      <c r="U926" s="434"/>
      <c r="V926" s="434"/>
      <c r="W926" s="434"/>
      <c r="X926" s="434"/>
      <c r="Y926" s="434"/>
      <c r="Z926" s="434"/>
      <c r="AA926" s="434"/>
    </row>
    <row r="927" spans="1:27" ht="15.75" customHeight="1" x14ac:dyDescent="0.35">
      <c r="A927" s="434"/>
      <c r="B927" s="434"/>
      <c r="C927" s="434"/>
      <c r="D927" s="434"/>
      <c r="E927" s="434"/>
      <c r="F927" s="434"/>
      <c r="G927" s="434"/>
      <c r="H927" s="434"/>
      <c r="I927" s="434"/>
      <c r="J927" s="434"/>
      <c r="K927" s="434"/>
      <c r="L927" s="434"/>
      <c r="M927" s="434"/>
      <c r="N927" s="434"/>
      <c r="O927" s="434"/>
      <c r="P927" s="434"/>
      <c r="Q927" s="434"/>
      <c r="R927" s="434"/>
      <c r="S927" s="434"/>
      <c r="T927" s="434"/>
      <c r="U927" s="434"/>
      <c r="V927" s="434"/>
      <c r="W927" s="434"/>
      <c r="X927" s="434"/>
      <c r="Y927" s="434"/>
      <c r="Z927" s="434"/>
      <c r="AA927" s="434"/>
    </row>
    <row r="928" spans="1:27" ht="15.75" customHeight="1" x14ac:dyDescent="0.35">
      <c r="A928" s="434"/>
      <c r="B928" s="434"/>
      <c r="C928" s="434"/>
      <c r="D928" s="434"/>
      <c r="E928" s="434"/>
      <c r="F928" s="434"/>
      <c r="G928" s="434"/>
      <c r="H928" s="434"/>
      <c r="I928" s="434"/>
      <c r="J928" s="434"/>
      <c r="K928" s="434"/>
      <c r="L928" s="434"/>
      <c r="M928" s="434"/>
      <c r="N928" s="434"/>
      <c r="O928" s="434"/>
      <c r="P928" s="434"/>
      <c r="Q928" s="434"/>
      <c r="R928" s="434"/>
      <c r="S928" s="434"/>
      <c r="T928" s="434"/>
      <c r="U928" s="434"/>
      <c r="V928" s="434"/>
      <c r="W928" s="434"/>
      <c r="X928" s="434"/>
      <c r="Y928" s="434"/>
      <c r="Z928" s="434"/>
      <c r="AA928" s="434"/>
    </row>
    <row r="929" spans="1:27" ht="15.75" customHeight="1" x14ac:dyDescent="0.35">
      <c r="A929" s="434"/>
      <c r="B929" s="434"/>
      <c r="C929" s="434"/>
      <c r="D929" s="434"/>
      <c r="E929" s="434"/>
      <c r="F929" s="434"/>
      <c r="G929" s="434"/>
      <c r="H929" s="434"/>
      <c r="I929" s="434"/>
      <c r="J929" s="434"/>
      <c r="K929" s="434"/>
      <c r="L929" s="434"/>
      <c r="M929" s="434"/>
      <c r="N929" s="434"/>
      <c r="O929" s="434"/>
      <c r="P929" s="434"/>
      <c r="Q929" s="434"/>
      <c r="R929" s="434"/>
      <c r="S929" s="434"/>
      <c r="T929" s="434"/>
      <c r="U929" s="434"/>
      <c r="V929" s="434"/>
      <c r="W929" s="434"/>
      <c r="X929" s="434"/>
      <c r="Y929" s="434"/>
      <c r="Z929" s="434"/>
      <c r="AA929" s="434"/>
    </row>
    <row r="930" spans="1:27" ht="15.75" customHeight="1" x14ac:dyDescent="0.35">
      <c r="A930" s="434"/>
      <c r="B930" s="434"/>
      <c r="C930" s="434"/>
      <c r="D930" s="434"/>
      <c r="E930" s="434"/>
      <c r="F930" s="434"/>
      <c r="G930" s="434"/>
      <c r="H930" s="434"/>
      <c r="I930" s="434"/>
      <c r="J930" s="434"/>
      <c r="K930" s="434"/>
      <c r="L930" s="434"/>
      <c r="M930" s="434"/>
      <c r="N930" s="434"/>
      <c r="O930" s="434"/>
      <c r="P930" s="434"/>
      <c r="Q930" s="434"/>
      <c r="R930" s="434"/>
      <c r="S930" s="434"/>
      <c r="T930" s="434"/>
      <c r="U930" s="434"/>
      <c r="V930" s="434"/>
      <c r="W930" s="434"/>
      <c r="X930" s="434"/>
      <c r="Y930" s="434"/>
      <c r="Z930" s="434"/>
      <c r="AA930" s="434"/>
    </row>
    <row r="931" spans="1:27" ht="15.75" customHeight="1" x14ac:dyDescent="0.35">
      <c r="A931" s="434"/>
      <c r="B931" s="434"/>
      <c r="C931" s="434"/>
      <c r="D931" s="434"/>
      <c r="E931" s="434"/>
      <c r="F931" s="434"/>
      <c r="G931" s="434"/>
      <c r="H931" s="434"/>
      <c r="I931" s="434"/>
      <c r="J931" s="434"/>
      <c r="K931" s="434"/>
      <c r="L931" s="434"/>
      <c r="M931" s="434"/>
      <c r="N931" s="434"/>
      <c r="O931" s="434"/>
      <c r="P931" s="434"/>
      <c r="Q931" s="434"/>
      <c r="R931" s="434"/>
      <c r="S931" s="434"/>
      <c r="T931" s="434"/>
      <c r="U931" s="434"/>
      <c r="V931" s="434"/>
      <c r="W931" s="434"/>
      <c r="X931" s="434"/>
      <c r="Y931" s="434"/>
      <c r="Z931" s="434"/>
      <c r="AA931" s="434"/>
    </row>
    <row r="932" spans="1:27" ht="15.75" customHeight="1" x14ac:dyDescent="0.35">
      <c r="A932" s="434"/>
      <c r="B932" s="434"/>
      <c r="C932" s="434"/>
      <c r="D932" s="434"/>
      <c r="E932" s="434"/>
      <c r="F932" s="434"/>
      <c r="G932" s="434"/>
      <c r="H932" s="434"/>
      <c r="I932" s="434"/>
      <c r="J932" s="434"/>
      <c r="K932" s="434"/>
      <c r="L932" s="434"/>
      <c r="M932" s="434"/>
      <c r="N932" s="434"/>
      <c r="O932" s="434"/>
      <c r="P932" s="434"/>
      <c r="Q932" s="434"/>
      <c r="R932" s="434"/>
      <c r="S932" s="434"/>
      <c r="T932" s="434"/>
      <c r="U932" s="434"/>
      <c r="V932" s="434"/>
      <c r="W932" s="434"/>
      <c r="X932" s="434"/>
      <c r="Y932" s="434"/>
      <c r="Z932" s="434"/>
      <c r="AA932" s="434"/>
    </row>
    <row r="933" spans="1:27" ht="15.75" customHeight="1" x14ac:dyDescent="0.35">
      <c r="A933" s="434"/>
      <c r="B933" s="434"/>
      <c r="C933" s="434"/>
      <c r="D933" s="434"/>
      <c r="E933" s="434"/>
      <c r="F933" s="434"/>
      <c r="G933" s="434"/>
      <c r="H933" s="434"/>
      <c r="I933" s="434"/>
      <c r="J933" s="434"/>
      <c r="K933" s="434"/>
      <c r="L933" s="434"/>
      <c r="M933" s="434"/>
      <c r="N933" s="434"/>
      <c r="O933" s="434"/>
      <c r="P933" s="434"/>
      <c r="Q933" s="434"/>
      <c r="R933" s="434"/>
      <c r="S933" s="434"/>
      <c r="T933" s="434"/>
      <c r="U933" s="434"/>
      <c r="V933" s="434"/>
      <c r="W933" s="434"/>
      <c r="X933" s="434"/>
      <c r="Y933" s="434"/>
      <c r="Z933" s="434"/>
      <c r="AA933" s="434"/>
    </row>
    <row r="934" spans="1:27" ht="15.75" customHeight="1" x14ac:dyDescent="0.35">
      <c r="A934" s="434"/>
      <c r="B934" s="434"/>
      <c r="C934" s="434"/>
      <c r="D934" s="434"/>
      <c r="E934" s="434"/>
      <c r="F934" s="434"/>
      <c r="G934" s="434"/>
      <c r="H934" s="434"/>
      <c r="I934" s="434"/>
      <c r="J934" s="434"/>
      <c r="K934" s="434"/>
      <c r="L934" s="434"/>
      <c r="M934" s="434"/>
      <c r="N934" s="434"/>
      <c r="O934" s="434"/>
      <c r="P934" s="434"/>
      <c r="Q934" s="434"/>
      <c r="R934" s="434"/>
      <c r="S934" s="434"/>
      <c r="T934" s="434"/>
      <c r="U934" s="434"/>
      <c r="V934" s="434"/>
      <c r="W934" s="434"/>
      <c r="X934" s="434"/>
      <c r="Y934" s="434"/>
      <c r="Z934" s="434"/>
      <c r="AA934" s="434"/>
    </row>
    <row r="935" spans="1:27" ht="15.75" customHeight="1" x14ac:dyDescent="0.35">
      <c r="A935" s="434"/>
      <c r="B935" s="434"/>
      <c r="C935" s="434"/>
      <c r="D935" s="434"/>
      <c r="E935" s="434"/>
      <c r="F935" s="434"/>
      <c r="G935" s="434"/>
      <c r="H935" s="434"/>
      <c r="I935" s="434"/>
      <c r="J935" s="434"/>
      <c r="K935" s="434"/>
      <c r="L935" s="434"/>
      <c r="M935" s="434"/>
      <c r="N935" s="434"/>
      <c r="O935" s="434"/>
      <c r="P935" s="434"/>
      <c r="Q935" s="434"/>
      <c r="R935" s="434"/>
      <c r="S935" s="434"/>
      <c r="T935" s="434"/>
      <c r="U935" s="434"/>
      <c r="V935" s="434"/>
      <c r="W935" s="434"/>
      <c r="X935" s="434"/>
      <c r="Y935" s="434"/>
      <c r="Z935" s="434"/>
      <c r="AA935" s="434"/>
    </row>
    <row r="936" spans="1:27" ht="15.75" customHeight="1" x14ac:dyDescent="0.35">
      <c r="A936" s="434"/>
      <c r="B936" s="434"/>
      <c r="C936" s="434"/>
      <c r="D936" s="434"/>
      <c r="E936" s="434"/>
      <c r="F936" s="434"/>
      <c r="G936" s="434"/>
      <c r="H936" s="434"/>
      <c r="I936" s="434"/>
      <c r="J936" s="434"/>
      <c r="K936" s="434"/>
      <c r="L936" s="434"/>
      <c r="M936" s="434"/>
      <c r="N936" s="434"/>
      <c r="O936" s="434"/>
      <c r="P936" s="434"/>
      <c r="Q936" s="434"/>
      <c r="R936" s="434"/>
      <c r="S936" s="434"/>
      <c r="T936" s="434"/>
      <c r="U936" s="434"/>
      <c r="V936" s="434"/>
      <c r="W936" s="434"/>
      <c r="X936" s="434"/>
      <c r="Y936" s="434"/>
      <c r="Z936" s="434"/>
      <c r="AA936" s="434"/>
    </row>
    <row r="937" spans="1:27" ht="15.75" customHeight="1" x14ac:dyDescent="0.35">
      <c r="A937" s="434"/>
      <c r="B937" s="434"/>
      <c r="C937" s="434"/>
      <c r="D937" s="434"/>
      <c r="E937" s="434"/>
      <c r="F937" s="434"/>
      <c r="G937" s="434"/>
      <c r="H937" s="434"/>
      <c r="I937" s="434"/>
      <c r="J937" s="434"/>
      <c r="K937" s="434"/>
      <c r="L937" s="434"/>
      <c r="M937" s="434"/>
      <c r="N937" s="434"/>
      <c r="O937" s="434"/>
      <c r="P937" s="434"/>
      <c r="Q937" s="434"/>
      <c r="R937" s="434"/>
      <c r="S937" s="434"/>
      <c r="T937" s="434"/>
      <c r="U937" s="434"/>
      <c r="V937" s="434"/>
      <c r="W937" s="434"/>
      <c r="X937" s="434"/>
      <c r="Y937" s="434"/>
      <c r="Z937" s="434"/>
      <c r="AA937" s="434"/>
    </row>
    <row r="938" spans="1:27" ht="15.75" customHeight="1" x14ac:dyDescent="0.35">
      <c r="A938" s="434"/>
      <c r="B938" s="434"/>
      <c r="C938" s="434"/>
      <c r="D938" s="434"/>
      <c r="E938" s="434"/>
      <c r="F938" s="434"/>
      <c r="G938" s="434"/>
      <c r="H938" s="434"/>
      <c r="I938" s="434"/>
      <c r="J938" s="434"/>
      <c r="K938" s="434"/>
      <c r="L938" s="434"/>
      <c r="M938" s="434"/>
      <c r="N938" s="434"/>
      <c r="O938" s="434"/>
      <c r="P938" s="434"/>
      <c r="Q938" s="434"/>
      <c r="R938" s="434"/>
      <c r="S938" s="434"/>
      <c r="T938" s="434"/>
      <c r="U938" s="434"/>
      <c r="V938" s="434"/>
      <c r="W938" s="434"/>
      <c r="X938" s="434"/>
      <c r="Y938" s="434"/>
      <c r="Z938" s="434"/>
      <c r="AA938" s="434"/>
    </row>
    <row r="939" spans="1:27" ht="15.75" customHeight="1" x14ac:dyDescent="0.35">
      <c r="A939" s="434"/>
      <c r="B939" s="434"/>
      <c r="C939" s="434"/>
      <c r="D939" s="434"/>
      <c r="E939" s="434"/>
      <c r="F939" s="434"/>
      <c r="G939" s="434"/>
      <c r="H939" s="434"/>
      <c r="I939" s="434"/>
      <c r="J939" s="434"/>
      <c r="K939" s="434"/>
      <c r="L939" s="434"/>
      <c r="M939" s="434"/>
      <c r="N939" s="434"/>
      <c r="O939" s="434"/>
      <c r="P939" s="434"/>
      <c r="Q939" s="434"/>
      <c r="R939" s="434"/>
      <c r="S939" s="434"/>
      <c r="T939" s="434"/>
      <c r="U939" s="434"/>
      <c r="V939" s="434"/>
      <c r="W939" s="434"/>
      <c r="X939" s="434"/>
      <c r="Y939" s="434"/>
      <c r="Z939" s="434"/>
      <c r="AA939" s="434"/>
    </row>
    <row r="940" spans="1:27" ht="15.75" customHeight="1" x14ac:dyDescent="0.35">
      <c r="A940" s="434"/>
      <c r="B940" s="434"/>
      <c r="C940" s="434"/>
      <c r="D940" s="434"/>
      <c r="E940" s="434"/>
      <c r="F940" s="434"/>
      <c r="G940" s="434"/>
      <c r="H940" s="434"/>
      <c r="I940" s="434"/>
      <c r="J940" s="434"/>
      <c r="K940" s="434"/>
      <c r="L940" s="434"/>
      <c r="M940" s="434"/>
      <c r="N940" s="434"/>
      <c r="O940" s="434"/>
      <c r="P940" s="434"/>
      <c r="Q940" s="434"/>
      <c r="R940" s="434"/>
      <c r="S940" s="434"/>
      <c r="T940" s="434"/>
      <c r="U940" s="434"/>
      <c r="V940" s="434"/>
      <c r="W940" s="434"/>
      <c r="X940" s="434"/>
      <c r="Y940" s="434"/>
      <c r="Z940" s="434"/>
      <c r="AA940" s="434"/>
    </row>
    <row r="941" spans="1:27" ht="15.75" customHeight="1" x14ac:dyDescent="0.35">
      <c r="A941" s="434"/>
      <c r="B941" s="434"/>
      <c r="C941" s="434"/>
      <c r="D941" s="434"/>
      <c r="E941" s="434"/>
      <c r="F941" s="434"/>
      <c r="G941" s="434"/>
      <c r="H941" s="434"/>
      <c r="I941" s="434"/>
      <c r="J941" s="434"/>
      <c r="K941" s="434"/>
      <c r="L941" s="434"/>
      <c r="M941" s="434"/>
      <c r="N941" s="434"/>
      <c r="O941" s="434"/>
      <c r="P941" s="434"/>
      <c r="Q941" s="434"/>
      <c r="R941" s="434"/>
      <c r="S941" s="434"/>
      <c r="T941" s="434"/>
      <c r="U941" s="434"/>
      <c r="V941" s="434"/>
      <c r="W941" s="434"/>
      <c r="X941" s="434"/>
      <c r="Y941" s="434"/>
      <c r="Z941" s="434"/>
      <c r="AA941" s="434"/>
    </row>
    <row r="942" spans="1:27" ht="15.75" customHeight="1" x14ac:dyDescent="0.35">
      <c r="A942" s="434"/>
      <c r="B942" s="434"/>
      <c r="C942" s="434"/>
      <c r="D942" s="434"/>
      <c r="E942" s="434"/>
      <c r="F942" s="434"/>
      <c r="G942" s="434"/>
      <c r="H942" s="434"/>
      <c r="I942" s="434"/>
      <c r="J942" s="434"/>
      <c r="K942" s="434"/>
      <c r="L942" s="434"/>
      <c r="M942" s="434"/>
      <c r="N942" s="434"/>
      <c r="O942" s="434"/>
      <c r="P942" s="434"/>
      <c r="Q942" s="434"/>
      <c r="R942" s="434"/>
      <c r="S942" s="434"/>
      <c r="T942" s="434"/>
      <c r="U942" s="434"/>
      <c r="V942" s="434"/>
      <c r="W942" s="434"/>
      <c r="X942" s="434"/>
      <c r="Y942" s="434"/>
      <c r="Z942" s="434"/>
      <c r="AA942" s="434"/>
    </row>
    <row r="943" spans="1:27" ht="15.75" customHeight="1" x14ac:dyDescent="0.35">
      <c r="A943" s="434"/>
      <c r="B943" s="434"/>
      <c r="C943" s="434"/>
      <c r="D943" s="434"/>
      <c r="E943" s="434"/>
      <c r="F943" s="434"/>
      <c r="G943" s="434"/>
      <c r="H943" s="434"/>
      <c r="I943" s="434"/>
      <c r="J943" s="434"/>
      <c r="K943" s="434"/>
      <c r="L943" s="434"/>
      <c r="M943" s="434"/>
      <c r="N943" s="434"/>
      <c r="O943" s="434"/>
      <c r="P943" s="434"/>
      <c r="Q943" s="434"/>
      <c r="R943" s="434"/>
      <c r="S943" s="434"/>
      <c r="T943" s="434"/>
      <c r="U943" s="434"/>
      <c r="V943" s="434"/>
      <c r="W943" s="434"/>
      <c r="X943" s="434"/>
      <c r="Y943" s="434"/>
      <c r="Z943" s="434"/>
      <c r="AA943" s="434"/>
    </row>
    <row r="944" spans="1:27" ht="15.75" customHeight="1" x14ac:dyDescent="0.35">
      <c r="A944" s="434"/>
      <c r="B944" s="434"/>
      <c r="C944" s="434"/>
      <c r="D944" s="434"/>
      <c r="E944" s="434"/>
      <c r="F944" s="434"/>
      <c r="G944" s="434"/>
      <c r="H944" s="434"/>
      <c r="I944" s="434"/>
      <c r="J944" s="434"/>
      <c r="K944" s="434"/>
      <c r="L944" s="434"/>
      <c r="M944" s="434"/>
      <c r="N944" s="434"/>
      <c r="O944" s="434"/>
      <c r="P944" s="434"/>
      <c r="Q944" s="434"/>
      <c r="R944" s="434"/>
      <c r="S944" s="434"/>
      <c r="T944" s="434"/>
      <c r="U944" s="434"/>
      <c r="V944" s="434"/>
      <c r="W944" s="434"/>
      <c r="X944" s="434"/>
      <c r="Y944" s="434"/>
      <c r="Z944" s="434"/>
      <c r="AA944" s="434"/>
    </row>
    <row r="945" spans="1:27" ht="15.75" customHeight="1" x14ac:dyDescent="0.35">
      <c r="A945" s="434"/>
      <c r="B945" s="434"/>
      <c r="C945" s="434"/>
      <c r="D945" s="434"/>
      <c r="E945" s="434"/>
      <c r="F945" s="434"/>
      <c r="G945" s="434"/>
      <c r="H945" s="434"/>
      <c r="I945" s="434"/>
      <c r="J945" s="434"/>
      <c r="K945" s="434"/>
      <c r="L945" s="434"/>
      <c r="M945" s="434"/>
      <c r="N945" s="434"/>
      <c r="O945" s="434"/>
      <c r="P945" s="434"/>
      <c r="Q945" s="434"/>
      <c r="R945" s="434"/>
      <c r="S945" s="434"/>
      <c r="T945" s="434"/>
      <c r="U945" s="434"/>
      <c r="V945" s="434"/>
      <c r="W945" s="434"/>
      <c r="X945" s="434"/>
      <c r="Y945" s="434"/>
      <c r="Z945" s="434"/>
      <c r="AA945" s="434"/>
    </row>
    <row r="946" spans="1:27" ht="15.75" customHeight="1" x14ac:dyDescent="0.35">
      <c r="A946" s="434"/>
      <c r="B946" s="434"/>
      <c r="C946" s="434"/>
      <c r="D946" s="434"/>
      <c r="E946" s="434"/>
      <c r="F946" s="434"/>
      <c r="G946" s="434"/>
      <c r="H946" s="434"/>
      <c r="I946" s="434"/>
      <c r="J946" s="434"/>
      <c r="K946" s="434"/>
      <c r="L946" s="434"/>
      <c r="M946" s="434"/>
      <c r="N946" s="434"/>
      <c r="O946" s="434"/>
      <c r="P946" s="434"/>
      <c r="Q946" s="434"/>
      <c r="R946" s="434"/>
      <c r="S946" s="434"/>
      <c r="T946" s="434"/>
      <c r="U946" s="434"/>
      <c r="V946" s="434"/>
      <c r="W946" s="434"/>
      <c r="X946" s="434"/>
      <c r="Y946" s="434"/>
      <c r="Z946" s="434"/>
      <c r="AA946" s="434"/>
    </row>
    <row r="947" spans="1:27" ht="15.75" customHeight="1" x14ac:dyDescent="0.35">
      <c r="A947" s="434"/>
      <c r="B947" s="434"/>
      <c r="C947" s="434"/>
      <c r="D947" s="434"/>
      <c r="E947" s="434"/>
      <c r="F947" s="434"/>
      <c r="G947" s="434"/>
      <c r="H947" s="434"/>
      <c r="I947" s="434"/>
      <c r="J947" s="434"/>
      <c r="K947" s="434"/>
      <c r="L947" s="434"/>
      <c r="M947" s="434"/>
      <c r="N947" s="434"/>
      <c r="O947" s="434"/>
      <c r="P947" s="434"/>
      <c r="Q947" s="434"/>
      <c r="R947" s="434"/>
      <c r="S947" s="434"/>
      <c r="T947" s="434"/>
      <c r="U947" s="434"/>
      <c r="V947" s="434"/>
      <c r="W947" s="434"/>
      <c r="X947" s="434"/>
      <c r="Y947" s="434"/>
      <c r="Z947" s="434"/>
      <c r="AA947" s="434"/>
    </row>
    <row r="948" spans="1:27" ht="15.75" customHeight="1" x14ac:dyDescent="0.35">
      <c r="A948" s="434"/>
      <c r="B948" s="434"/>
      <c r="C948" s="434"/>
      <c r="D948" s="434"/>
      <c r="E948" s="434"/>
      <c r="F948" s="434"/>
      <c r="G948" s="434"/>
      <c r="H948" s="434"/>
      <c r="I948" s="434"/>
      <c r="J948" s="434"/>
      <c r="K948" s="434"/>
      <c r="L948" s="434"/>
      <c r="M948" s="434"/>
      <c r="N948" s="434"/>
      <c r="O948" s="434"/>
      <c r="P948" s="434"/>
      <c r="Q948" s="434"/>
      <c r="R948" s="434"/>
      <c r="S948" s="434"/>
      <c r="T948" s="434"/>
      <c r="U948" s="434"/>
      <c r="V948" s="434"/>
      <c r="W948" s="434"/>
      <c r="X948" s="434"/>
      <c r="Y948" s="434"/>
      <c r="Z948" s="434"/>
      <c r="AA948" s="434"/>
    </row>
    <row r="949" spans="1:27" ht="15.75" customHeight="1" x14ac:dyDescent="0.35">
      <c r="A949" s="434"/>
      <c r="B949" s="434"/>
      <c r="C949" s="434"/>
      <c r="D949" s="434"/>
      <c r="E949" s="434"/>
      <c r="F949" s="434"/>
      <c r="G949" s="434"/>
      <c r="H949" s="434"/>
      <c r="I949" s="434"/>
      <c r="J949" s="434"/>
      <c r="K949" s="434"/>
      <c r="L949" s="434"/>
      <c r="M949" s="434"/>
      <c r="N949" s="434"/>
      <c r="O949" s="434"/>
      <c r="P949" s="434"/>
      <c r="Q949" s="434"/>
      <c r="R949" s="434"/>
      <c r="S949" s="434"/>
      <c r="T949" s="434"/>
      <c r="U949" s="434"/>
      <c r="V949" s="434"/>
      <c r="W949" s="434"/>
      <c r="X949" s="434"/>
      <c r="Y949" s="434"/>
      <c r="Z949" s="434"/>
      <c r="AA949" s="434"/>
    </row>
    <row r="950" spans="1:27" ht="15.75" customHeight="1" x14ac:dyDescent="0.35">
      <c r="A950" s="434"/>
      <c r="B950" s="434"/>
      <c r="C950" s="434"/>
      <c r="D950" s="434"/>
      <c r="E950" s="434"/>
      <c r="F950" s="434"/>
      <c r="G950" s="434"/>
      <c r="H950" s="434"/>
      <c r="I950" s="434"/>
      <c r="J950" s="434"/>
      <c r="K950" s="434"/>
      <c r="L950" s="434"/>
      <c r="M950" s="434"/>
      <c r="N950" s="434"/>
      <c r="O950" s="434"/>
      <c r="P950" s="434"/>
      <c r="Q950" s="434"/>
      <c r="R950" s="434"/>
      <c r="S950" s="434"/>
      <c r="T950" s="434"/>
      <c r="U950" s="434"/>
      <c r="V950" s="434"/>
      <c r="W950" s="434"/>
      <c r="X950" s="434"/>
      <c r="Y950" s="434"/>
      <c r="Z950" s="434"/>
      <c r="AA950" s="434"/>
    </row>
    <row r="951" spans="1:27" ht="15.75" customHeight="1" x14ac:dyDescent="0.35">
      <c r="A951" s="434"/>
      <c r="B951" s="434"/>
      <c r="C951" s="434"/>
      <c r="D951" s="434"/>
      <c r="E951" s="434"/>
      <c r="F951" s="434"/>
      <c r="G951" s="434"/>
      <c r="H951" s="434"/>
      <c r="I951" s="434"/>
      <c r="J951" s="434"/>
      <c r="K951" s="434"/>
      <c r="L951" s="434"/>
      <c r="M951" s="434"/>
      <c r="N951" s="434"/>
      <c r="O951" s="434"/>
      <c r="P951" s="434"/>
      <c r="Q951" s="434"/>
      <c r="R951" s="434"/>
      <c r="S951" s="434"/>
      <c r="T951" s="434"/>
      <c r="U951" s="434"/>
      <c r="V951" s="434"/>
      <c r="W951" s="434"/>
      <c r="X951" s="434"/>
      <c r="Y951" s="434"/>
      <c r="Z951" s="434"/>
      <c r="AA951" s="434"/>
    </row>
    <row r="952" spans="1:27" ht="15.75" customHeight="1" x14ac:dyDescent="0.35">
      <c r="A952" s="434"/>
      <c r="B952" s="434"/>
      <c r="C952" s="434"/>
      <c r="D952" s="434"/>
      <c r="E952" s="434"/>
      <c r="F952" s="434"/>
      <c r="G952" s="434"/>
      <c r="H952" s="434"/>
      <c r="I952" s="434"/>
      <c r="J952" s="434"/>
      <c r="K952" s="434"/>
      <c r="L952" s="434"/>
      <c r="M952" s="434"/>
      <c r="N952" s="434"/>
      <c r="O952" s="434"/>
      <c r="P952" s="434"/>
      <c r="Q952" s="434"/>
      <c r="R952" s="434"/>
      <c r="S952" s="434"/>
      <c r="T952" s="434"/>
      <c r="U952" s="434"/>
      <c r="V952" s="434"/>
      <c r="W952" s="434"/>
      <c r="X952" s="434"/>
      <c r="Y952" s="434"/>
      <c r="Z952" s="434"/>
      <c r="AA952" s="434"/>
    </row>
    <row r="953" spans="1:27" ht="15.75" customHeight="1" x14ac:dyDescent="0.35">
      <c r="A953" s="434"/>
      <c r="B953" s="434"/>
      <c r="C953" s="434"/>
      <c r="D953" s="434"/>
      <c r="E953" s="434"/>
      <c r="F953" s="434"/>
      <c r="G953" s="434"/>
      <c r="H953" s="434"/>
      <c r="I953" s="434"/>
      <c r="J953" s="434"/>
      <c r="K953" s="434"/>
      <c r="L953" s="434"/>
      <c r="M953" s="434"/>
      <c r="N953" s="434"/>
      <c r="O953" s="434"/>
      <c r="P953" s="434"/>
      <c r="Q953" s="434"/>
      <c r="R953" s="434"/>
      <c r="S953" s="434"/>
      <c r="T953" s="434"/>
      <c r="U953" s="434"/>
      <c r="V953" s="434"/>
      <c r="W953" s="434"/>
      <c r="X953" s="434"/>
      <c r="Y953" s="434"/>
      <c r="Z953" s="434"/>
      <c r="AA953" s="434"/>
    </row>
    <row r="954" spans="1:27" ht="15.75" customHeight="1" x14ac:dyDescent="0.35">
      <c r="A954" s="434"/>
      <c r="B954" s="434"/>
      <c r="C954" s="434"/>
      <c r="D954" s="434"/>
      <c r="E954" s="434"/>
      <c r="F954" s="434"/>
      <c r="G954" s="434"/>
      <c r="H954" s="434"/>
      <c r="I954" s="434"/>
      <c r="J954" s="434"/>
      <c r="K954" s="434"/>
      <c r="L954" s="434"/>
      <c r="M954" s="434"/>
      <c r="N954" s="434"/>
      <c r="O954" s="434"/>
      <c r="P954" s="434"/>
      <c r="Q954" s="434"/>
      <c r="R954" s="434"/>
      <c r="S954" s="434"/>
      <c r="T954" s="434"/>
      <c r="U954" s="434"/>
      <c r="V954" s="434"/>
      <c r="W954" s="434"/>
      <c r="X954" s="434"/>
      <c r="Y954" s="434"/>
      <c r="Z954" s="434"/>
      <c r="AA954" s="434"/>
    </row>
    <row r="955" spans="1:27" ht="15.75" customHeight="1" x14ac:dyDescent="0.35">
      <c r="A955" s="434"/>
      <c r="B955" s="434"/>
      <c r="C955" s="434"/>
      <c r="D955" s="434"/>
      <c r="E955" s="434"/>
      <c r="F955" s="434"/>
      <c r="G955" s="434"/>
      <c r="H955" s="434"/>
      <c r="I955" s="434"/>
      <c r="J955" s="434"/>
      <c r="K955" s="434"/>
      <c r="L955" s="434"/>
      <c r="M955" s="434"/>
      <c r="N955" s="434"/>
      <c r="O955" s="434"/>
      <c r="P955" s="434"/>
      <c r="Q955" s="434"/>
      <c r="R955" s="434"/>
      <c r="S955" s="434"/>
      <c r="T955" s="434"/>
      <c r="U955" s="434"/>
      <c r="V955" s="434"/>
      <c r="W955" s="434"/>
      <c r="X955" s="434"/>
      <c r="Y955" s="434"/>
      <c r="Z955" s="434"/>
      <c r="AA955" s="434"/>
    </row>
    <row r="956" spans="1:27" ht="15.75" customHeight="1" x14ac:dyDescent="0.35">
      <c r="A956" s="434"/>
      <c r="B956" s="434"/>
      <c r="C956" s="434"/>
      <c r="D956" s="434"/>
      <c r="E956" s="434"/>
      <c r="F956" s="434"/>
      <c r="G956" s="434"/>
      <c r="H956" s="434"/>
      <c r="I956" s="434"/>
      <c r="J956" s="434"/>
      <c r="K956" s="434"/>
      <c r="L956" s="434"/>
      <c r="M956" s="434"/>
      <c r="N956" s="434"/>
      <c r="O956" s="434"/>
      <c r="P956" s="434"/>
      <c r="Q956" s="434"/>
      <c r="R956" s="434"/>
      <c r="S956" s="434"/>
      <c r="T956" s="434"/>
      <c r="U956" s="434"/>
      <c r="V956" s="434"/>
      <c r="W956" s="434"/>
      <c r="X956" s="434"/>
      <c r="Y956" s="434"/>
      <c r="Z956" s="434"/>
      <c r="AA956" s="434"/>
    </row>
    <row r="957" spans="1:27" ht="15.75" customHeight="1" x14ac:dyDescent="0.35">
      <c r="A957" s="434"/>
      <c r="B957" s="434"/>
      <c r="C957" s="434"/>
      <c r="D957" s="434"/>
      <c r="E957" s="434"/>
      <c r="F957" s="434"/>
      <c r="G957" s="434"/>
      <c r="H957" s="434"/>
      <c r="I957" s="434"/>
      <c r="J957" s="434"/>
      <c r="K957" s="434"/>
      <c r="L957" s="434"/>
      <c r="M957" s="434"/>
      <c r="N957" s="434"/>
      <c r="O957" s="434"/>
      <c r="P957" s="434"/>
      <c r="Q957" s="434"/>
      <c r="R957" s="434"/>
      <c r="S957" s="434"/>
      <c r="T957" s="434"/>
      <c r="U957" s="434"/>
      <c r="V957" s="434"/>
      <c r="W957" s="434"/>
      <c r="X957" s="434"/>
      <c r="Y957" s="434"/>
      <c r="Z957" s="434"/>
      <c r="AA957" s="434"/>
    </row>
    <row r="958" spans="1:27" ht="15.75" customHeight="1" x14ac:dyDescent="0.35">
      <c r="A958" s="434"/>
      <c r="B958" s="434"/>
      <c r="C958" s="434"/>
      <c r="D958" s="434"/>
      <c r="E958" s="434"/>
      <c r="F958" s="434"/>
      <c r="G958" s="434"/>
      <c r="H958" s="434"/>
      <c r="I958" s="434"/>
      <c r="J958" s="434"/>
      <c r="K958" s="434"/>
      <c r="L958" s="434"/>
      <c r="M958" s="434"/>
      <c r="N958" s="434"/>
      <c r="O958" s="434"/>
      <c r="P958" s="434"/>
      <c r="Q958" s="434"/>
      <c r="R958" s="434"/>
      <c r="S958" s="434"/>
      <c r="T958" s="434"/>
      <c r="U958" s="434"/>
      <c r="V958" s="434"/>
      <c r="W958" s="434"/>
      <c r="X958" s="434"/>
      <c r="Y958" s="434"/>
      <c r="Z958" s="434"/>
      <c r="AA958" s="434"/>
    </row>
    <row r="959" spans="1:27" ht="15.75" customHeight="1" x14ac:dyDescent="0.35">
      <c r="A959" s="434"/>
      <c r="B959" s="434"/>
      <c r="C959" s="434"/>
      <c r="D959" s="434"/>
      <c r="E959" s="434"/>
      <c r="F959" s="434"/>
      <c r="G959" s="434"/>
      <c r="H959" s="434"/>
      <c r="I959" s="434"/>
      <c r="J959" s="434"/>
      <c r="K959" s="434"/>
      <c r="L959" s="434"/>
      <c r="M959" s="434"/>
      <c r="N959" s="434"/>
      <c r="O959" s="434"/>
      <c r="P959" s="434"/>
      <c r="Q959" s="434"/>
      <c r="R959" s="434"/>
      <c r="S959" s="434"/>
      <c r="T959" s="434"/>
      <c r="U959" s="434"/>
      <c r="V959" s="434"/>
      <c r="W959" s="434"/>
      <c r="X959" s="434"/>
      <c r="Y959" s="434"/>
      <c r="Z959" s="434"/>
      <c r="AA959" s="434"/>
    </row>
    <row r="960" spans="1:27" ht="15.75" customHeight="1" x14ac:dyDescent="0.35">
      <c r="A960" s="434"/>
      <c r="B960" s="434"/>
      <c r="C960" s="434"/>
      <c r="D960" s="434"/>
      <c r="E960" s="434"/>
      <c r="F960" s="434"/>
      <c r="G960" s="434"/>
      <c r="H960" s="434"/>
      <c r="I960" s="434"/>
      <c r="J960" s="434"/>
      <c r="K960" s="434"/>
      <c r="L960" s="434"/>
      <c r="M960" s="434"/>
      <c r="N960" s="434"/>
      <c r="O960" s="434"/>
      <c r="P960" s="434"/>
      <c r="Q960" s="434"/>
      <c r="R960" s="434"/>
      <c r="S960" s="434"/>
      <c r="T960" s="434"/>
      <c r="U960" s="434"/>
      <c r="V960" s="434"/>
      <c r="W960" s="434"/>
      <c r="X960" s="434"/>
      <c r="Y960" s="434"/>
      <c r="Z960" s="434"/>
      <c r="AA960" s="434"/>
    </row>
    <row r="961" spans="1:27" ht="15.75" customHeight="1" x14ac:dyDescent="0.35">
      <c r="A961" s="434"/>
      <c r="B961" s="434"/>
      <c r="C961" s="434"/>
      <c r="D961" s="434"/>
      <c r="E961" s="434"/>
      <c r="F961" s="434"/>
      <c r="G961" s="434"/>
      <c r="H961" s="434"/>
      <c r="I961" s="434"/>
      <c r="J961" s="434"/>
      <c r="K961" s="434"/>
      <c r="L961" s="434"/>
      <c r="M961" s="434"/>
      <c r="N961" s="434"/>
      <c r="O961" s="434"/>
      <c r="P961" s="434"/>
      <c r="Q961" s="434"/>
      <c r="R961" s="434"/>
      <c r="S961" s="434"/>
      <c r="T961" s="434"/>
      <c r="U961" s="434"/>
      <c r="V961" s="434"/>
      <c r="W961" s="434"/>
      <c r="X961" s="434"/>
      <c r="Y961" s="434"/>
      <c r="Z961" s="434"/>
      <c r="AA961" s="434"/>
    </row>
    <row r="962" spans="1:27" ht="15.75" customHeight="1" x14ac:dyDescent="0.35">
      <c r="A962" s="434"/>
      <c r="B962" s="434"/>
      <c r="C962" s="434"/>
      <c r="D962" s="434"/>
      <c r="E962" s="434"/>
      <c r="F962" s="434"/>
      <c r="G962" s="434"/>
      <c r="H962" s="434"/>
      <c r="I962" s="434"/>
      <c r="J962" s="434"/>
      <c r="K962" s="434"/>
      <c r="L962" s="434"/>
      <c r="M962" s="434"/>
      <c r="N962" s="434"/>
      <c r="O962" s="434"/>
      <c r="P962" s="434"/>
      <c r="Q962" s="434"/>
      <c r="R962" s="434"/>
      <c r="S962" s="434"/>
      <c r="T962" s="434"/>
      <c r="U962" s="434"/>
      <c r="V962" s="434"/>
      <c r="W962" s="434"/>
      <c r="X962" s="434"/>
      <c r="Y962" s="434"/>
      <c r="Z962" s="434"/>
      <c r="AA962" s="434"/>
    </row>
    <row r="963" spans="1:27" ht="15.75" customHeight="1" x14ac:dyDescent="0.35">
      <c r="A963" s="434"/>
      <c r="B963" s="434"/>
      <c r="C963" s="434"/>
      <c r="D963" s="434"/>
      <c r="E963" s="434"/>
      <c r="F963" s="434"/>
      <c r="G963" s="434"/>
      <c r="H963" s="434"/>
      <c r="I963" s="434"/>
      <c r="J963" s="434"/>
      <c r="K963" s="434"/>
      <c r="L963" s="434"/>
      <c r="M963" s="434"/>
      <c r="N963" s="434"/>
      <c r="O963" s="434"/>
      <c r="P963" s="434"/>
      <c r="Q963" s="434"/>
      <c r="R963" s="434"/>
      <c r="S963" s="434"/>
      <c r="T963" s="434"/>
      <c r="U963" s="434"/>
      <c r="V963" s="434"/>
      <c r="W963" s="434"/>
      <c r="X963" s="434"/>
      <c r="Y963" s="434"/>
      <c r="Z963" s="434"/>
      <c r="AA963" s="434"/>
    </row>
    <row r="964" spans="1:27" ht="15.75" customHeight="1" x14ac:dyDescent="0.35">
      <c r="A964" s="434"/>
      <c r="B964" s="434"/>
      <c r="C964" s="434"/>
      <c r="D964" s="434"/>
      <c r="E964" s="434"/>
      <c r="F964" s="434"/>
      <c r="G964" s="434"/>
      <c r="H964" s="434"/>
      <c r="I964" s="434"/>
      <c r="J964" s="434"/>
      <c r="K964" s="434"/>
      <c r="L964" s="434"/>
      <c r="M964" s="434"/>
      <c r="N964" s="434"/>
      <c r="O964" s="434"/>
      <c r="P964" s="434"/>
      <c r="Q964" s="434"/>
      <c r="R964" s="434"/>
      <c r="S964" s="434"/>
      <c r="T964" s="434"/>
      <c r="U964" s="434"/>
      <c r="V964" s="434"/>
      <c r="W964" s="434"/>
      <c r="X964" s="434"/>
      <c r="Y964" s="434"/>
      <c r="Z964" s="434"/>
      <c r="AA964" s="434"/>
    </row>
    <row r="965" spans="1:27" ht="15.75" customHeight="1" x14ac:dyDescent="0.35">
      <c r="A965" s="434"/>
      <c r="B965" s="434"/>
      <c r="C965" s="434"/>
      <c r="D965" s="434"/>
      <c r="E965" s="434"/>
      <c r="F965" s="434"/>
      <c r="G965" s="434"/>
      <c r="H965" s="434"/>
      <c r="I965" s="434"/>
      <c r="J965" s="434"/>
      <c r="K965" s="434"/>
      <c r="L965" s="434"/>
      <c r="M965" s="434"/>
      <c r="N965" s="434"/>
      <c r="O965" s="434"/>
      <c r="P965" s="434"/>
      <c r="Q965" s="434"/>
      <c r="R965" s="434"/>
      <c r="S965" s="434"/>
      <c r="T965" s="434"/>
      <c r="U965" s="434"/>
      <c r="V965" s="434"/>
      <c r="W965" s="434"/>
      <c r="X965" s="434"/>
      <c r="Y965" s="434"/>
      <c r="Z965" s="434"/>
      <c r="AA965" s="434"/>
    </row>
    <row r="966" spans="1:27" ht="15.75" customHeight="1" x14ac:dyDescent="0.35">
      <c r="A966" s="434"/>
      <c r="B966" s="434"/>
      <c r="C966" s="434"/>
      <c r="D966" s="434"/>
      <c r="E966" s="434"/>
      <c r="F966" s="434"/>
      <c r="G966" s="434"/>
      <c r="H966" s="434"/>
      <c r="I966" s="434"/>
      <c r="J966" s="434"/>
      <c r="K966" s="434"/>
      <c r="L966" s="434"/>
      <c r="M966" s="434"/>
      <c r="N966" s="434"/>
      <c r="O966" s="434"/>
      <c r="P966" s="434"/>
      <c r="Q966" s="434"/>
      <c r="R966" s="434"/>
      <c r="S966" s="434"/>
      <c r="T966" s="434"/>
      <c r="U966" s="434"/>
      <c r="V966" s="434"/>
      <c r="W966" s="434"/>
      <c r="X966" s="434"/>
      <c r="Y966" s="434"/>
      <c r="Z966" s="434"/>
      <c r="AA966" s="434"/>
    </row>
    <row r="967" spans="1:27" ht="15.75" customHeight="1" x14ac:dyDescent="0.35">
      <c r="A967" s="434"/>
      <c r="B967" s="434"/>
      <c r="C967" s="434"/>
      <c r="D967" s="434"/>
      <c r="E967" s="434"/>
      <c r="F967" s="434"/>
      <c r="G967" s="434"/>
      <c r="H967" s="434"/>
      <c r="I967" s="434"/>
      <c r="J967" s="434"/>
      <c r="K967" s="434"/>
      <c r="L967" s="434"/>
      <c r="M967" s="434"/>
      <c r="N967" s="434"/>
      <c r="O967" s="434"/>
      <c r="P967" s="434"/>
      <c r="Q967" s="434"/>
      <c r="R967" s="434"/>
      <c r="S967" s="434"/>
      <c r="T967" s="434"/>
      <c r="U967" s="434"/>
      <c r="V967" s="434"/>
      <c r="W967" s="434"/>
      <c r="X967" s="434"/>
      <c r="Y967" s="434"/>
      <c r="Z967" s="434"/>
      <c r="AA967" s="434"/>
    </row>
    <row r="968" spans="1:27" ht="15.75" customHeight="1" x14ac:dyDescent="0.35">
      <c r="A968" s="434"/>
      <c r="B968" s="434"/>
      <c r="C968" s="434"/>
      <c r="D968" s="434"/>
      <c r="E968" s="434"/>
      <c r="F968" s="434"/>
      <c r="G968" s="434"/>
      <c r="H968" s="434"/>
      <c r="I968" s="434"/>
      <c r="J968" s="434"/>
      <c r="K968" s="434"/>
      <c r="L968" s="434"/>
      <c r="M968" s="434"/>
      <c r="N968" s="434"/>
      <c r="O968" s="434"/>
      <c r="P968" s="434"/>
      <c r="Q968" s="434"/>
      <c r="R968" s="434"/>
      <c r="S968" s="434"/>
      <c r="T968" s="434"/>
      <c r="U968" s="434"/>
      <c r="V968" s="434"/>
      <c r="W968" s="434"/>
      <c r="X968" s="434"/>
      <c r="Y968" s="434"/>
      <c r="Z968" s="434"/>
      <c r="AA968" s="434"/>
    </row>
    <row r="969" spans="1:27" ht="15.75" customHeight="1" x14ac:dyDescent="0.35">
      <c r="A969" s="434"/>
      <c r="B969" s="434"/>
      <c r="C969" s="434"/>
      <c r="D969" s="434"/>
      <c r="E969" s="434"/>
      <c r="F969" s="434"/>
      <c r="G969" s="434"/>
      <c r="H969" s="434"/>
      <c r="I969" s="434"/>
      <c r="J969" s="434"/>
      <c r="K969" s="434"/>
      <c r="L969" s="434"/>
      <c r="M969" s="434"/>
      <c r="N969" s="434"/>
      <c r="O969" s="434"/>
      <c r="P969" s="434"/>
      <c r="Q969" s="434"/>
      <c r="R969" s="434"/>
      <c r="S969" s="434"/>
      <c r="T969" s="434"/>
      <c r="U969" s="434"/>
      <c r="V969" s="434"/>
      <c r="W969" s="434"/>
      <c r="X969" s="434"/>
      <c r="Y969" s="434"/>
      <c r="Z969" s="434"/>
      <c r="AA969" s="434"/>
    </row>
    <row r="970" spans="1:27" ht="15.75" customHeight="1" x14ac:dyDescent="0.35">
      <c r="A970" s="434"/>
      <c r="B970" s="434"/>
      <c r="C970" s="434"/>
      <c r="D970" s="434"/>
      <c r="E970" s="434"/>
      <c r="F970" s="434"/>
      <c r="G970" s="434"/>
      <c r="H970" s="434"/>
      <c r="I970" s="434"/>
      <c r="J970" s="434"/>
      <c r="K970" s="434"/>
      <c r="L970" s="434"/>
      <c r="M970" s="434"/>
      <c r="N970" s="434"/>
      <c r="O970" s="434"/>
      <c r="P970" s="434"/>
      <c r="Q970" s="434"/>
      <c r="R970" s="434"/>
      <c r="S970" s="434"/>
      <c r="T970" s="434"/>
      <c r="U970" s="434"/>
      <c r="V970" s="434"/>
      <c r="W970" s="434"/>
      <c r="X970" s="434"/>
      <c r="Y970" s="434"/>
      <c r="Z970" s="434"/>
      <c r="AA970" s="434"/>
    </row>
    <row r="971" spans="1:27" ht="15.75" customHeight="1" x14ac:dyDescent="0.35">
      <c r="A971" s="434"/>
      <c r="B971" s="434"/>
      <c r="C971" s="434"/>
      <c r="D971" s="434"/>
      <c r="E971" s="434"/>
      <c r="F971" s="434"/>
      <c r="G971" s="434"/>
      <c r="H971" s="434"/>
      <c r="I971" s="434"/>
      <c r="J971" s="434"/>
      <c r="K971" s="434"/>
      <c r="L971" s="434"/>
      <c r="M971" s="434"/>
      <c r="N971" s="434"/>
      <c r="O971" s="434"/>
      <c r="P971" s="434"/>
      <c r="Q971" s="434"/>
      <c r="R971" s="434"/>
      <c r="S971" s="434"/>
      <c r="T971" s="434"/>
      <c r="U971" s="434"/>
      <c r="V971" s="434"/>
      <c r="W971" s="434"/>
      <c r="X971" s="434"/>
      <c r="Y971" s="434"/>
      <c r="Z971" s="434"/>
      <c r="AA971" s="434"/>
    </row>
    <row r="972" spans="1:27" ht="15.75" customHeight="1" x14ac:dyDescent="0.35">
      <c r="A972" s="434"/>
      <c r="B972" s="434"/>
      <c r="C972" s="434"/>
      <c r="D972" s="434"/>
      <c r="E972" s="434"/>
      <c r="F972" s="434"/>
      <c r="G972" s="434"/>
      <c r="H972" s="434"/>
      <c r="I972" s="434"/>
      <c r="J972" s="434"/>
      <c r="K972" s="434"/>
      <c r="L972" s="434"/>
      <c r="M972" s="434"/>
      <c r="N972" s="434"/>
      <c r="O972" s="434"/>
      <c r="P972" s="434"/>
      <c r="Q972" s="434"/>
      <c r="R972" s="434"/>
      <c r="S972" s="434"/>
      <c r="T972" s="434"/>
      <c r="U972" s="434"/>
      <c r="V972" s="434"/>
      <c r="W972" s="434"/>
      <c r="X972" s="434"/>
      <c r="Y972" s="434"/>
      <c r="Z972" s="434"/>
      <c r="AA972" s="434"/>
    </row>
    <row r="973" spans="1:27" ht="15.75" customHeight="1" x14ac:dyDescent="0.35">
      <c r="A973" s="434"/>
      <c r="B973" s="434"/>
      <c r="C973" s="434"/>
      <c r="D973" s="434"/>
      <c r="E973" s="434"/>
      <c r="F973" s="434"/>
      <c r="G973" s="434"/>
      <c r="H973" s="434"/>
      <c r="I973" s="434"/>
      <c r="J973" s="434"/>
      <c r="K973" s="434"/>
      <c r="L973" s="434"/>
      <c r="M973" s="434"/>
      <c r="N973" s="434"/>
      <c r="O973" s="434"/>
      <c r="P973" s="434"/>
      <c r="Q973" s="434"/>
      <c r="R973" s="434"/>
      <c r="S973" s="434"/>
      <c r="T973" s="434"/>
      <c r="U973" s="434"/>
      <c r="V973" s="434"/>
      <c r="W973" s="434"/>
      <c r="X973" s="434"/>
      <c r="Y973" s="434"/>
      <c r="Z973" s="434"/>
      <c r="AA973" s="434"/>
    </row>
    <row r="974" spans="1:27" ht="15.75" customHeight="1" x14ac:dyDescent="0.35">
      <c r="A974" s="434"/>
      <c r="B974" s="434"/>
      <c r="C974" s="434"/>
      <c r="D974" s="434"/>
      <c r="E974" s="434"/>
      <c r="F974" s="434"/>
      <c r="G974" s="434"/>
      <c r="H974" s="434"/>
      <c r="I974" s="434"/>
      <c r="J974" s="434"/>
      <c r="K974" s="434"/>
      <c r="L974" s="434"/>
      <c r="M974" s="434"/>
      <c r="N974" s="434"/>
      <c r="O974" s="434"/>
      <c r="P974" s="434"/>
      <c r="Q974" s="434"/>
      <c r="R974" s="434"/>
      <c r="S974" s="434"/>
      <c r="T974" s="434"/>
      <c r="U974" s="434"/>
      <c r="V974" s="434"/>
      <c r="W974" s="434"/>
      <c r="X974" s="434"/>
      <c r="Y974" s="434"/>
      <c r="Z974" s="434"/>
      <c r="AA974" s="434"/>
    </row>
    <row r="975" spans="1:27" ht="15.75" customHeight="1" x14ac:dyDescent="0.35">
      <c r="A975" s="434"/>
      <c r="B975" s="434"/>
      <c r="C975" s="434"/>
      <c r="D975" s="434"/>
      <c r="E975" s="434"/>
      <c r="F975" s="434"/>
      <c r="G975" s="434"/>
      <c r="H975" s="434"/>
      <c r="I975" s="434"/>
      <c r="J975" s="434"/>
      <c r="K975" s="434"/>
      <c r="L975" s="434"/>
      <c r="M975" s="434"/>
      <c r="N975" s="434"/>
      <c r="O975" s="434"/>
      <c r="P975" s="434"/>
      <c r="Q975" s="434"/>
      <c r="R975" s="434"/>
      <c r="S975" s="434"/>
      <c r="T975" s="434"/>
      <c r="U975" s="434"/>
      <c r="V975" s="434"/>
      <c r="W975" s="434"/>
      <c r="X975" s="434"/>
      <c r="Y975" s="434"/>
      <c r="Z975" s="434"/>
      <c r="AA975" s="434"/>
    </row>
    <row r="976" spans="1:27" ht="15.75" customHeight="1" x14ac:dyDescent="0.35">
      <c r="A976" s="434"/>
      <c r="B976" s="434"/>
      <c r="C976" s="434"/>
      <c r="D976" s="434"/>
      <c r="E976" s="434"/>
      <c r="F976" s="434"/>
      <c r="G976" s="434"/>
      <c r="H976" s="434"/>
      <c r="I976" s="434"/>
      <c r="J976" s="434"/>
      <c r="K976" s="434"/>
      <c r="L976" s="434"/>
      <c r="M976" s="434"/>
      <c r="N976" s="434"/>
      <c r="O976" s="434"/>
      <c r="P976" s="434"/>
      <c r="Q976" s="434"/>
      <c r="R976" s="434"/>
      <c r="S976" s="434"/>
      <c r="T976" s="434"/>
      <c r="U976" s="434"/>
      <c r="V976" s="434"/>
      <c r="W976" s="434"/>
      <c r="X976" s="434"/>
      <c r="Y976" s="434"/>
      <c r="Z976" s="434"/>
      <c r="AA976" s="434"/>
    </row>
    <row r="977" spans="1:27" ht="15.75" customHeight="1" x14ac:dyDescent="0.35">
      <c r="A977" s="434"/>
      <c r="B977" s="434"/>
      <c r="C977" s="434"/>
      <c r="D977" s="434"/>
      <c r="E977" s="434"/>
      <c r="F977" s="434"/>
      <c r="G977" s="434"/>
      <c r="H977" s="434"/>
      <c r="I977" s="434"/>
      <c r="J977" s="434"/>
      <c r="K977" s="434"/>
      <c r="L977" s="434"/>
      <c r="M977" s="434"/>
      <c r="N977" s="434"/>
      <c r="O977" s="434"/>
      <c r="P977" s="434"/>
      <c r="Q977" s="434"/>
      <c r="R977" s="434"/>
      <c r="S977" s="434"/>
      <c r="T977" s="434"/>
      <c r="U977" s="434"/>
      <c r="V977" s="434"/>
      <c r="W977" s="434"/>
      <c r="X977" s="434"/>
      <c r="Y977" s="434"/>
      <c r="Z977" s="434"/>
      <c r="AA977" s="434"/>
    </row>
    <row r="978" spans="1:27" ht="15.75" customHeight="1" x14ac:dyDescent="0.35">
      <c r="A978" s="434"/>
      <c r="B978" s="434"/>
      <c r="C978" s="434"/>
      <c r="D978" s="434"/>
      <c r="E978" s="434"/>
      <c r="F978" s="434"/>
      <c r="G978" s="434"/>
      <c r="H978" s="434"/>
      <c r="I978" s="434"/>
      <c r="J978" s="434"/>
      <c r="K978" s="434"/>
      <c r="L978" s="434"/>
      <c r="M978" s="434"/>
      <c r="N978" s="434"/>
      <c r="O978" s="434"/>
      <c r="P978" s="434"/>
      <c r="Q978" s="434"/>
      <c r="R978" s="434"/>
      <c r="S978" s="434"/>
      <c r="T978" s="434"/>
      <c r="U978" s="434"/>
      <c r="V978" s="434"/>
      <c r="W978" s="434"/>
      <c r="X978" s="434"/>
      <c r="Y978" s="434"/>
      <c r="Z978" s="434"/>
      <c r="AA978" s="434"/>
    </row>
    <row r="979" spans="1:27" ht="15.75" customHeight="1" x14ac:dyDescent="0.35">
      <c r="A979" s="434"/>
      <c r="B979" s="434"/>
      <c r="C979" s="434"/>
      <c r="D979" s="434"/>
      <c r="E979" s="434"/>
      <c r="F979" s="434"/>
      <c r="G979" s="434"/>
      <c r="H979" s="434"/>
      <c r="I979" s="434"/>
      <c r="J979" s="434"/>
      <c r="K979" s="434"/>
      <c r="L979" s="434"/>
      <c r="M979" s="434"/>
      <c r="N979" s="434"/>
      <c r="O979" s="434"/>
      <c r="P979" s="434"/>
      <c r="Q979" s="434"/>
      <c r="R979" s="434"/>
      <c r="S979" s="434"/>
      <c r="T979" s="434"/>
      <c r="U979" s="434"/>
      <c r="V979" s="434"/>
      <c r="W979" s="434"/>
      <c r="X979" s="434"/>
      <c r="Y979" s="434"/>
      <c r="Z979" s="434"/>
      <c r="AA979" s="434"/>
    </row>
    <row r="980" spans="1:27" ht="15.75" customHeight="1" x14ac:dyDescent="0.35">
      <c r="A980" s="434"/>
      <c r="B980" s="434"/>
      <c r="C980" s="434"/>
      <c r="D980" s="434"/>
      <c r="E980" s="434"/>
      <c r="F980" s="434"/>
      <c r="G980" s="434"/>
      <c r="H980" s="434"/>
      <c r="I980" s="434"/>
      <c r="J980" s="434"/>
      <c r="K980" s="434"/>
      <c r="L980" s="434"/>
      <c r="M980" s="434"/>
      <c r="N980" s="434"/>
      <c r="O980" s="434"/>
      <c r="P980" s="434"/>
      <c r="Q980" s="434"/>
      <c r="R980" s="434"/>
      <c r="S980" s="434"/>
      <c r="T980" s="434"/>
      <c r="U980" s="434"/>
      <c r="V980" s="434"/>
      <c r="W980" s="434"/>
      <c r="X980" s="434"/>
      <c r="Y980" s="434"/>
      <c r="Z980" s="434"/>
      <c r="AA980" s="434"/>
    </row>
  </sheetData>
  <sheetProtection algorithmName="SHA-512" hashValue="YAra6oc3Y6Ig7gV4oJdpqR3j5e+JKJfuv7K2EN/Q9T35t8k98YM/xdcab/6/kXcL26wtKzq+D8hFyI0qtRqkKw==" saltValue="VfrdCSbfMR3Ew9jCBPt45w==" spinCount="100000" sheet="1" objects="1" scenarios="1" selectLockedCells="1" selectUnlockedCells="1"/>
  <mergeCells count="1">
    <mergeCell ref="G3:P3"/>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35"/>
  <sheetViews>
    <sheetView topLeftCell="A19" workbookViewId="0">
      <selection activeCell="E16" sqref="E16"/>
    </sheetView>
  </sheetViews>
  <sheetFormatPr baseColWidth="10" defaultColWidth="10.7265625" defaultRowHeight="14.5" x14ac:dyDescent="0.35"/>
  <cols>
    <col min="1" max="1" width="60.26953125" bestFit="1" customWidth="1"/>
    <col min="2" max="2" width="13" customWidth="1"/>
    <col min="3" max="3" width="15.453125" customWidth="1"/>
    <col min="5" max="5" width="11.453125" bestFit="1" customWidth="1"/>
    <col min="7" max="7" width="14.453125" customWidth="1"/>
  </cols>
  <sheetData>
    <row r="1" spans="1:13" ht="26.25" customHeight="1" x14ac:dyDescent="0.35">
      <c r="A1" s="28" t="s">
        <v>1009</v>
      </c>
      <c r="B1" s="683" t="s">
        <v>1010</v>
      </c>
      <c r="C1" s="683"/>
      <c r="D1" s="683"/>
      <c r="E1" s="683" t="s">
        <v>1011</v>
      </c>
      <c r="F1" s="683"/>
      <c r="G1" s="683"/>
      <c r="H1" s="683"/>
      <c r="I1" s="683"/>
      <c r="J1" s="683"/>
      <c r="K1" s="683"/>
      <c r="M1" s="18"/>
    </row>
    <row r="2" spans="1:13" ht="26.25" customHeight="1" x14ac:dyDescent="0.35">
      <c r="A2" s="28"/>
      <c r="B2" s="28"/>
      <c r="C2" s="28"/>
      <c r="D2" s="28"/>
      <c r="G2" s="29" t="s">
        <v>1012</v>
      </c>
      <c r="I2" s="29" t="s">
        <v>1013</v>
      </c>
      <c r="L2" s="18"/>
      <c r="M2" s="18"/>
    </row>
    <row r="3" spans="1:13" ht="33" customHeight="1" x14ac:dyDescent="0.35">
      <c r="A3" s="29" t="s">
        <v>584</v>
      </c>
      <c r="B3" s="682" t="s">
        <v>1014</v>
      </c>
      <c r="C3" s="682" t="s">
        <v>1015</v>
      </c>
      <c r="D3" s="682"/>
      <c r="E3" s="684" t="s">
        <v>587</v>
      </c>
      <c r="F3" s="682" t="s">
        <v>588</v>
      </c>
      <c r="G3" s="682" t="s">
        <v>589</v>
      </c>
      <c r="H3" s="682" t="s">
        <v>1016</v>
      </c>
      <c r="I3" s="682" t="s">
        <v>1017</v>
      </c>
      <c r="J3" s="682" t="s">
        <v>1015</v>
      </c>
      <c r="K3" s="682"/>
      <c r="L3" s="682" t="s">
        <v>1018</v>
      </c>
      <c r="M3" s="682"/>
    </row>
    <row r="4" spans="1:13" x14ac:dyDescent="0.35">
      <c r="A4" s="29"/>
      <c r="B4" s="682"/>
      <c r="C4" s="27">
        <v>1995</v>
      </c>
      <c r="D4" s="29">
        <v>2007</v>
      </c>
      <c r="E4" s="684"/>
      <c r="F4" s="682"/>
      <c r="G4" s="682"/>
      <c r="H4" s="682"/>
      <c r="I4" s="682"/>
      <c r="J4" s="29">
        <v>1995</v>
      </c>
      <c r="K4" s="29">
        <v>2007</v>
      </c>
      <c r="L4" s="29">
        <v>1995</v>
      </c>
      <c r="M4" s="29">
        <v>2007</v>
      </c>
    </row>
    <row r="5" spans="1:13" x14ac:dyDescent="0.35">
      <c r="A5" s="29">
        <v>0</v>
      </c>
      <c r="B5" s="27">
        <v>0</v>
      </c>
      <c r="C5" s="27">
        <v>0</v>
      </c>
      <c r="D5" s="29">
        <v>0</v>
      </c>
      <c r="E5" s="29">
        <v>0</v>
      </c>
      <c r="F5" s="27">
        <v>0</v>
      </c>
      <c r="G5" s="27">
        <v>0</v>
      </c>
      <c r="H5" s="27">
        <v>0</v>
      </c>
      <c r="I5" s="27">
        <v>0</v>
      </c>
      <c r="J5" s="29">
        <v>0</v>
      </c>
      <c r="K5" s="29">
        <v>0</v>
      </c>
      <c r="L5" s="29">
        <v>0</v>
      </c>
      <c r="M5" s="29">
        <v>0</v>
      </c>
    </row>
    <row r="6" spans="1:13" x14ac:dyDescent="0.35">
      <c r="A6" t="s">
        <v>626</v>
      </c>
      <c r="B6">
        <v>1</v>
      </c>
      <c r="C6" s="19">
        <f>+B6*21</f>
        <v>21</v>
      </c>
      <c r="D6" s="19">
        <f>+B6*25</f>
        <v>25</v>
      </c>
      <c r="E6">
        <v>40</v>
      </c>
      <c r="F6">
        <v>0.99</v>
      </c>
      <c r="G6" s="19">
        <f>+E6*F6</f>
        <v>39.6</v>
      </c>
      <c r="H6">
        <v>0.02</v>
      </c>
      <c r="I6" s="20">
        <f>+G6*H6*44/28</f>
        <v>1.2445714285714284</v>
      </c>
      <c r="J6" s="20">
        <f>+I6*310</f>
        <v>385.81714285714281</v>
      </c>
      <c r="K6" s="20">
        <f>+I6*298</f>
        <v>370.88228571428567</v>
      </c>
      <c r="L6" s="21">
        <f>+C6+J6</f>
        <v>406.81714285714281</v>
      </c>
      <c r="M6" s="21">
        <f>+D6+K6</f>
        <v>395.88228571428567</v>
      </c>
    </row>
    <row r="7" spans="1:13" x14ac:dyDescent="0.35">
      <c r="A7" t="s">
        <v>629</v>
      </c>
      <c r="B7">
        <v>1</v>
      </c>
      <c r="C7" s="19">
        <f t="shared" ref="C7:C35" si="0">+B7*21</f>
        <v>21</v>
      </c>
      <c r="D7" s="19">
        <f t="shared" ref="D7:D35" si="1">+B7*25</f>
        <v>25</v>
      </c>
      <c r="E7">
        <v>40</v>
      </c>
      <c r="F7">
        <v>0.99</v>
      </c>
      <c r="G7" s="19">
        <f t="shared" ref="G7:G35" si="2">+E7*F7</f>
        <v>39.6</v>
      </c>
      <c r="H7">
        <v>0.02</v>
      </c>
      <c r="I7" s="20">
        <f t="shared" ref="I7:I35" si="3">+G7*H7*44/28</f>
        <v>1.2445714285714284</v>
      </c>
      <c r="J7" s="20">
        <f t="shared" ref="J7:J35" si="4">+I7*310</f>
        <v>385.81714285714281</v>
      </c>
      <c r="K7" s="20">
        <f t="shared" ref="K7:K35" si="5">+I7*298</f>
        <v>370.88228571428567</v>
      </c>
      <c r="L7" s="21">
        <f t="shared" ref="L7:L35" si="6">+C7+J7</f>
        <v>406.81714285714281</v>
      </c>
      <c r="M7" s="21">
        <f t="shared" ref="M7:M35" si="7">+D7+K7</f>
        <v>395.88228571428567</v>
      </c>
    </row>
    <row r="8" spans="1:13" x14ac:dyDescent="0.35">
      <c r="A8" t="s">
        <v>631</v>
      </c>
      <c r="B8">
        <v>1</v>
      </c>
      <c r="C8" s="19">
        <f t="shared" si="0"/>
        <v>21</v>
      </c>
      <c r="D8" s="19">
        <f t="shared" si="1"/>
        <v>25</v>
      </c>
      <c r="E8">
        <v>40</v>
      </c>
      <c r="F8">
        <v>0.99</v>
      </c>
      <c r="G8" s="19">
        <f t="shared" si="2"/>
        <v>39.6</v>
      </c>
      <c r="H8">
        <v>0.02</v>
      </c>
      <c r="I8" s="20">
        <f t="shared" si="3"/>
        <v>1.2445714285714284</v>
      </c>
      <c r="J8" s="20">
        <f t="shared" si="4"/>
        <v>385.81714285714281</v>
      </c>
      <c r="K8" s="20">
        <f t="shared" si="5"/>
        <v>370.88228571428567</v>
      </c>
      <c r="L8" s="21">
        <f t="shared" si="6"/>
        <v>406.81714285714281</v>
      </c>
      <c r="M8" s="21">
        <f t="shared" si="7"/>
        <v>395.88228571428567</v>
      </c>
    </row>
    <row r="9" spans="1:13" x14ac:dyDescent="0.35">
      <c r="A9" t="s">
        <v>621</v>
      </c>
      <c r="B9">
        <v>0</v>
      </c>
      <c r="C9" s="19">
        <f t="shared" si="0"/>
        <v>0</v>
      </c>
      <c r="D9" s="19">
        <f t="shared" si="1"/>
        <v>0</v>
      </c>
      <c r="E9">
        <v>70</v>
      </c>
      <c r="F9">
        <v>0.36</v>
      </c>
      <c r="G9" s="19">
        <f t="shared" si="2"/>
        <v>25.2</v>
      </c>
      <c r="H9">
        <v>0.02</v>
      </c>
      <c r="I9" s="20">
        <f t="shared" si="3"/>
        <v>0.79200000000000004</v>
      </c>
      <c r="J9" s="20">
        <f t="shared" si="4"/>
        <v>245.52</v>
      </c>
      <c r="K9" s="20">
        <f t="shared" si="5"/>
        <v>236.01600000000002</v>
      </c>
      <c r="L9" s="21">
        <f t="shared" si="6"/>
        <v>245.52</v>
      </c>
      <c r="M9" s="21">
        <f t="shared" si="7"/>
        <v>236.01600000000002</v>
      </c>
    </row>
    <row r="10" spans="1:13" x14ac:dyDescent="0.35">
      <c r="A10" t="s">
        <v>628</v>
      </c>
      <c r="B10">
        <v>1</v>
      </c>
      <c r="C10" s="19">
        <f t="shared" si="0"/>
        <v>21</v>
      </c>
      <c r="D10" s="19">
        <f t="shared" si="1"/>
        <v>25</v>
      </c>
      <c r="E10">
        <v>70</v>
      </c>
      <c r="F10">
        <v>0.36</v>
      </c>
      <c r="G10" s="19">
        <f t="shared" si="2"/>
        <v>25.2</v>
      </c>
      <c r="H10">
        <v>0.02</v>
      </c>
      <c r="I10" s="20">
        <f t="shared" si="3"/>
        <v>0.79200000000000004</v>
      </c>
      <c r="J10" s="20">
        <f t="shared" si="4"/>
        <v>245.52</v>
      </c>
      <c r="K10" s="20">
        <f t="shared" si="5"/>
        <v>236.01600000000002</v>
      </c>
      <c r="L10" s="21">
        <f t="shared" si="6"/>
        <v>266.52</v>
      </c>
      <c r="M10" s="21">
        <f t="shared" si="7"/>
        <v>261.01600000000002</v>
      </c>
    </row>
    <row r="11" spans="1:13" x14ac:dyDescent="0.35">
      <c r="A11" t="s">
        <v>630</v>
      </c>
      <c r="B11">
        <v>2</v>
      </c>
      <c r="C11" s="19">
        <f t="shared" si="0"/>
        <v>42</v>
      </c>
      <c r="D11" s="19">
        <f t="shared" si="1"/>
        <v>50</v>
      </c>
      <c r="E11">
        <v>70</v>
      </c>
      <c r="F11">
        <v>0.36</v>
      </c>
      <c r="G11" s="19">
        <f t="shared" si="2"/>
        <v>25.2</v>
      </c>
      <c r="H11">
        <v>0.02</v>
      </c>
      <c r="I11" s="20">
        <f t="shared" si="3"/>
        <v>0.79200000000000004</v>
      </c>
      <c r="J11" s="20">
        <f t="shared" si="4"/>
        <v>245.52</v>
      </c>
      <c r="K11" s="20">
        <f t="shared" si="5"/>
        <v>236.01600000000002</v>
      </c>
      <c r="L11" s="21">
        <f t="shared" si="6"/>
        <v>287.52</v>
      </c>
      <c r="M11" s="21">
        <f t="shared" si="7"/>
        <v>286.01600000000002</v>
      </c>
    </row>
    <row r="12" spans="1:13" x14ac:dyDescent="0.35">
      <c r="A12" t="s">
        <v>632</v>
      </c>
      <c r="B12">
        <v>1.2E-2</v>
      </c>
      <c r="C12" s="19">
        <f t="shared" si="0"/>
        <v>0.252</v>
      </c>
      <c r="D12" s="19">
        <f t="shared" si="1"/>
        <v>0.3</v>
      </c>
      <c r="E12">
        <v>0.6</v>
      </c>
      <c r="F12">
        <v>0.42</v>
      </c>
      <c r="G12" s="19">
        <f t="shared" si="2"/>
        <v>0.252</v>
      </c>
      <c r="H12">
        <v>0.02</v>
      </c>
      <c r="I12" s="20">
        <f t="shared" si="3"/>
        <v>7.92E-3</v>
      </c>
      <c r="J12" s="20">
        <f t="shared" si="4"/>
        <v>2.4552</v>
      </c>
      <c r="K12" s="20">
        <f t="shared" si="5"/>
        <v>2.36016</v>
      </c>
      <c r="L12" s="21">
        <f t="shared" si="6"/>
        <v>2.7072000000000003</v>
      </c>
      <c r="M12" s="21">
        <f t="shared" si="7"/>
        <v>2.6601599999999999</v>
      </c>
    </row>
    <row r="13" spans="1:13" x14ac:dyDescent="0.35">
      <c r="A13" t="s">
        <v>636</v>
      </c>
      <c r="B13">
        <v>1.7999999999999999E-2</v>
      </c>
      <c r="C13" s="19">
        <f t="shared" si="0"/>
        <v>0.37799999999999995</v>
      </c>
      <c r="D13" s="19">
        <f t="shared" si="1"/>
        <v>0.44999999999999996</v>
      </c>
      <c r="E13">
        <v>0.6</v>
      </c>
      <c r="F13">
        <v>0.42</v>
      </c>
      <c r="G13" s="19">
        <f t="shared" si="2"/>
        <v>0.252</v>
      </c>
      <c r="H13">
        <v>0.02</v>
      </c>
      <c r="I13" s="20">
        <f t="shared" si="3"/>
        <v>7.92E-3</v>
      </c>
      <c r="J13" s="20">
        <f t="shared" si="4"/>
        <v>2.4552</v>
      </c>
      <c r="K13" s="20">
        <f t="shared" si="5"/>
        <v>2.36016</v>
      </c>
      <c r="L13" s="21">
        <f t="shared" si="6"/>
        <v>2.8332000000000002</v>
      </c>
      <c r="M13" s="21">
        <f t="shared" si="7"/>
        <v>2.8101599999999998</v>
      </c>
    </row>
    <row r="14" spans="1:13" x14ac:dyDescent="0.35">
      <c r="A14" t="s">
        <v>637</v>
      </c>
      <c r="B14">
        <v>2.3E-2</v>
      </c>
      <c r="C14" s="19">
        <f t="shared" si="0"/>
        <v>0.48299999999999998</v>
      </c>
      <c r="D14" s="19">
        <f t="shared" si="1"/>
        <v>0.57499999999999996</v>
      </c>
      <c r="E14">
        <v>0.6</v>
      </c>
      <c r="F14">
        <v>0.42</v>
      </c>
      <c r="G14" s="19">
        <f t="shared" si="2"/>
        <v>0.252</v>
      </c>
      <c r="H14">
        <v>0.02</v>
      </c>
      <c r="I14" s="20">
        <f t="shared" si="3"/>
        <v>7.92E-3</v>
      </c>
      <c r="J14" s="20">
        <f t="shared" si="4"/>
        <v>2.4552</v>
      </c>
      <c r="K14" s="20">
        <f t="shared" si="5"/>
        <v>2.36016</v>
      </c>
      <c r="L14" s="21">
        <f t="shared" si="6"/>
        <v>2.9382000000000001</v>
      </c>
      <c r="M14" s="21">
        <f t="shared" si="7"/>
        <v>2.9351599999999998</v>
      </c>
    </row>
    <row r="15" spans="1:13" x14ac:dyDescent="0.35">
      <c r="A15" t="s">
        <v>638</v>
      </c>
      <c r="B15">
        <v>0.1</v>
      </c>
      <c r="C15" s="19">
        <f t="shared" si="0"/>
        <v>2.1</v>
      </c>
      <c r="D15" s="19">
        <f t="shared" si="1"/>
        <v>2.5</v>
      </c>
      <c r="E15">
        <v>12</v>
      </c>
      <c r="F15">
        <v>1</v>
      </c>
      <c r="G15" s="19">
        <f t="shared" si="2"/>
        <v>12</v>
      </c>
      <c r="H15">
        <v>0.02</v>
      </c>
      <c r="I15" s="20">
        <f t="shared" si="3"/>
        <v>0.37714285714285711</v>
      </c>
      <c r="J15" s="20">
        <f t="shared" si="4"/>
        <v>116.91428571428571</v>
      </c>
      <c r="K15" s="20">
        <f t="shared" si="5"/>
        <v>112.38857142857142</v>
      </c>
      <c r="L15" s="21">
        <f t="shared" si="6"/>
        <v>119.01428571428571</v>
      </c>
      <c r="M15" s="21">
        <f t="shared" si="7"/>
        <v>114.88857142857142</v>
      </c>
    </row>
    <row r="16" spans="1:13" x14ac:dyDescent="0.35">
      <c r="A16" t="s">
        <v>1019</v>
      </c>
      <c r="B16">
        <v>0.16</v>
      </c>
      <c r="C16" s="19">
        <f t="shared" si="0"/>
        <v>3.36</v>
      </c>
      <c r="D16" s="19">
        <f t="shared" si="1"/>
        <v>4</v>
      </c>
      <c r="E16">
        <v>12</v>
      </c>
      <c r="F16">
        <v>1</v>
      </c>
      <c r="G16" s="19">
        <f t="shared" si="2"/>
        <v>12</v>
      </c>
      <c r="H16">
        <v>0.02</v>
      </c>
      <c r="I16" s="20">
        <f t="shared" si="3"/>
        <v>0.37714285714285711</v>
      </c>
      <c r="J16" s="20">
        <f t="shared" si="4"/>
        <v>116.91428571428571</v>
      </c>
      <c r="K16" s="20">
        <f t="shared" si="5"/>
        <v>112.38857142857142</v>
      </c>
      <c r="L16" s="21">
        <f t="shared" si="6"/>
        <v>120.27428571428571</v>
      </c>
      <c r="M16" s="21">
        <f t="shared" si="7"/>
        <v>116.38857142857142</v>
      </c>
    </row>
    <row r="17" spans="1:13" x14ac:dyDescent="0.35">
      <c r="A17" t="s">
        <v>640</v>
      </c>
      <c r="B17">
        <v>0.21</v>
      </c>
      <c r="C17" s="19">
        <f t="shared" si="0"/>
        <v>4.41</v>
      </c>
      <c r="D17" s="19">
        <f t="shared" si="1"/>
        <v>5.25</v>
      </c>
      <c r="E17">
        <v>12</v>
      </c>
      <c r="F17">
        <v>1</v>
      </c>
      <c r="G17" s="19">
        <f t="shared" si="2"/>
        <v>12</v>
      </c>
      <c r="H17">
        <v>0.02</v>
      </c>
      <c r="I17" s="20">
        <f t="shared" si="3"/>
        <v>0.37714285714285711</v>
      </c>
      <c r="J17" s="20">
        <f t="shared" si="4"/>
        <v>116.91428571428571</v>
      </c>
      <c r="K17" s="20">
        <f t="shared" si="5"/>
        <v>112.38857142857142</v>
      </c>
      <c r="L17" s="21">
        <f t="shared" si="6"/>
        <v>121.32428571428571</v>
      </c>
      <c r="M17" s="21">
        <f t="shared" si="7"/>
        <v>117.63857142857142</v>
      </c>
    </row>
    <row r="18" spans="1:13" x14ac:dyDescent="0.35">
      <c r="A18" t="s">
        <v>642</v>
      </c>
      <c r="B18">
        <v>0</v>
      </c>
      <c r="C18" s="19">
        <f t="shared" si="0"/>
        <v>0</v>
      </c>
      <c r="D18" s="19">
        <f t="shared" si="1"/>
        <v>0</v>
      </c>
      <c r="E18">
        <v>16</v>
      </c>
      <c r="F18">
        <v>0.51</v>
      </c>
      <c r="G18" s="19">
        <f t="shared" si="2"/>
        <v>8.16</v>
      </c>
      <c r="H18">
        <v>0.02</v>
      </c>
      <c r="I18" s="20">
        <f t="shared" si="3"/>
        <v>0.25645714285714288</v>
      </c>
      <c r="J18" s="20">
        <f t="shared" si="4"/>
        <v>79.5017142857143</v>
      </c>
      <c r="K18" s="20">
        <f t="shared" si="5"/>
        <v>76.424228571428586</v>
      </c>
      <c r="L18" s="21">
        <f t="shared" si="6"/>
        <v>79.5017142857143</v>
      </c>
      <c r="M18" s="21">
        <f t="shared" si="7"/>
        <v>76.424228571428586</v>
      </c>
    </row>
    <row r="19" spans="1:13" x14ac:dyDescent="0.35">
      <c r="A19" t="s">
        <v>1020</v>
      </c>
      <c r="B19">
        <v>1</v>
      </c>
      <c r="C19" s="19">
        <f t="shared" si="0"/>
        <v>21</v>
      </c>
      <c r="D19" s="19">
        <f t="shared" si="1"/>
        <v>25</v>
      </c>
      <c r="E19">
        <v>16</v>
      </c>
      <c r="F19">
        <v>0.51</v>
      </c>
      <c r="G19" s="19">
        <f t="shared" si="2"/>
        <v>8.16</v>
      </c>
      <c r="H19">
        <v>0.02</v>
      </c>
      <c r="I19" s="20">
        <f t="shared" si="3"/>
        <v>0.25645714285714288</v>
      </c>
      <c r="J19" s="20">
        <f t="shared" si="4"/>
        <v>79.5017142857143</v>
      </c>
      <c r="K19" s="20">
        <f t="shared" si="5"/>
        <v>76.424228571428586</v>
      </c>
      <c r="L19" s="21">
        <f t="shared" si="6"/>
        <v>100.5017142857143</v>
      </c>
      <c r="M19" s="21">
        <f t="shared" si="7"/>
        <v>101.42422857142859</v>
      </c>
    </row>
    <row r="20" spans="1:13" x14ac:dyDescent="0.35">
      <c r="A20" t="s">
        <v>646</v>
      </c>
      <c r="B20">
        <v>2</v>
      </c>
      <c r="C20" s="19">
        <f t="shared" si="0"/>
        <v>42</v>
      </c>
      <c r="D20" s="19">
        <f t="shared" si="1"/>
        <v>50</v>
      </c>
      <c r="E20">
        <v>16</v>
      </c>
      <c r="F20">
        <v>0.51</v>
      </c>
      <c r="G20" s="19">
        <f t="shared" si="2"/>
        <v>8.16</v>
      </c>
      <c r="H20">
        <v>0.02</v>
      </c>
      <c r="I20" s="20">
        <f t="shared" si="3"/>
        <v>0.25645714285714288</v>
      </c>
      <c r="J20" s="20">
        <f t="shared" si="4"/>
        <v>79.5017142857143</v>
      </c>
      <c r="K20" s="20">
        <f t="shared" si="5"/>
        <v>76.424228571428586</v>
      </c>
      <c r="L20" s="21">
        <f t="shared" si="6"/>
        <v>121.5017142857143</v>
      </c>
      <c r="M20" s="21">
        <f t="shared" si="7"/>
        <v>126.42422857142859</v>
      </c>
    </row>
    <row r="21" spans="1:13" x14ac:dyDescent="0.35">
      <c r="A21" t="s">
        <v>1021</v>
      </c>
      <c r="B21">
        <v>0</v>
      </c>
      <c r="C21" s="19">
        <f t="shared" si="0"/>
        <v>0</v>
      </c>
      <c r="D21" s="19">
        <f t="shared" si="1"/>
        <v>0</v>
      </c>
      <c r="E21">
        <v>16</v>
      </c>
      <c r="F21">
        <v>0.4</v>
      </c>
      <c r="G21" s="19">
        <f t="shared" si="2"/>
        <v>6.4</v>
      </c>
      <c r="H21">
        <v>5.0000000000000001E-3</v>
      </c>
      <c r="I21" s="20">
        <f t="shared" si="3"/>
        <v>5.0285714285714281E-2</v>
      </c>
      <c r="J21" s="20">
        <f t="shared" si="4"/>
        <v>15.588571428571427</v>
      </c>
      <c r="K21" s="20">
        <f t="shared" si="5"/>
        <v>14.985142857142856</v>
      </c>
      <c r="L21" s="21">
        <f t="shared" si="6"/>
        <v>15.588571428571427</v>
      </c>
      <c r="M21" s="21">
        <f t="shared" si="7"/>
        <v>14.985142857142856</v>
      </c>
    </row>
    <row r="22" spans="1:13" x14ac:dyDescent="0.35">
      <c r="A22" t="s">
        <v>1022</v>
      </c>
      <c r="B22">
        <v>1</v>
      </c>
      <c r="C22" s="19">
        <f t="shared" si="0"/>
        <v>21</v>
      </c>
      <c r="D22" s="19">
        <f t="shared" si="1"/>
        <v>25</v>
      </c>
      <c r="E22">
        <v>16</v>
      </c>
      <c r="F22">
        <v>0.4</v>
      </c>
      <c r="G22" s="19">
        <f t="shared" si="2"/>
        <v>6.4</v>
      </c>
      <c r="H22">
        <v>5.0000000000000001E-3</v>
      </c>
      <c r="I22" s="20">
        <f t="shared" si="3"/>
        <v>5.0285714285714281E-2</v>
      </c>
      <c r="J22" s="20">
        <f t="shared" si="4"/>
        <v>15.588571428571427</v>
      </c>
      <c r="K22" s="20">
        <f t="shared" si="5"/>
        <v>14.985142857142856</v>
      </c>
      <c r="L22" s="21">
        <f t="shared" si="6"/>
        <v>36.588571428571427</v>
      </c>
      <c r="M22" s="21">
        <f t="shared" si="7"/>
        <v>39.985142857142854</v>
      </c>
    </row>
    <row r="23" spans="1:13" x14ac:dyDescent="0.35">
      <c r="A23" t="s">
        <v>1023</v>
      </c>
      <c r="B23">
        <v>2</v>
      </c>
      <c r="C23" s="19">
        <f t="shared" si="0"/>
        <v>42</v>
      </c>
      <c r="D23" s="19">
        <f t="shared" si="1"/>
        <v>50</v>
      </c>
      <c r="E23">
        <v>16</v>
      </c>
      <c r="F23">
        <v>0.4</v>
      </c>
      <c r="G23" s="19">
        <f t="shared" si="2"/>
        <v>6.4</v>
      </c>
      <c r="H23">
        <v>5.0000000000000001E-3</v>
      </c>
      <c r="I23" s="20">
        <f t="shared" si="3"/>
        <v>5.0285714285714281E-2</v>
      </c>
      <c r="J23" s="20">
        <f t="shared" si="4"/>
        <v>15.588571428571427</v>
      </c>
      <c r="K23" s="20">
        <f t="shared" si="5"/>
        <v>14.985142857142856</v>
      </c>
      <c r="L23" s="21">
        <f t="shared" si="6"/>
        <v>57.588571428571427</v>
      </c>
      <c r="M23" s="21">
        <f t="shared" si="7"/>
        <v>64.985142857142861</v>
      </c>
    </row>
    <row r="24" spans="1:13" x14ac:dyDescent="0.35">
      <c r="A24" t="s">
        <v>653</v>
      </c>
      <c r="B24">
        <v>1</v>
      </c>
      <c r="C24" s="19">
        <f t="shared" si="0"/>
        <v>21</v>
      </c>
      <c r="D24" s="19">
        <f t="shared" si="1"/>
        <v>25</v>
      </c>
      <c r="E24">
        <v>40</v>
      </c>
      <c r="F24">
        <v>0.99</v>
      </c>
      <c r="G24" s="19">
        <f t="shared" si="2"/>
        <v>39.6</v>
      </c>
      <c r="H24">
        <v>0.02</v>
      </c>
      <c r="I24" s="20">
        <f t="shared" si="3"/>
        <v>1.2445714285714284</v>
      </c>
      <c r="J24" s="20">
        <f t="shared" si="4"/>
        <v>385.81714285714281</v>
      </c>
      <c r="K24" s="20">
        <f t="shared" si="5"/>
        <v>370.88228571428567</v>
      </c>
      <c r="L24" s="21">
        <f t="shared" si="6"/>
        <v>406.81714285714281</v>
      </c>
      <c r="M24" s="21">
        <f t="shared" si="7"/>
        <v>395.88228571428567</v>
      </c>
    </row>
    <row r="25" spans="1:13" x14ac:dyDescent="0.35">
      <c r="A25" t="s">
        <v>654</v>
      </c>
      <c r="B25">
        <v>1</v>
      </c>
      <c r="C25" s="19">
        <f t="shared" si="0"/>
        <v>21</v>
      </c>
      <c r="D25" s="19">
        <f t="shared" si="1"/>
        <v>25</v>
      </c>
      <c r="E25">
        <v>40</v>
      </c>
      <c r="F25">
        <v>0.99</v>
      </c>
      <c r="G25" s="19">
        <f t="shared" si="2"/>
        <v>39.6</v>
      </c>
      <c r="H25">
        <v>0.02</v>
      </c>
      <c r="I25" s="20">
        <f t="shared" si="3"/>
        <v>1.2445714285714284</v>
      </c>
      <c r="J25" s="20">
        <f t="shared" si="4"/>
        <v>385.81714285714281</v>
      </c>
      <c r="K25" s="20">
        <f t="shared" si="5"/>
        <v>370.88228571428567</v>
      </c>
      <c r="L25" s="21">
        <f t="shared" si="6"/>
        <v>406.81714285714281</v>
      </c>
      <c r="M25" s="21">
        <f t="shared" si="7"/>
        <v>395.88228571428567</v>
      </c>
    </row>
    <row r="26" spans="1:13" x14ac:dyDescent="0.35">
      <c r="A26" t="s">
        <v>655</v>
      </c>
      <c r="B26">
        <v>2</v>
      </c>
      <c r="C26" s="19">
        <f t="shared" si="0"/>
        <v>42</v>
      </c>
      <c r="D26" s="19">
        <f t="shared" si="1"/>
        <v>50</v>
      </c>
      <c r="E26">
        <v>40</v>
      </c>
      <c r="F26">
        <v>0.99</v>
      </c>
      <c r="G26" s="19">
        <f t="shared" si="2"/>
        <v>39.6</v>
      </c>
      <c r="H26">
        <v>0.02</v>
      </c>
      <c r="I26" s="20">
        <f t="shared" si="3"/>
        <v>1.2445714285714284</v>
      </c>
      <c r="J26" s="20">
        <f t="shared" si="4"/>
        <v>385.81714285714281</v>
      </c>
      <c r="K26" s="20">
        <f t="shared" si="5"/>
        <v>370.88228571428567</v>
      </c>
      <c r="L26" s="21">
        <f t="shared" si="6"/>
        <v>427.81714285714281</v>
      </c>
      <c r="M26" s="21">
        <f t="shared" si="7"/>
        <v>420.88228571428567</v>
      </c>
    </row>
    <row r="27" spans="1:13" x14ac:dyDescent="0.35">
      <c r="A27" t="s">
        <v>656</v>
      </c>
      <c r="B27">
        <v>0.11</v>
      </c>
      <c r="C27" s="19">
        <f t="shared" si="0"/>
        <v>2.31</v>
      </c>
      <c r="D27" s="19">
        <f t="shared" si="1"/>
        <v>2.75</v>
      </c>
      <c r="E27">
        <v>40</v>
      </c>
      <c r="F27">
        <v>0.99</v>
      </c>
      <c r="G27" s="19">
        <f t="shared" si="2"/>
        <v>39.6</v>
      </c>
      <c r="H27">
        <v>0.02</v>
      </c>
      <c r="I27" s="20">
        <f t="shared" si="3"/>
        <v>1.2445714285714284</v>
      </c>
      <c r="J27" s="20">
        <f t="shared" si="4"/>
        <v>385.81714285714281</v>
      </c>
      <c r="K27" s="20">
        <f t="shared" si="5"/>
        <v>370.88228571428567</v>
      </c>
      <c r="L27" s="21">
        <f t="shared" si="6"/>
        <v>388.12714285714281</v>
      </c>
      <c r="M27" s="21">
        <f t="shared" si="7"/>
        <v>373.63228571428567</v>
      </c>
    </row>
    <row r="28" spans="1:13" x14ac:dyDescent="0.35">
      <c r="A28" t="s">
        <v>657</v>
      </c>
      <c r="B28">
        <v>0.17</v>
      </c>
      <c r="C28" s="19">
        <f t="shared" si="0"/>
        <v>3.5700000000000003</v>
      </c>
      <c r="D28" s="19">
        <f t="shared" si="1"/>
        <v>4.25</v>
      </c>
      <c r="E28">
        <v>40</v>
      </c>
      <c r="F28">
        <v>0.99</v>
      </c>
      <c r="G28" s="19">
        <f t="shared" si="2"/>
        <v>39.6</v>
      </c>
      <c r="H28">
        <v>0.02</v>
      </c>
      <c r="I28" s="20">
        <f t="shared" si="3"/>
        <v>1.2445714285714284</v>
      </c>
      <c r="J28" s="20">
        <f t="shared" si="4"/>
        <v>385.81714285714281</v>
      </c>
      <c r="K28" s="20">
        <f t="shared" si="5"/>
        <v>370.88228571428567</v>
      </c>
      <c r="L28" s="21">
        <f t="shared" si="6"/>
        <v>389.38714285714281</v>
      </c>
      <c r="M28" s="21">
        <f t="shared" si="7"/>
        <v>375.13228571428567</v>
      </c>
    </row>
    <row r="29" spans="1:13" x14ac:dyDescent="0.35">
      <c r="A29" t="s">
        <v>658</v>
      </c>
      <c r="B29">
        <v>0.22</v>
      </c>
      <c r="C29" s="19">
        <f t="shared" si="0"/>
        <v>4.62</v>
      </c>
      <c r="D29" s="19">
        <f t="shared" si="1"/>
        <v>5.5</v>
      </c>
      <c r="E29">
        <v>40</v>
      </c>
      <c r="F29">
        <v>0.99</v>
      </c>
      <c r="G29" s="19">
        <f t="shared" si="2"/>
        <v>39.6</v>
      </c>
      <c r="H29">
        <v>0.02</v>
      </c>
      <c r="I29" s="20">
        <f t="shared" si="3"/>
        <v>1.2445714285714284</v>
      </c>
      <c r="J29" s="20">
        <f t="shared" si="4"/>
        <v>385.81714285714281</v>
      </c>
      <c r="K29" s="20">
        <f t="shared" si="5"/>
        <v>370.88228571428567</v>
      </c>
      <c r="L29" s="21">
        <f t="shared" si="6"/>
        <v>390.43714285714282</v>
      </c>
      <c r="M29" s="21">
        <f t="shared" si="7"/>
        <v>376.38228571428567</v>
      </c>
    </row>
    <row r="30" spans="1:13" x14ac:dyDescent="0.35">
      <c r="A30" t="s">
        <v>659</v>
      </c>
      <c r="B30">
        <v>1.0900000000000001</v>
      </c>
      <c r="C30" s="19">
        <f t="shared" si="0"/>
        <v>22.89</v>
      </c>
      <c r="D30" s="19">
        <f t="shared" si="1"/>
        <v>27.250000000000004</v>
      </c>
      <c r="E30">
        <v>40</v>
      </c>
      <c r="F30">
        <v>0.99</v>
      </c>
      <c r="G30" s="19">
        <f t="shared" si="2"/>
        <v>39.6</v>
      </c>
      <c r="H30">
        <v>0.02</v>
      </c>
      <c r="I30" s="20">
        <f t="shared" si="3"/>
        <v>1.2445714285714284</v>
      </c>
      <c r="J30" s="20">
        <f t="shared" si="4"/>
        <v>385.81714285714281</v>
      </c>
      <c r="K30" s="20">
        <f t="shared" si="5"/>
        <v>370.88228571428567</v>
      </c>
      <c r="L30" s="21">
        <f t="shared" si="6"/>
        <v>408.7071428571428</v>
      </c>
      <c r="M30" s="21">
        <f t="shared" si="7"/>
        <v>398.13228571428567</v>
      </c>
    </row>
    <row r="31" spans="1:13" x14ac:dyDescent="0.35">
      <c r="A31" t="s">
        <v>660</v>
      </c>
      <c r="B31">
        <v>1.64</v>
      </c>
      <c r="C31" s="19">
        <f t="shared" si="0"/>
        <v>34.44</v>
      </c>
      <c r="D31" s="19">
        <f t="shared" si="1"/>
        <v>41</v>
      </c>
      <c r="E31">
        <v>40</v>
      </c>
      <c r="F31">
        <v>0.99</v>
      </c>
      <c r="G31" s="19">
        <f t="shared" si="2"/>
        <v>39.6</v>
      </c>
      <c r="H31">
        <v>0.02</v>
      </c>
      <c r="I31" s="20">
        <f t="shared" si="3"/>
        <v>1.2445714285714284</v>
      </c>
      <c r="J31" s="20">
        <f t="shared" si="4"/>
        <v>385.81714285714281</v>
      </c>
      <c r="K31" s="20">
        <f t="shared" si="5"/>
        <v>370.88228571428567</v>
      </c>
      <c r="L31" s="21">
        <f t="shared" si="6"/>
        <v>420.25714285714281</v>
      </c>
      <c r="M31" s="21">
        <f t="shared" si="7"/>
        <v>411.88228571428567</v>
      </c>
    </row>
    <row r="32" spans="1:13" x14ac:dyDescent="0.35">
      <c r="A32" t="s">
        <v>661</v>
      </c>
      <c r="B32">
        <v>2.1800000000000002</v>
      </c>
      <c r="C32" s="19">
        <f t="shared" si="0"/>
        <v>45.78</v>
      </c>
      <c r="D32" s="19">
        <f t="shared" si="1"/>
        <v>54.500000000000007</v>
      </c>
      <c r="E32">
        <v>40</v>
      </c>
      <c r="F32">
        <v>0.99</v>
      </c>
      <c r="G32" s="19">
        <f t="shared" si="2"/>
        <v>39.6</v>
      </c>
      <c r="H32">
        <v>0.02</v>
      </c>
      <c r="I32" s="20">
        <f t="shared" si="3"/>
        <v>1.2445714285714284</v>
      </c>
      <c r="J32" s="20">
        <f t="shared" si="4"/>
        <v>385.81714285714281</v>
      </c>
      <c r="K32" s="20">
        <f t="shared" si="5"/>
        <v>370.88228571428567</v>
      </c>
      <c r="L32" s="21">
        <f t="shared" si="6"/>
        <v>431.59714285714279</v>
      </c>
      <c r="M32" s="21">
        <f t="shared" si="7"/>
        <v>425.38228571428567</v>
      </c>
    </row>
    <row r="33" spans="1:13" x14ac:dyDescent="0.35">
      <c r="A33" t="s">
        <v>662</v>
      </c>
      <c r="B33">
        <v>0.6</v>
      </c>
      <c r="C33" s="19">
        <f t="shared" si="0"/>
        <v>12.6</v>
      </c>
      <c r="D33" s="19">
        <f t="shared" si="1"/>
        <v>15</v>
      </c>
      <c r="E33">
        <v>40</v>
      </c>
      <c r="F33">
        <v>0.99</v>
      </c>
      <c r="G33" s="19">
        <f t="shared" si="2"/>
        <v>39.6</v>
      </c>
      <c r="H33">
        <v>0.02</v>
      </c>
      <c r="I33" s="20">
        <f t="shared" si="3"/>
        <v>1.2445714285714284</v>
      </c>
      <c r="J33" s="20">
        <f t="shared" si="4"/>
        <v>385.81714285714281</v>
      </c>
      <c r="K33" s="20">
        <f t="shared" si="5"/>
        <v>370.88228571428567</v>
      </c>
      <c r="L33" s="21">
        <f t="shared" si="6"/>
        <v>398.41714285714284</v>
      </c>
      <c r="M33" s="21">
        <f t="shared" si="7"/>
        <v>385.88228571428567</v>
      </c>
    </row>
    <row r="34" spans="1:13" x14ac:dyDescent="0.35">
      <c r="A34" t="s">
        <v>663</v>
      </c>
      <c r="B34">
        <v>0.9</v>
      </c>
      <c r="C34" s="19">
        <f t="shared" si="0"/>
        <v>18.900000000000002</v>
      </c>
      <c r="D34" s="19">
        <f t="shared" si="1"/>
        <v>22.5</v>
      </c>
      <c r="E34">
        <v>40</v>
      </c>
      <c r="F34">
        <v>0.99</v>
      </c>
      <c r="G34" s="19">
        <f t="shared" si="2"/>
        <v>39.6</v>
      </c>
      <c r="H34">
        <v>0.02</v>
      </c>
      <c r="I34" s="20">
        <f t="shared" si="3"/>
        <v>1.2445714285714284</v>
      </c>
      <c r="J34" s="20">
        <f t="shared" si="4"/>
        <v>385.81714285714281</v>
      </c>
      <c r="K34" s="20">
        <f t="shared" si="5"/>
        <v>370.88228571428567</v>
      </c>
      <c r="L34" s="21">
        <f t="shared" si="6"/>
        <v>404.71714285714279</v>
      </c>
      <c r="M34" s="21">
        <f t="shared" si="7"/>
        <v>393.38228571428567</v>
      </c>
    </row>
    <row r="35" spans="1:13" x14ac:dyDescent="0.35">
      <c r="A35" t="s">
        <v>664</v>
      </c>
      <c r="B35">
        <v>1.19</v>
      </c>
      <c r="C35" s="19">
        <f t="shared" si="0"/>
        <v>24.99</v>
      </c>
      <c r="D35" s="19">
        <f t="shared" si="1"/>
        <v>29.75</v>
      </c>
      <c r="E35">
        <v>40</v>
      </c>
      <c r="F35">
        <v>0.99</v>
      </c>
      <c r="G35" s="19">
        <f t="shared" si="2"/>
        <v>39.6</v>
      </c>
      <c r="H35">
        <v>0.02</v>
      </c>
      <c r="I35" s="20">
        <f t="shared" si="3"/>
        <v>1.2445714285714284</v>
      </c>
      <c r="J35" s="20">
        <f t="shared" si="4"/>
        <v>385.81714285714281</v>
      </c>
      <c r="K35" s="20">
        <f t="shared" si="5"/>
        <v>370.88228571428567</v>
      </c>
      <c r="L35" s="21">
        <f t="shared" si="6"/>
        <v>410.80714285714282</v>
      </c>
      <c r="M35" s="21">
        <f t="shared" si="7"/>
        <v>400.63228571428567</v>
      </c>
    </row>
  </sheetData>
  <mergeCells count="11">
    <mergeCell ref="L3:M3"/>
    <mergeCell ref="H3:H4"/>
    <mergeCell ref="G3:G4"/>
    <mergeCell ref="I3:I4"/>
    <mergeCell ref="E1:K1"/>
    <mergeCell ref="J3:K3"/>
    <mergeCell ref="B3:B4"/>
    <mergeCell ref="C3:D3"/>
    <mergeCell ref="B1:D1"/>
    <mergeCell ref="E3:E4"/>
    <mergeCell ref="F3:F4"/>
  </mergeCell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3</vt:i4>
      </vt:variant>
    </vt:vector>
  </HeadingPairs>
  <TitlesOfParts>
    <vt:vector size="11" baseType="lpstr">
      <vt:lpstr>INSTRUCCIONES GESTIÓN DE LA INF</vt:lpstr>
      <vt:lpstr>ÁREAS</vt:lpstr>
      <vt:lpstr>INSTRUCCIONES INCERTIDUMBRE</vt:lpstr>
      <vt:lpstr>HC CORPORATIVA-INCERTIDUMBRE</vt:lpstr>
      <vt:lpstr>HC CORPORATIVA-BIOMASA</vt:lpstr>
      <vt:lpstr>RESUMEN Y GRAFICA</vt:lpstr>
      <vt:lpstr>AGUAS RESIDUALES</vt:lpstr>
      <vt:lpstr>Otros factores</vt:lpstr>
      <vt:lpstr>Direcciones</vt:lpstr>
      <vt:lpstr>Registro</vt:lpstr>
      <vt:lpstr>Reporte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Daniela Cecilia Villalba</dc:creator>
  <cp:keywords/>
  <dc:description/>
  <cp:lastModifiedBy>Martha Patricia Cruz Moreno</cp:lastModifiedBy>
  <cp:revision/>
  <dcterms:created xsi:type="dcterms:W3CDTF">2014-09-25T21:24:30Z</dcterms:created>
  <dcterms:modified xsi:type="dcterms:W3CDTF">2022-08-17T20:59:04Z</dcterms:modified>
  <cp:category/>
  <cp:contentStatus/>
</cp:coreProperties>
</file>